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6.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7.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8.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9.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0.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227"/>
  <workbookPr codeName="ThisWorkbook"/>
  <mc:AlternateContent xmlns:mc="http://schemas.openxmlformats.org/markup-compatibility/2006">
    <mc:Choice Requires="x15">
      <x15ac:absPath xmlns:x15ac="http://schemas.microsoft.com/office/spreadsheetml/2010/11/ac" url="I:\.shortcut-targets-by-id\1TLkPxhF_a9qKF0esNe9-_JXIEcPOBfxL\00 Streamline\02_Clients\Autoflight\01 Tasks\20230501 ASWING Model - 4-1-13\"/>
    </mc:Choice>
  </mc:AlternateContent>
  <xr:revisionPtr revIDLastSave="0" documentId="13_ncr:1_{D70ABAEA-D8EB-4020-8411-1892150634AE}" xr6:coauthVersionLast="47" xr6:coauthVersionMax="47" xr10:uidLastSave="{00000000-0000-0000-0000-000000000000}"/>
  <bookViews>
    <workbookView xWindow="-120" yWindow="-120" windowWidth="29040" windowHeight="15840" tabRatio="856" activeTab="10" xr2:uid="{00000000-000D-0000-FFFF-FFFF00000000}"/>
  </bookViews>
  <sheets>
    <sheet name="Revisions" sheetId="35" r:id="rId1"/>
    <sheet name="Prosperity Reference" sheetId="34" r:id="rId2"/>
    <sheet name="Inputs" sheetId="46" r:id="rId3"/>
    <sheet name="Inputs-Imperial" sheetId="1" state="hidden" r:id="rId4"/>
    <sheet name="Loads" sheetId="6" state="hidden" r:id="rId5"/>
    <sheet name="Sizing" sheetId="14" state="hidden" r:id="rId6"/>
    <sheet name="Laminate Zones" sheetId="16" state="hidden" r:id="rId7"/>
    <sheet name="Weight " sheetId="15" state="hidden" r:id="rId8"/>
    <sheet name="Stiffness" sheetId="38" state="hidden" r:id="rId9"/>
    <sheet name="ASWING AERO" sheetId="47" r:id="rId10"/>
    <sheet name="ASWING STRUCT" sheetId="45" r:id="rId11"/>
    <sheet name="Trapezoidal Wing Summary" sheetId="40" r:id="rId12"/>
    <sheet name="REF - ASWING AERO-Imperial" sheetId="44" state="hidden" r:id="rId13"/>
    <sheet name="REF - ASWING STRUCT-Imperial" sheetId="43" state="hidden" r:id="rId14"/>
    <sheet name="REF - Materials" sheetId="4" state="hidden" r:id="rId15"/>
    <sheet name="REF - Shear Buckling" sheetId="20" state="hidden" r:id="rId16"/>
    <sheet name="REF - ASWING Input" sheetId="36" state="hidden" r:id="rId17"/>
  </sheet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59" i="45" l="1"/>
  <c r="F59" i="45"/>
  <c r="G59" i="45"/>
  <c r="E60" i="45"/>
  <c r="F60" i="45"/>
  <c r="G60" i="45"/>
  <c r="E61" i="45"/>
  <c r="F61" i="45"/>
  <c r="G61" i="45"/>
  <c r="E62" i="45"/>
  <c r="F62" i="45"/>
  <c r="G62" i="45"/>
  <c r="E63" i="45"/>
  <c r="F63" i="45"/>
  <c r="G63" i="45"/>
  <c r="E64" i="45"/>
  <c r="F64" i="45"/>
  <c r="G64" i="45"/>
  <c r="E65" i="45"/>
  <c r="F65" i="45"/>
  <c r="G65" i="45"/>
  <c r="E66" i="45"/>
  <c r="F66" i="45"/>
  <c r="G66" i="45"/>
  <c r="E67" i="45"/>
  <c r="F67" i="45"/>
  <c r="G67" i="45"/>
  <c r="E68" i="45"/>
  <c r="F68" i="45"/>
  <c r="G68" i="45"/>
  <c r="E69" i="45"/>
  <c r="F69" i="45"/>
  <c r="G69" i="45"/>
  <c r="E70" i="45"/>
  <c r="F70" i="45"/>
  <c r="G70" i="45"/>
  <c r="E71" i="45"/>
  <c r="F71" i="45"/>
  <c r="G71" i="45"/>
  <c r="E72" i="45"/>
  <c r="F72" i="45"/>
  <c r="G72" i="45"/>
  <c r="E73" i="45"/>
  <c r="F73" i="45"/>
  <c r="G73" i="45"/>
  <c r="E74" i="45"/>
  <c r="F74" i="45"/>
  <c r="G74" i="45"/>
  <c r="E75" i="45"/>
  <c r="F75" i="45"/>
  <c r="G75" i="45"/>
  <c r="G58" i="45"/>
  <c r="F58" i="45"/>
  <c r="E58" i="45"/>
  <c r="F53" i="45"/>
  <c r="G53" i="45"/>
  <c r="F54" i="45"/>
  <c r="G54" i="45"/>
  <c r="F55" i="45"/>
  <c r="G55" i="45"/>
  <c r="F56" i="45"/>
  <c r="G56" i="45"/>
  <c r="F57" i="45"/>
  <c r="G57" i="45"/>
  <c r="G52" i="45"/>
  <c r="F52" i="45"/>
  <c r="B79" i="45"/>
  <c r="E19" i="1"/>
  <c r="E23" i="1"/>
  <c r="E58" i="34"/>
  <c r="C57" i="34"/>
  <c r="E55" i="34"/>
  <c r="C55" i="34"/>
  <c r="E57" i="34"/>
  <c r="C58" i="34"/>
  <c r="N56" i="45"/>
  <c r="E2" i="1" l="1"/>
  <c r="AN46" i="40"/>
  <c r="AO46" i="40"/>
  <c r="AP46" i="40"/>
  <c r="AQ46" i="40"/>
  <c r="AR46" i="40"/>
  <c r="AN47" i="40"/>
  <c r="AO47" i="40"/>
  <c r="AP47" i="40"/>
  <c r="AQ47" i="40"/>
  <c r="AR47" i="40"/>
  <c r="AN48" i="40"/>
  <c r="AO48" i="40"/>
  <c r="AP48" i="40"/>
  <c r="AQ48" i="40"/>
  <c r="AR48" i="40"/>
  <c r="AN49" i="40"/>
  <c r="AO49" i="40"/>
  <c r="AP49" i="40"/>
  <c r="AQ49" i="40"/>
  <c r="AR49" i="40"/>
  <c r="AN50" i="40"/>
  <c r="AO50" i="40"/>
  <c r="AP50" i="40"/>
  <c r="AQ50" i="40"/>
  <c r="AR50" i="40"/>
  <c r="AN51" i="40"/>
  <c r="AO51" i="40"/>
  <c r="AP51" i="40"/>
  <c r="AQ51" i="40"/>
  <c r="AR51" i="40"/>
  <c r="AN52" i="40"/>
  <c r="AO52" i="40"/>
  <c r="AP52" i="40"/>
  <c r="AQ52" i="40"/>
  <c r="AR52" i="40"/>
  <c r="AN53" i="40"/>
  <c r="AO53" i="40"/>
  <c r="AP53" i="40"/>
  <c r="AQ53" i="40"/>
  <c r="AR53" i="40"/>
  <c r="AN54" i="40"/>
  <c r="AO54" i="40"/>
  <c r="AP54" i="40"/>
  <c r="AQ54" i="40"/>
  <c r="AR54" i="40"/>
  <c r="AN55" i="40"/>
  <c r="AO55" i="40"/>
  <c r="AP55" i="40"/>
  <c r="AQ55" i="40"/>
  <c r="AR55" i="40"/>
  <c r="AN56" i="40"/>
  <c r="AO56" i="40"/>
  <c r="AP56" i="40"/>
  <c r="AQ56" i="40"/>
  <c r="AR56" i="40"/>
  <c r="AN57" i="40"/>
  <c r="AO57" i="40"/>
  <c r="AP57" i="40"/>
  <c r="AQ57" i="40"/>
  <c r="AR57" i="40"/>
  <c r="AN58" i="40"/>
  <c r="AO58" i="40"/>
  <c r="AP58" i="40"/>
  <c r="AQ58" i="40"/>
  <c r="AR58" i="40"/>
  <c r="AN59" i="40"/>
  <c r="AO59" i="40"/>
  <c r="AP59" i="40"/>
  <c r="AQ59" i="40"/>
  <c r="AR59" i="40"/>
  <c r="AN60" i="40"/>
  <c r="AO60" i="40"/>
  <c r="AP60" i="40"/>
  <c r="AQ60" i="40"/>
  <c r="AR60" i="40"/>
  <c r="AN61" i="40"/>
  <c r="AO61" i="40"/>
  <c r="AP61" i="40"/>
  <c r="AQ61" i="40"/>
  <c r="AR61" i="40"/>
  <c r="AN62" i="40"/>
  <c r="AO62" i="40"/>
  <c r="AP62" i="40"/>
  <c r="AQ62" i="40"/>
  <c r="AR62" i="40"/>
  <c r="AN63" i="40"/>
  <c r="AO63" i="40"/>
  <c r="AP63" i="40"/>
  <c r="AQ63" i="40"/>
  <c r="AR63" i="40"/>
  <c r="AN64" i="40"/>
  <c r="AO64" i="40"/>
  <c r="AP64" i="40"/>
  <c r="AQ64" i="40"/>
  <c r="AR64" i="40"/>
  <c r="AN65" i="40"/>
  <c r="AO65" i="40"/>
  <c r="AP65" i="40"/>
  <c r="AQ65" i="40"/>
  <c r="AR65" i="40"/>
  <c r="AN66" i="40"/>
  <c r="AO66" i="40"/>
  <c r="AP66" i="40"/>
  <c r="AQ66" i="40"/>
  <c r="AR66" i="40"/>
  <c r="AN67" i="40"/>
  <c r="AO67" i="40"/>
  <c r="AP67" i="40"/>
  <c r="AQ67" i="40"/>
  <c r="AR67" i="40"/>
  <c r="AN68" i="40"/>
  <c r="AO68" i="40"/>
  <c r="AP68" i="40"/>
  <c r="AQ68" i="40"/>
  <c r="AR68" i="40"/>
  <c r="AN69" i="40"/>
  <c r="AO69" i="40"/>
  <c r="AP69" i="40"/>
  <c r="AQ69" i="40"/>
  <c r="AR69" i="40"/>
  <c r="AN70" i="40"/>
  <c r="AO70" i="40"/>
  <c r="AP70" i="40"/>
  <c r="AQ70" i="40"/>
  <c r="AR70" i="40"/>
  <c r="AN71" i="40"/>
  <c r="AO71" i="40"/>
  <c r="AP71" i="40"/>
  <c r="AQ71" i="40"/>
  <c r="AR71" i="40"/>
  <c r="AN72" i="40"/>
  <c r="AO72" i="40"/>
  <c r="AP72" i="40"/>
  <c r="AQ72" i="40"/>
  <c r="AR72" i="40"/>
  <c r="AN73" i="40"/>
  <c r="AO73" i="40"/>
  <c r="AP73" i="40"/>
  <c r="AQ73" i="40"/>
  <c r="AR73" i="40"/>
  <c r="AN74" i="40"/>
  <c r="AO74" i="40"/>
  <c r="AP74" i="40"/>
  <c r="AQ74" i="40"/>
  <c r="AR74" i="40"/>
  <c r="AN75" i="40"/>
  <c r="AO75" i="40"/>
  <c r="AP75" i="40"/>
  <c r="AQ75" i="40"/>
  <c r="AR75" i="40"/>
  <c r="AN76" i="40"/>
  <c r="AO76" i="40"/>
  <c r="AP76" i="40"/>
  <c r="AQ76" i="40"/>
  <c r="AR76" i="40"/>
  <c r="AN77" i="40"/>
  <c r="AO77" i="40"/>
  <c r="AP77" i="40"/>
  <c r="AQ77" i="40"/>
  <c r="AR77" i="40"/>
  <c r="AN78" i="40"/>
  <c r="AO78" i="40"/>
  <c r="AP78" i="40"/>
  <c r="AQ78" i="40"/>
  <c r="AR78" i="40"/>
  <c r="AN79" i="40"/>
  <c r="AO79" i="40"/>
  <c r="AP79" i="40"/>
  <c r="AQ79" i="40"/>
  <c r="AR79" i="40"/>
  <c r="AN80" i="40"/>
  <c r="AO80" i="40"/>
  <c r="AP80" i="40"/>
  <c r="AQ80" i="40"/>
  <c r="AR80" i="40"/>
  <c r="AN81" i="40"/>
  <c r="AO81" i="40"/>
  <c r="AP81" i="40"/>
  <c r="AQ81" i="40"/>
  <c r="AR81" i="40"/>
  <c r="AN82" i="40"/>
  <c r="AO82" i="40"/>
  <c r="AP82" i="40"/>
  <c r="AQ82" i="40"/>
  <c r="AR82" i="40"/>
  <c r="AN83" i="40"/>
  <c r="AO83" i="40"/>
  <c r="AP83" i="40"/>
  <c r="AQ83" i="40"/>
  <c r="AR83" i="40"/>
  <c r="AN84" i="40"/>
  <c r="AO84" i="40"/>
  <c r="AP84" i="40"/>
  <c r="AQ84" i="40"/>
  <c r="AR84" i="40"/>
  <c r="AN85" i="40"/>
  <c r="AO85" i="40"/>
  <c r="AP85" i="40"/>
  <c r="AQ85" i="40"/>
  <c r="AR85" i="40"/>
  <c r="AN86" i="40"/>
  <c r="AO86" i="40"/>
  <c r="AP86" i="40"/>
  <c r="AQ86" i="40"/>
  <c r="AR86" i="40"/>
  <c r="AN87" i="40"/>
  <c r="AO87" i="40"/>
  <c r="AP87" i="40"/>
  <c r="AQ87" i="40"/>
  <c r="AR87" i="40"/>
  <c r="AN88" i="40"/>
  <c r="AO88" i="40"/>
  <c r="AP88" i="40"/>
  <c r="AQ88" i="40"/>
  <c r="AR88" i="40"/>
  <c r="AN89" i="40"/>
  <c r="AO89" i="40"/>
  <c r="AP89" i="40"/>
  <c r="AQ89" i="40"/>
  <c r="AR89" i="40"/>
  <c r="AN90" i="40"/>
  <c r="AO90" i="40"/>
  <c r="AP90" i="40"/>
  <c r="AQ90" i="40"/>
  <c r="AR90" i="40"/>
  <c r="AN91" i="40"/>
  <c r="AO91" i="40"/>
  <c r="AP91" i="40"/>
  <c r="AQ91" i="40"/>
  <c r="AR91" i="40"/>
  <c r="AN92" i="40"/>
  <c r="AO92" i="40"/>
  <c r="AP92" i="40"/>
  <c r="AQ92" i="40"/>
  <c r="AR92" i="40"/>
  <c r="AN93" i="40"/>
  <c r="AO93" i="40"/>
  <c r="AP93" i="40"/>
  <c r="AQ93" i="40"/>
  <c r="AR93" i="40"/>
  <c r="AN94" i="40"/>
  <c r="AO94" i="40"/>
  <c r="AP94" i="40"/>
  <c r="AQ94" i="40"/>
  <c r="AR94" i="40"/>
  <c r="AN95" i="40"/>
  <c r="AO95" i="40"/>
  <c r="AP95" i="40"/>
  <c r="AQ95" i="40"/>
  <c r="AR95" i="40"/>
  <c r="AN96" i="40"/>
  <c r="AO96" i="40"/>
  <c r="AP96" i="40"/>
  <c r="AQ96" i="40"/>
  <c r="AR96" i="40"/>
  <c r="AN97" i="40"/>
  <c r="AO97" i="40"/>
  <c r="AP97" i="40"/>
  <c r="AQ97" i="40"/>
  <c r="AR97" i="40"/>
  <c r="AN98" i="40"/>
  <c r="AO98" i="40"/>
  <c r="AP98" i="40"/>
  <c r="AQ98" i="40"/>
  <c r="AR98" i="40"/>
  <c r="AN99" i="40"/>
  <c r="AO99" i="40"/>
  <c r="AP99" i="40"/>
  <c r="AQ99" i="40"/>
  <c r="AR99" i="40"/>
  <c r="AN100" i="40"/>
  <c r="AO100" i="40"/>
  <c r="AP100" i="40"/>
  <c r="AQ100" i="40"/>
  <c r="AR100" i="40"/>
  <c r="AN101" i="40"/>
  <c r="AO101" i="40"/>
  <c r="AP101" i="40"/>
  <c r="AQ101" i="40"/>
  <c r="AR101" i="40"/>
  <c r="AN102" i="40"/>
  <c r="AO102" i="40"/>
  <c r="AP102" i="40"/>
  <c r="AQ102" i="40"/>
  <c r="AR102" i="40"/>
  <c r="AN103" i="40"/>
  <c r="AO103" i="40"/>
  <c r="AP103" i="40"/>
  <c r="AQ103" i="40"/>
  <c r="AR103" i="40"/>
  <c r="AN104" i="40"/>
  <c r="AO104" i="40"/>
  <c r="AP104" i="40"/>
  <c r="AQ104" i="40"/>
  <c r="AR104" i="40"/>
  <c r="AN105" i="40"/>
  <c r="AO105" i="40"/>
  <c r="AP105" i="40"/>
  <c r="AQ105" i="40"/>
  <c r="AR105" i="40"/>
  <c r="AN106" i="40"/>
  <c r="AO106" i="40"/>
  <c r="AP106" i="40"/>
  <c r="AQ106" i="40"/>
  <c r="AR106" i="40"/>
  <c r="AN107" i="40"/>
  <c r="AO107" i="40"/>
  <c r="AP107" i="40"/>
  <c r="AQ107" i="40"/>
  <c r="AR107" i="40"/>
  <c r="AN108" i="40"/>
  <c r="AO108" i="40"/>
  <c r="AP108" i="40"/>
  <c r="AQ108" i="40"/>
  <c r="AR108" i="40"/>
  <c r="AN109" i="40"/>
  <c r="AO109" i="40"/>
  <c r="AP109" i="40"/>
  <c r="AQ109" i="40"/>
  <c r="AR109" i="40"/>
  <c r="AN110" i="40"/>
  <c r="AO110" i="40"/>
  <c r="AP110" i="40"/>
  <c r="AQ110" i="40"/>
  <c r="AR110" i="40"/>
  <c r="AN111" i="40"/>
  <c r="AO111" i="40"/>
  <c r="AP111" i="40"/>
  <c r="AQ111" i="40"/>
  <c r="AR111" i="40"/>
  <c r="AN112" i="40"/>
  <c r="AO112" i="40"/>
  <c r="AP112" i="40"/>
  <c r="AQ112" i="40"/>
  <c r="AR112" i="40"/>
  <c r="AN113" i="40"/>
  <c r="AO113" i="40"/>
  <c r="AP113" i="40"/>
  <c r="AQ113" i="40"/>
  <c r="AR113" i="40"/>
  <c r="AN114" i="40"/>
  <c r="AO114" i="40"/>
  <c r="AP114" i="40"/>
  <c r="AQ114" i="40"/>
  <c r="AR114" i="40"/>
  <c r="AN115" i="40"/>
  <c r="AO115" i="40"/>
  <c r="AP115" i="40"/>
  <c r="AQ115" i="40"/>
  <c r="AR115" i="40"/>
  <c r="AN116" i="40"/>
  <c r="AO116" i="40"/>
  <c r="AP116" i="40"/>
  <c r="AQ116" i="40"/>
  <c r="AR116" i="40"/>
  <c r="AN117" i="40"/>
  <c r="AO117" i="40"/>
  <c r="AP117" i="40"/>
  <c r="AQ117" i="40"/>
  <c r="AR117" i="40"/>
  <c r="AN118" i="40"/>
  <c r="AO118" i="40"/>
  <c r="AP118" i="40"/>
  <c r="AQ118" i="40"/>
  <c r="AR118" i="40"/>
  <c r="AN119" i="40"/>
  <c r="AO119" i="40"/>
  <c r="AP119" i="40"/>
  <c r="AQ119" i="40"/>
  <c r="AR119" i="40"/>
  <c r="AN120" i="40"/>
  <c r="AO120" i="40"/>
  <c r="AP120" i="40"/>
  <c r="AQ120" i="40"/>
  <c r="AR120" i="40"/>
  <c r="AN121" i="40"/>
  <c r="AO121" i="40"/>
  <c r="AP121" i="40"/>
  <c r="AQ121" i="40"/>
  <c r="AR121" i="40"/>
  <c r="AN122" i="40"/>
  <c r="AO122" i="40"/>
  <c r="AP122" i="40"/>
  <c r="AQ122" i="40"/>
  <c r="AR122" i="40"/>
  <c r="AN123" i="40"/>
  <c r="AO123" i="40"/>
  <c r="AP123" i="40"/>
  <c r="AQ123" i="40"/>
  <c r="AR123" i="40"/>
  <c r="AN124" i="40"/>
  <c r="AO124" i="40"/>
  <c r="AP124" i="40"/>
  <c r="AQ124" i="40"/>
  <c r="AR124" i="40"/>
  <c r="AN125" i="40"/>
  <c r="AO125" i="40"/>
  <c r="AP125" i="40"/>
  <c r="AQ125" i="40"/>
  <c r="AR125" i="40"/>
  <c r="AN126" i="40"/>
  <c r="AO126" i="40"/>
  <c r="AP126" i="40"/>
  <c r="AQ126" i="40"/>
  <c r="AR126" i="40"/>
  <c r="AN127" i="40"/>
  <c r="AO127" i="40"/>
  <c r="AP127" i="40"/>
  <c r="AQ127" i="40"/>
  <c r="AR127" i="40"/>
  <c r="AN128" i="40"/>
  <c r="AO128" i="40"/>
  <c r="AP128" i="40"/>
  <c r="AQ128" i="40"/>
  <c r="AR128" i="40"/>
  <c r="AN129" i="40"/>
  <c r="AO129" i="40"/>
  <c r="AP129" i="40"/>
  <c r="AQ129" i="40"/>
  <c r="AR129" i="40"/>
  <c r="AN130" i="40"/>
  <c r="AO130" i="40"/>
  <c r="AP130" i="40"/>
  <c r="AQ130" i="40"/>
  <c r="AR130" i="40"/>
  <c r="AN131" i="40"/>
  <c r="AO131" i="40"/>
  <c r="AP131" i="40"/>
  <c r="AQ131" i="40"/>
  <c r="AR131" i="40"/>
  <c r="AN132" i="40"/>
  <c r="AO132" i="40"/>
  <c r="AP132" i="40"/>
  <c r="AQ132" i="40"/>
  <c r="AR132" i="40"/>
  <c r="AN133" i="40"/>
  <c r="AO133" i="40"/>
  <c r="AP133" i="40"/>
  <c r="AQ133" i="40"/>
  <c r="AR133" i="40"/>
  <c r="AN134" i="40"/>
  <c r="AO134" i="40"/>
  <c r="AP134" i="40"/>
  <c r="AQ134" i="40"/>
  <c r="AR134" i="40"/>
  <c r="AN135" i="40"/>
  <c r="AO135" i="40"/>
  <c r="AP135" i="40"/>
  <c r="AQ135" i="40"/>
  <c r="AR135" i="40"/>
  <c r="AN136" i="40"/>
  <c r="AO136" i="40"/>
  <c r="AP136" i="40"/>
  <c r="AQ136" i="40"/>
  <c r="AR136" i="40"/>
  <c r="AN137" i="40"/>
  <c r="AO137" i="40"/>
  <c r="AP137" i="40"/>
  <c r="AQ137" i="40"/>
  <c r="AR137" i="40"/>
  <c r="AN138" i="40"/>
  <c r="AO138" i="40"/>
  <c r="AP138" i="40"/>
  <c r="AQ138" i="40"/>
  <c r="AR138" i="40"/>
  <c r="AN139" i="40"/>
  <c r="AO139" i="40"/>
  <c r="AP139" i="40"/>
  <c r="AQ139" i="40"/>
  <c r="AR139" i="40"/>
  <c r="AN140" i="40"/>
  <c r="AO140" i="40"/>
  <c r="AP140" i="40"/>
  <c r="AQ140" i="40"/>
  <c r="AR140" i="40"/>
  <c r="AN141" i="40"/>
  <c r="AO141" i="40"/>
  <c r="AP141" i="40"/>
  <c r="AQ141" i="40"/>
  <c r="AR141" i="40"/>
  <c r="AN142" i="40"/>
  <c r="AO142" i="40"/>
  <c r="AP142" i="40"/>
  <c r="AQ142" i="40"/>
  <c r="AR142" i="40"/>
  <c r="AN143" i="40"/>
  <c r="AO143" i="40"/>
  <c r="AP143" i="40"/>
  <c r="AQ143" i="40"/>
  <c r="AR143" i="40"/>
  <c r="AN144" i="40"/>
  <c r="AN145" i="40" s="1"/>
  <c r="AO144" i="40"/>
  <c r="AO145" i="40" s="1"/>
  <c r="AP144" i="40"/>
  <c r="AP145" i="40" s="1"/>
  <c r="AQ144" i="40"/>
  <c r="AQ145" i="40" s="1"/>
  <c r="AR144" i="40"/>
  <c r="AR145" i="40" s="1"/>
  <c r="AN45" i="40"/>
  <c r="AQ45" i="40"/>
  <c r="AP45" i="40"/>
  <c r="AO45" i="40"/>
  <c r="AR45" i="40"/>
  <c r="AY25" i="47"/>
  <c r="AX25" i="47"/>
  <c r="AY24" i="47"/>
  <c r="AX24" i="47"/>
  <c r="BO25" i="47"/>
  <c r="BP25" i="47"/>
  <c r="BP24" i="47"/>
  <c r="BO24" i="47"/>
  <c r="AF25" i="47"/>
  <c r="AF26" i="47"/>
  <c r="AF27" i="47"/>
  <c r="AF28" i="47"/>
  <c r="AF29" i="47"/>
  <c r="AF30" i="47"/>
  <c r="AF24" i="47"/>
  <c r="N25" i="47"/>
  <c r="N26" i="47"/>
  <c r="N27" i="47"/>
  <c r="N28" i="47"/>
  <c r="N29" i="47"/>
  <c r="N30" i="47"/>
  <c r="N31" i="47"/>
  <c r="N32" i="47"/>
  <c r="N33" i="47"/>
  <c r="N34" i="47"/>
  <c r="N35" i="47"/>
  <c r="N36" i="47"/>
  <c r="N37" i="47"/>
  <c r="N38" i="47"/>
  <c r="N39" i="47"/>
  <c r="N24" i="47"/>
  <c r="AB2" i="47"/>
  <c r="Y2" i="47"/>
  <c r="AE28" i="47" s="1"/>
  <c r="V2" i="47"/>
  <c r="M25" i="47" s="1"/>
  <c r="M28" i="47" l="1"/>
  <c r="M39" i="47"/>
  <c r="AE30" i="47"/>
  <c r="M32" i="47"/>
  <c r="M27" i="47"/>
  <c r="M36" i="47"/>
  <c r="M31" i="47"/>
  <c r="AE27" i="47"/>
  <c r="M24" i="47"/>
  <c r="AE24" i="47"/>
  <c r="M35" i="47"/>
  <c r="AE26" i="47"/>
  <c r="M38" i="47"/>
  <c r="M34" i="47"/>
  <c r="M30" i="47"/>
  <c r="M26" i="47"/>
  <c r="AE29" i="47"/>
  <c r="AE25" i="47"/>
  <c r="M37" i="47"/>
  <c r="M33" i="47"/>
  <c r="M29" i="47"/>
  <c r="H77" i="45"/>
  <c r="E57" i="45" l="1"/>
  <c r="E52" i="45"/>
  <c r="AT6" i="47"/>
  <c r="AT7" i="47"/>
  <c r="AT8" i="47"/>
  <c r="BM25" i="47"/>
  <c r="BK25" i="47"/>
  <c r="BG25" i="47"/>
  <c r="BF25" i="47"/>
  <c r="BE25" i="47"/>
  <c r="BD25" i="47"/>
  <c r="AU25" i="47"/>
  <c r="BL25" i="47" s="1"/>
  <c r="AW25" i="47"/>
  <c r="BN25" i="47" s="1"/>
  <c r="AS25" i="47"/>
  <c r="AS24" i="47" s="1"/>
  <c r="AQ25" i="47"/>
  <c r="BH25" i="47" s="1"/>
  <c r="AQ24" i="47"/>
  <c r="AR24" i="47" s="1"/>
  <c r="AU24" i="47"/>
  <c r="AW24" i="47"/>
  <c r="J24" i="47"/>
  <c r="E10" i="46"/>
  <c r="BD34" i="44"/>
  <c r="BC34" i="44"/>
  <c r="BB34" i="44"/>
  <c r="BA34" i="44"/>
  <c r="AZ34" i="44"/>
  <c r="AY34" i="44"/>
  <c r="AX34" i="44"/>
  <c r="AW34" i="44"/>
  <c r="AV34" i="44"/>
  <c r="AU34" i="44"/>
  <c r="AT34" i="44"/>
  <c r="AS34" i="44"/>
  <c r="AR34" i="44"/>
  <c r="BD33" i="44"/>
  <c r="BC33" i="44"/>
  <c r="BB33" i="44"/>
  <c r="BA33" i="44"/>
  <c r="AZ33" i="44"/>
  <c r="AY33" i="44"/>
  <c r="AX33" i="44"/>
  <c r="AW33" i="44"/>
  <c r="AV33" i="44"/>
  <c r="AU33" i="44"/>
  <c r="AT33" i="44"/>
  <c r="AS33" i="44"/>
  <c r="AR33" i="44"/>
  <c r="BD32" i="44"/>
  <c r="BC32" i="44"/>
  <c r="BB32" i="44"/>
  <c r="BA32" i="44"/>
  <c r="AZ32" i="44"/>
  <c r="AY32" i="44"/>
  <c r="AX32" i="44"/>
  <c r="AW32" i="44"/>
  <c r="AV32" i="44"/>
  <c r="AU32" i="44"/>
  <c r="AT32" i="44"/>
  <c r="AS32" i="44"/>
  <c r="AR32" i="44"/>
  <c r="BD31" i="44"/>
  <c r="BC31" i="44"/>
  <c r="BB31" i="44"/>
  <c r="BA31" i="44"/>
  <c r="AZ31" i="44"/>
  <c r="AY31" i="44"/>
  <c r="AX31" i="44"/>
  <c r="AW31" i="44"/>
  <c r="AV31" i="44"/>
  <c r="AU31" i="44"/>
  <c r="AT31" i="44"/>
  <c r="AS31" i="44"/>
  <c r="AR31" i="44"/>
  <c r="BD30" i="44"/>
  <c r="BC30" i="44"/>
  <c r="BB30" i="44"/>
  <c r="BA30" i="44"/>
  <c r="AZ30" i="44"/>
  <c r="AY30" i="44"/>
  <c r="AX30" i="44"/>
  <c r="AW30" i="44"/>
  <c r="AV30" i="44"/>
  <c r="AU30" i="44"/>
  <c r="AT30" i="44"/>
  <c r="AS30" i="44"/>
  <c r="AR30" i="44"/>
  <c r="BD29" i="44"/>
  <c r="BC29" i="44"/>
  <c r="BB29" i="44"/>
  <c r="BA29" i="44"/>
  <c r="AZ29" i="44"/>
  <c r="AY29" i="44"/>
  <c r="AX29" i="44"/>
  <c r="AW29" i="44"/>
  <c r="AV29" i="44"/>
  <c r="AU29" i="44"/>
  <c r="AT29" i="44"/>
  <c r="AS29" i="44"/>
  <c r="AR29" i="44"/>
  <c r="BD28" i="44"/>
  <c r="BC28" i="44"/>
  <c r="BB28" i="44"/>
  <c r="BA28" i="44"/>
  <c r="AZ28" i="44"/>
  <c r="AY28" i="44"/>
  <c r="AX28" i="44"/>
  <c r="AW28" i="44"/>
  <c r="AV28" i="44"/>
  <c r="AU28" i="44"/>
  <c r="AT28" i="44"/>
  <c r="AS28" i="44"/>
  <c r="AR28" i="44"/>
  <c r="BD27" i="44"/>
  <c r="BC27" i="44"/>
  <c r="BB27" i="44"/>
  <c r="BA27" i="44"/>
  <c r="AZ27" i="44"/>
  <c r="AY27" i="44"/>
  <c r="AX27" i="44"/>
  <c r="AW27" i="44"/>
  <c r="AV27" i="44"/>
  <c r="AU27" i="44"/>
  <c r="AT27" i="44"/>
  <c r="AS27" i="44"/>
  <c r="AR27" i="44"/>
  <c r="AW26" i="44"/>
  <c r="AE26" i="44"/>
  <c r="C12" i="6"/>
  <c r="C13" i="6"/>
  <c r="B13" i="6"/>
  <c r="B12" i="6"/>
  <c r="AG26" i="44"/>
  <c r="AH26" i="44"/>
  <c r="AI26" i="44"/>
  <c r="AJ26" i="44"/>
  <c r="AL26" i="44"/>
  <c r="AE27" i="44"/>
  <c r="AF27" i="44"/>
  <c r="AG27" i="44"/>
  <c r="AH27" i="44"/>
  <c r="AI27" i="44"/>
  <c r="AJ27" i="44"/>
  <c r="AK27" i="44"/>
  <c r="AL27" i="44"/>
  <c r="AM27" i="44"/>
  <c r="AN27" i="44"/>
  <c r="AO27" i="44"/>
  <c r="AP27" i="44"/>
  <c r="AQ27" i="44"/>
  <c r="AE28" i="44"/>
  <c r="AF28" i="44"/>
  <c r="AG28" i="44"/>
  <c r="AH28" i="44"/>
  <c r="AI28" i="44"/>
  <c r="AJ28" i="44"/>
  <c r="AK28" i="44"/>
  <c r="AL28" i="44"/>
  <c r="AM28" i="44"/>
  <c r="AN28" i="44"/>
  <c r="AO28" i="44"/>
  <c r="AP28" i="44"/>
  <c r="AQ28" i="44"/>
  <c r="AE29" i="44"/>
  <c r="AF29" i="44"/>
  <c r="AG29" i="44"/>
  <c r="AH29" i="44"/>
  <c r="AI29" i="44"/>
  <c r="AJ29" i="44"/>
  <c r="AK29" i="44"/>
  <c r="AL29" i="44"/>
  <c r="AM29" i="44"/>
  <c r="AN29" i="44"/>
  <c r="AO29" i="44"/>
  <c r="AP29" i="44"/>
  <c r="AQ29" i="44"/>
  <c r="AE30" i="44"/>
  <c r="AF30" i="44"/>
  <c r="AG30" i="44"/>
  <c r="AH30" i="44"/>
  <c r="AI30" i="44"/>
  <c r="AJ30" i="44"/>
  <c r="AK30" i="44"/>
  <c r="AL30" i="44"/>
  <c r="AM30" i="44"/>
  <c r="AN30" i="44"/>
  <c r="AO30" i="44"/>
  <c r="AP30" i="44"/>
  <c r="AQ30" i="44"/>
  <c r="AE31" i="44"/>
  <c r="AF31" i="44"/>
  <c r="AG31" i="44"/>
  <c r="AH31" i="44"/>
  <c r="AI31" i="44"/>
  <c r="AJ31" i="44"/>
  <c r="AK31" i="44"/>
  <c r="AL31" i="44"/>
  <c r="AM31" i="44"/>
  <c r="AN31" i="44"/>
  <c r="AO31" i="44"/>
  <c r="AP31" i="44"/>
  <c r="AQ31" i="44"/>
  <c r="AE32" i="44"/>
  <c r="AF32" i="44"/>
  <c r="AG32" i="44"/>
  <c r="AH32" i="44"/>
  <c r="AI32" i="44"/>
  <c r="AJ32" i="44"/>
  <c r="AK32" i="44"/>
  <c r="AL32" i="44"/>
  <c r="AM32" i="44"/>
  <c r="AN32" i="44"/>
  <c r="AO32" i="44"/>
  <c r="AP32" i="44"/>
  <c r="AQ32" i="44"/>
  <c r="AE33" i="44"/>
  <c r="AF33" i="44"/>
  <c r="AG33" i="44"/>
  <c r="AH33" i="44"/>
  <c r="AI33" i="44"/>
  <c r="AJ33" i="44"/>
  <c r="AK33" i="44"/>
  <c r="AL33" i="44"/>
  <c r="AM33" i="44"/>
  <c r="AN33" i="44"/>
  <c r="AO33" i="44"/>
  <c r="AP33" i="44"/>
  <c r="AQ33" i="44"/>
  <c r="AE34" i="44"/>
  <c r="AF34" i="44"/>
  <c r="AG34" i="44"/>
  <c r="AH34" i="44"/>
  <c r="AI34" i="44"/>
  <c r="AJ34" i="44"/>
  <c r="AK34" i="44"/>
  <c r="AL34" i="44"/>
  <c r="AM34" i="44"/>
  <c r="AN34" i="44"/>
  <c r="AO34" i="44"/>
  <c r="AP34" i="44"/>
  <c r="AQ34" i="44"/>
  <c r="O31" i="44"/>
  <c r="P31" i="44"/>
  <c r="Q31" i="44"/>
  <c r="R31" i="44"/>
  <c r="S31" i="44"/>
  <c r="T31" i="44"/>
  <c r="U31" i="44"/>
  <c r="V31" i="44"/>
  <c r="W31" i="44"/>
  <c r="X31" i="44"/>
  <c r="Y31" i="44"/>
  <c r="Z31" i="44"/>
  <c r="AA31" i="44"/>
  <c r="AB31" i="44"/>
  <c r="AC31" i="44"/>
  <c r="AD31" i="44"/>
  <c r="O32" i="44"/>
  <c r="P32" i="44"/>
  <c r="Q32" i="44"/>
  <c r="R32" i="44"/>
  <c r="S32" i="44"/>
  <c r="T32" i="44"/>
  <c r="U32" i="44"/>
  <c r="V32" i="44"/>
  <c r="W32" i="44"/>
  <c r="X32" i="44"/>
  <c r="Y32" i="44"/>
  <c r="Z32" i="44"/>
  <c r="AA32" i="44"/>
  <c r="AB32" i="44"/>
  <c r="AC32" i="44"/>
  <c r="AD32" i="44"/>
  <c r="O33" i="44"/>
  <c r="P33" i="44"/>
  <c r="Q33" i="44"/>
  <c r="R33" i="44"/>
  <c r="S33" i="44"/>
  <c r="T33" i="44"/>
  <c r="U33" i="44"/>
  <c r="V33" i="44"/>
  <c r="W33" i="44"/>
  <c r="X33" i="44"/>
  <c r="Y33" i="44"/>
  <c r="Z33" i="44"/>
  <c r="AA33" i="44"/>
  <c r="AB33" i="44"/>
  <c r="AC33" i="44"/>
  <c r="AD33" i="44"/>
  <c r="O34" i="44"/>
  <c r="P34" i="44"/>
  <c r="Q34" i="44"/>
  <c r="R34" i="44"/>
  <c r="S34" i="44"/>
  <c r="T34" i="44"/>
  <c r="U34" i="44"/>
  <c r="V34" i="44"/>
  <c r="W34" i="44"/>
  <c r="X34" i="44"/>
  <c r="Y34" i="44"/>
  <c r="Z34" i="44"/>
  <c r="AA34" i="44"/>
  <c r="AB34" i="44"/>
  <c r="AC34" i="44"/>
  <c r="AD34" i="44"/>
  <c r="E22" i="1"/>
  <c r="BJ25" i="47" l="1"/>
  <c r="AR25" i="47"/>
  <c r="BI25" i="47" s="1"/>
  <c r="AM26" i="44"/>
  <c r="E11" i="34"/>
  <c r="E10" i="34"/>
  <c r="E9" i="34"/>
  <c r="FU51" i="45"/>
  <c r="FV51" i="45"/>
  <c r="FW51" i="45"/>
  <c r="FX51" i="45"/>
  <c r="FY51" i="45"/>
  <c r="FZ51" i="45"/>
  <c r="GA51" i="45"/>
  <c r="GB51" i="45"/>
  <c r="GC51" i="45"/>
  <c r="GD51" i="45"/>
  <c r="GE51" i="45"/>
  <c r="GF51" i="45"/>
  <c r="GG51" i="45"/>
  <c r="GH51" i="45"/>
  <c r="GI51" i="45"/>
  <c r="GJ51" i="45"/>
  <c r="GK51" i="45"/>
  <c r="GL51" i="45"/>
  <c r="GM51" i="45"/>
  <c r="GN51" i="45"/>
  <c r="GO51" i="45"/>
  <c r="GP51" i="45"/>
  <c r="GQ51" i="45"/>
  <c r="GR51" i="45"/>
  <c r="GS51" i="45"/>
  <c r="GT51" i="45"/>
  <c r="GU51" i="45"/>
  <c r="GV51" i="45"/>
  <c r="GW51" i="45"/>
  <c r="GX51" i="45"/>
  <c r="GY51" i="45"/>
  <c r="GZ51" i="45"/>
  <c r="HA51" i="45"/>
  <c r="HB51" i="45"/>
  <c r="HC51" i="45"/>
  <c r="HD51" i="45"/>
  <c r="HE51" i="45"/>
  <c r="HF51" i="45"/>
  <c r="HG51" i="45"/>
  <c r="HH51" i="45"/>
  <c r="HI51" i="45"/>
  <c r="HJ51" i="45"/>
  <c r="HK51" i="45"/>
  <c r="FU52" i="45"/>
  <c r="FV52" i="45"/>
  <c r="FW52" i="45"/>
  <c r="FX52" i="45"/>
  <c r="FY52" i="45"/>
  <c r="FZ52" i="45"/>
  <c r="GA52" i="45"/>
  <c r="GB52" i="45"/>
  <c r="GC52" i="45"/>
  <c r="GD52" i="45"/>
  <c r="GE52" i="45"/>
  <c r="GF52" i="45"/>
  <c r="GG52" i="45"/>
  <c r="GH52" i="45"/>
  <c r="GI52" i="45"/>
  <c r="GJ52" i="45"/>
  <c r="GK52" i="45"/>
  <c r="GL52" i="45"/>
  <c r="GM52" i="45"/>
  <c r="GN52" i="45"/>
  <c r="GO52" i="45"/>
  <c r="GP52" i="45"/>
  <c r="GQ52" i="45"/>
  <c r="GR52" i="45"/>
  <c r="GS52" i="45"/>
  <c r="GT52" i="45"/>
  <c r="GU52" i="45"/>
  <c r="GV52" i="45"/>
  <c r="GW52" i="45"/>
  <c r="GX52" i="45"/>
  <c r="GY52" i="45"/>
  <c r="GZ52" i="45"/>
  <c r="HA52" i="45"/>
  <c r="HB52" i="45"/>
  <c r="HC52" i="45"/>
  <c r="HD52" i="45"/>
  <c r="HE52" i="45"/>
  <c r="HF52" i="45"/>
  <c r="HG52" i="45"/>
  <c r="HH52" i="45"/>
  <c r="HI52" i="45"/>
  <c r="HJ52" i="45"/>
  <c r="HK52" i="45"/>
  <c r="FU53" i="45"/>
  <c r="FV53" i="45"/>
  <c r="FW53" i="45"/>
  <c r="FX53" i="45"/>
  <c r="FY53" i="45"/>
  <c r="FZ53" i="45"/>
  <c r="GA53" i="45"/>
  <c r="GB53" i="45"/>
  <c r="GC53" i="45"/>
  <c r="GD53" i="45"/>
  <c r="GE53" i="45"/>
  <c r="GF53" i="45"/>
  <c r="GG53" i="45"/>
  <c r="GH53" i="45"/>
  <c r="GI53" i="45"/>
  <c r="GJ53" i="45"/>
  <c r="GK53" i="45"/>
  <c r="GL53" i="45"/>
  <c r="GM53" i="45"/>
  <c r="GN53" i="45"/>
  <c r="GO53" i="45"/>
  <c r="GP53" i="45"/>
  <c r="GQ53" i="45"/>
  <c r="GR53" i="45"/>
  <c r="GS53" i="45"/>
  <c r="GT53" i="45"/>
  <c r="GU53" i="45"/>
  <c r="GV53" i="45"/>
  <c r="GW53" i="45"/>
  <c r="GX53" i="45"/>
  <c r="GY53" i="45"/>
  <c r="GZ53" i="45"/>
  <c r="HA53" i="45"/>
  <c r="HB53" i="45"/>
  <c r="HC53" i="45"/>
  <c r="HD53" i="45"/>
  <c r="HE53" i="45"/>
  <c r="HF53" i="45"/>
  <c r="HG53" i="45"/>
  <c r="HH53" i="45"/>
  <c r="HI53" i="45"/>
  <c r="HJ53" i="45"/>
  <c r="HK53" i="45"/>
  <c r="FU54" i="45"/>
  <c r="FV54" i="45"/>
  <c r="FW54" i="45"/>
  <c r="FX54" i="45"/>
  <c r="FY54" i="45"/>
  <c r="FZ54" i="45"/>
  <c r="GA54" i="45"/>
  <c r="GB54" i="45"/>
  <c r="GC54" i="45"/>
  <c r="GD54" i="45"/>
  <c r="GE54" i="45"/>
  <c r="GF54" i="45"/>
  <c r="GG54" i="45"/>
  <c r="GH54" i="45"/>
  <c r="GI54" i="45"/>
  <c r="GJ54" i="45"/>
  <c r="GK54" i="45"/>
  <c r="GL54" i="45"/>
  <c r="GM54" i="45"/>
  <c r="GN54" i="45"/>
  <c r="GO54" i="45"/>
  <c r="GP54" i="45"/>
  <c r="GQ54" i="45"/>
  <c r="GR54" i="45"/>
  <c r="GS54" i="45"/>
  <c r="GT54" i="45"/>
  <c r="GU54" i="45"/>
  <c r="GV54" i="45"/>
  <c r="GW54" i="45"/>
  <c r="GX54" i="45"/>
  <c r="GY54" i="45"/>
  <c r="GZ54" i="45"/>
  <c r="HA54" i="45"/>
  <c r="HB54" i="45"/>
  <c r="HC54" i="45"/>
  <c r="HD54" i="45"/>
  <c r="HE54" i="45"/>
  <c r="HF54" i="45"/>
  <c r="HG54" i="45"/>
  <c r="HH54" i="45"/>
  <c r="HI54" i="45"/>
  <c r="HJ54" i="45"/>
  <c r="HK54" i="45"/>
  <c r="FU55" i="45"/>
  <c r="FV55" i="45"/>
  <c r="FW55" i="45"/>
  <c r="FX55" i="45"/>
  <c r="FY55" i="45"/>
  <c r="FZ55" i="45"/>
  <c r="GA55" i="45"/>
  <c r="GB55" i="45"/>
  <c r="GC55" i="45"/>
  <c r="GD55" i="45"/>
  <c r="GE55" i="45"/>
  <c r="GF55" i="45"/>
  <c r="GG55" i="45"/>
  <c r="GH55" i="45"/>
  <c r="GI55" i="45"/>
  <c r="GJ55" i="45"/>
  <c r="GK55" i="45"/>
  <c r="GL55" i="45"/>
  <c r="GM55" i="45"/>
  <c r="GN55" i="45"/>
  <c r="GO55" i="45"/>
  <c r="GP55" i="45"/>
  <c r="GQ55" i="45"/>
  <c r="GR55" i="45"/>
  <c r="GS55" i="45"/>
  <c r="GT55" i="45"/>
  <c r="GU55" i="45"/>
  <c r="GV55" i="45"/>
  <c r="GW55" i="45"/>
  <c r="GX55" i="45"/>
  <c r="GY55" i="45"/>
  <c r="GZ55" i="45"/>
  <c r="HA55" i="45"/>
  <c r="HB55" i="45"/>
  <c r="HC55" i="45"/>
  <c r="HD55" i="45"/>
  <c r="HE55" i="45"/>
  <c r="HF55" i="45"/>
  <c r="HG55" i="45"/>
  <c r="HH55" i="45"/>
  <c r="HI55" i="45"/>
  <c r="HJ55" i="45"/>
  <c r="HK55" i="45"/>
  <c r="FU56" i="45"/>
  <c r="FV56" i="45"/>
  <c r="FW56" i="45"/>
  <c r="FX56" i="45"/>
  <c r="FY56" i="45"/>
  <c r="FZ56" i="45"/>
  <c r="GA56" i="45"/>
  <c r="GB56" i="45"/>
  <c r="GC56" i="45"/>
  <c r="GD56" i="45"/>
  <c r="GE56" i="45"/>
  <c r="GF56" i="45"/>
  <c r="GG56" i="45"/>
  <c r="GH56" i="45"/>
  <c r="GI56" i="45"/>
  <c r="GJ56" i="45"/>
  <c r="GK56" i="45"/>
  <c r="GL56" i="45"/>
  <c r="GM56" i="45"/>
  <c r="GN56" i="45"/>
  <c r="GO56" i="45"/>
  <c r="GP56" i="45"/>
  <c r="GQ56" i="45"/>
  <c r="GR56" i="45"/>
  <c r="GS56" i="45"/>
  <c r="GT56" i="45"/>
  <c r="GU56" i="45"/>
  <c r="GV56" i="45"/>
  <c r="GW56" i="45"/>
  <c r="GX56" i="45"/>
  <c r="GY56" i="45"/>
  <c r="GZ56" i="45"/>
  <c r="HA56" i="45"/>
  <c r="HB56" i="45"/>
  <c r="HC56" i="45"/>
  <c r="HD56" i="45"/>
  <c r="HE56" i="45"/>
  <c r="HF56" i="45"/>
  <c r="HG56" i="45"/>
  <c r="HH56" i="45"/>
  <c r="HI56" i="45"/>
  <c r="HJ56" i="45"/>
  <c r="HK56" i="45"/>
  <c r="FU57" i="45"/>
  <c r="FV57" i="45"/>
  <c r="FW57" i="45"/>
  <c r="FX57" i="45"/>
  <c r="FY57" i="45"/>
  <c r="FZ57" i="45"/>
  <c r="GA57" i="45"/>
  <c r="GB57" i="45"/>
  <c r="GC57" i="45"/>
  <c r="GD57" i="45"/>
  <c r="GE57" i="45"/>
  <c r="GF57" i="45"/>
  <c r="GG57" i="45"/>
  <c r="GH57" i="45"/>
  <c r="GI57" i="45"/>
  <c r="GJ57" i="45"/>
  <c r="GK57" i="45"/>
  <c r="GL57" i="45"/>
  <c r="GM57" i="45"/>
  <c r="GN57" i="45"/>
  <c r="GO57" i="45"/>
  <c r="GP57" i="45"/>
  <c r="GQ57" i="45"/>
  <c r="GR57" i="45"/>
  <c r="GS57" i="45"/>
  <c r="GT57" i="45"/>
  <c r="GU57" i="45"/>
  <c r="GV57" i="45"/>
  <c r="GW57" i="45"/>
  <c r="GX57" i="45"/>
  <c r="GY57" i="45"/>
  <c r="GZ57" i="45"/>
  <c r="HA57" i="45"/>
  <c r="HB57" i="45"/>
  <c r="HC57" i="45"/>
  <c r="HD57" i="45"/>
  <c r="HE57" i="45"/>
  <c r="HF57" i="45"/>
  <c r="HG57" i="45"/>
  <c r="HH57" i="45"/>
  <c r="HI57" i="45"/>
  <c r="HJ57" i="45"/>
  <c r="HK57" i="45"/>
  <c r="FU58" i="45"/>
  <c r="FV58" i="45"/>
  <c r="FW58" i="45"/>
  <c r="FX58" i="45"/>
  <c r="FY58" i="45"/>
  <c r="FZ58" i="45"/>
  <c r="GA58" i="45"/>
  <c r="GB58" i="45"/>
  <c r="GC58" i="45"/>
  <c r="GD58" i="45"/>
  <c r="GE58" i="45"/>
  <c r="GF58" i="45"/>
  <c r="GG58" i="45"/>
  <c r="GH58" i="45"/>
  <c r="GI58" i="45"/>
  <c r="GJ58" i="45"/>
  <c r="GK58" i="45"/>
  <c r="GL58" i="45"/>
  <c r="GM58" i="45"/>
  <c r="GN58" i="45"/>
  <c r="GO58" i="45"/>
  <c r="GP58" i="45"/>
  <c r="GQ58" i="45"/>
  <c r="GR58" i="45"/>
  <c r="GS58" i="45"/>
  <c r="GT58" i="45"/>
  <c r="GU58" i="45"/>
  <c r="GV58" i="45"/>
  <c r="GW58" i="45"/>
  <c r="GX58" i="45"/>
  <c r="GY58" i="45"/>
  <c r="GZ58" i="45"/>
  <c r="HA58" i="45"/>
  <c r="HB58" i="45"/>
  <c r="HC58" i="45"/>
  <c r="HD58" i="45"/>
  <c r="HE58" i="45"/>
  <c r="HF58" i="45"/>
  <c r="HG58" i="45"/>
  <c r="HH58" i="45"/>
  <c r="HI58" i="45"/>
  <c r="HJ58" i="45"/>
  <c r="HK58" i="45"/>
  <c r="FU59" i="45"/>
  <c r="FV59" i="45"/>
  <c r="FW59" i="45"/>
  <c r="FX59" i="45"/>
  <c r="FY59" i="45"/>
  <c r="FZ59" i="45"/>
  <c r="GA59" i="45"/>
  <c r="GB59" i="45"/>
  <c r="GC59" i="45"/>
  <c r="GD59" i="45"/>
  <c r="GE59" i="45"/>
  <c r="GF59" i="45"/>
  <c r="GG59" i="45"/>
  <c r="GH59" i="45"/>
  <c r="GI59" i="45"/>
  <c r="GJ59" i="45"/>
  <c r="GK59" i="45"/>
  <c r="GL59" i="45"/>
  <c r="GM59" i="45"/>
  <c r="GN59" i="45"/>
  <c r="GO59" i="45"/>
  <c r="GP59" i="45"/>
  <c r="GQ59" i="45"/>
  <c r="GR59" i="45"/>
  <c r="GS59" i="45"/>
  <c r="GT59" i="45"/>
  <c r="GU59" i="45"/>
  <c r="GV59" i="45"/>
  <c r="GW59" i="45"/>
  <c r="GX59" i="45"/>
  <c r="GY59" i="45"/>
  <c r="GZ59" i="45"/>
  <c r="HA59" i="45"/>
  <c r="HB59" i="45"/>
  <c r="HC59" i="45"/>
  <c r="HD59" i="45"/>
  <c r="HE59" i="45"/>
  <c r="HF59" i="45"/>
  <c r="HG59" i="45"/>
  <c r="HH59" i="45"/>
  <c r="HI59" i="45"/>
  <c r="HJ59" i="45"/>
  <c r="HK59" i="45"/>
  <c r="FU60" i="45"/>
  <c r="FV60" i="45"/>
  <c r="FW60" i="45"/>
  <c r="FX60" i="45"/>
  <c r="FY60" i="45"/>
  <c r="FZ60" i="45"/>
  <c r="GA60" i="45"/>
  <c r="GB60" i="45"/>
  <c r="GC60" i="45"/>
  <c r="GD60" i="45"/>
  <c r="GE60" i="45"/>
  <c r="GF60" i="45"/>
  <c r="GG60" i="45"/>
  <c r="GH60" i="45"/>
  <c r="GI60" i="45"/>
  <c r="GJ60" i="45"/>
  <c r="GK60" i="45"/>
  <c r="GL60" i="45"/>
  <c r="GM60" i="45"/>
  <c r="GN60" i="45"/>
  <c r="GO60" i="45"/>
  <c r="GP60" i="45"/>
  <c r="GQ60" i="45"/>
  <c r="GR60" i="45"/>
  <c r="GS60" i="45"/>
  <c r="GT60" i="45"/>
  <c r="GU60" i="45"/>
  <c r="GV60" i="45"/>
  <c r="GW60" i="45"/>
  <c r="GX60" i="45"/>
  <c r="GY60" i="45"/>
  <c r="GZ60" i="45"/>
  <c r="HA60" i="45"/>
  <c r="HB60" i="45"/>
  <c r="HC60" i="45"/>
  <c r="HD60" i="45"/>
  <c r="HE60" i="45"/>
  <c r="HF60" i="45"/>
  <c r="HG60" i="45"/>
  <c r="HH60" i="45"/>
  <c r="HI60" i="45"/>
  <c r="HJ60" i="45"/>
  <c r="HK60" i="45"/>
  <c r="FU61" i="45"/>
  <c r="FV61" i="45"/>
  <c r="FW61" i="45"/>
  <c r="FX61" i="45"/>
  <c r="FY61" i="45"/>
  <c r="FZ61" i="45"/>
  <c r="GA61" i="45"/>
  <c r="GB61" i="45"/>
  <c r="GC61" i="45"/>
  <c r="GD61" i="45"/>
  <c r="GE61" i="45"/>
  <c r="GF61" i="45"/>
  <c r="GG61" i="45"/>
  <c r="GH61" i="45"/>
  <c r="GI61" i="45"/>
  <c r="GJ61" i="45"/>
  <c r="GK61" i="45"/>
  <c r="GL61" i="45"/>
  <c r="GM61" i="45"/>
  <c r="GN61" i="45"/>
  <c r="GO61" i="45"/>
  <c r="GP61" i="45"/>
  <c r="GQ61" i="45"/>
  <c r="GR61" i="45"/>
  <c r="GS61" i="45"/>
  <c r="GT61" i="45"/>
  <c r="GU61" i="45"/>
  <c r="GV61" i="45"/>
  <c r="GW61" i="45"/>
  <c r="GX61" i="45"/>
  <c r="GY61" i="45"/>
  <c r="GZ61" i="45"/>
  <c r="HA61" i="45"/>
  <c r="HB61" i="45"/>
  <c r="HC61" i="45"/>
  <c r="HD61" i="45"/>
  <c r="HE61" i="45"/>
  <c r="HF61" i="45"/>
  <c r="HG61" i="45"/>
  <c r="HH61" i="45"/>
  <c r="HI61" i="45"/>
  <c r="HJ61" i="45"/>
  <c r="HK61" i="45"/>
  <c r="FU62" i="45"/>
  <c r="FV62" i="45"/>
  <c r="FW62" i="45"/>
  <c r="FX62" i="45"/>
  <c r="FY62" i="45"/>
  <c r="FZ62" i="45"/>
  <c r="GA62" i="45"/>
  <c r="GB62" i="45"/>
  <c r="GC62" i="45"/>
  <c r="GD62" i="45"/>
  <c r="GE62" i="45"/>
  <c r="GF62" i="45"/>
  <c r="GG62" i="45"/>
  <c r="GH62" i="45"/>
  <c r="GI62" i="45"/>
  <c r="GJ62" i="45"/>
  <c r="GK62" i="45"/>
  <c r="GL62" i="45"/>
  <c r="GM62" i="45"/>
  <c r="GN62" i="45"/>
  <c r="GO62" i="45"/>
  <c r="GP62" i="45"/>
  <c r="GQ62" i="45"/>
  <c r="GR62" i="45"/>
  <c r="GS62" i="45"/>
  <c r="GT62" i="45"/>
  <c r="GU62" i="45"/>
  <c r="GV62" i="45"/>
  <c r="GW62" i="45"/>
  <c r="GX62" i="45"/>
  <c r="GY62" i="45"/>
  <c r="GZ62" i="45"/>
  <c r="HA62" i="45"/>
  <c r="HB62" i="45"/>
  <c r="HC62" i="45"/>
  <c r="HD62" i="45"/>
  <c r="HE62" i="45"/>
  <c r="HF62" i="45"/>
  <c r="HG62" i="45"/>
  <c r="HH62" i="45"/>
  <c r="HI62" i="45"/>
  <c r="HJ62" i="45"/>
  <c r="HK62" i="45"/>
  <c r="FU63" i="45"/>
  <c r="FV63" i="45"/>
  <c r="FW63" i="45"/>
  <c r="FX63" i="45"/>
  <c r="FY63" i="45"/>
  <c r="FZ63" i="45"/>
  <c r="GA63" i="45"/>
  <c r="GB63" i="45"/>
  <c r="GC63" i="45"/>
  <c r="GD63" i="45"/>
  <c r="GE63" i="45"/>
  <c r="GF63" i="45"/>
  <c r="GG63" i="45"/>
  <c r="GH63" i="45"/>
  <c r="GI63" i="45"/>
  <c r="GJ63" i="45"/>
  <c r="GK63" i="45"/>
  <c r="GL63" i="45"/>
  <c r="GM63" i="45"/>
  <c r="GN63" i="45"/>
  <c r="GO63" i="45"/>
  <c r="GP63" i="45"/>
  <c r="GQ63" i="45"/>
  <c r="GR63" i="45"/>
  <c r="GS63" i="45"/>
  <c r="GT63" i="45"/>
  <c r="GU63" i="45"/>
  <c r="GV63" i="45"/>
  <c r="GW63" i="45"/>
  <c r="GX63" i="45"/>
  <c r="GY63" i="45"/>
  <c r="GZ63" i="45"/>
  <c r="HA63" i="45"/>
  <c r="HB63" i="45"/>
  <c r="HC63" i="45"/>
  <c r="HD63" i="45"/>
  <c r="HE63" i="45"/>
  <c r="HF63" i="45"/>
  <c r="HG63" i="45"/>
  <c r="HH63" i="45"/>
  <c r="HI63" i="45"/>
  <c r="HJ63" i="45"/>
  <c r="HK63" i="45"/>
  <c r="FU64" i="45"/>
  <c r="FV64" i="45"/>
  <c r="FW64" i="45"/>
  <c r="FX64" i="45"/>
  <c r="FY64" i="45"/>
  <c r="FZ64" i="45"/>
  <c r="GA64" i="45"/>
  <c r="GB64" i="45"/>
  <c r="GC64" i="45"/>
  <c r="GD64" i="45"/>
  <c r="GE64" i="45"/>
  <c r="GF64" i="45"/>
  <c r="GG64" i="45"/>
  <c r="GH64" i="45"/>
  <c r="GI64" i="45"/>
  <c r="GJ64" i="45"/>
  <c r="GK64" i="45"/>
  <c r="GL64" i="45"/>
  <c r="GM64" i="45"/>
  <c r="GN64" i="45"/>
  <c r="GO64" i="45"/>
  <c r="GP64" i="45"/>
  <c r="GQ64" i="45"/>
  <c r="GR64" i="45"/>
  <c r="GS64" i="45"/>
  <c r="GT64" i="45"/>
  <c r="GU64" i="45"/>
  <c r="GV64" i="45"/>
  <c r="GW64" i="45"/>
  <c r="GX64" i="45"/>
  <c r="GY64" i="45"/>
  <c r="GZ64" i="45"/>
  <c r="HA64" i="45"/>
  <c r="HB64" i="45"/>
  <c r="HC64" i="45"/>
  <c r="HD64" i="45"/>
  <c r="HE64" i="45"/>
  <c r="HF64" i="45"/>
  <c r="HG64" i="45"/>
  <c r="HH64" i="45"/>
  <c r="HI64" i="45"/>
  <c r="HJ64" i="45"/>
  <c r="HK64" i="45"/>
  <c r="FU65" i="45"/>
  <c r="FV65" i="45"/>
  <c r="FW65" i="45"/>
  <c r="FX65" i="45"/>
  <c r="FY65" i="45"/>
  <c r="FZ65" i="45"/>
  <c r="GA65" i="45"/>
  <c r="GB65" i="45"/>
  <c r="GC65" i="45"/>
  <c r="GD65" i="45"/>
  <c r="GE65" i="45"/>
  <c r="GF65" i="45"/>
  <c r="GG65" i="45"/>
  <c r="GH65" i="45"/>
  <c r="GI65" i="45"/>
  <c r="GJ65" i="45"/>
  <c r="GK65" i="45"/>
  <c r="GL65" i="45"/>
  <c r="GM65" i="45"/>
  <c r="GN65" i="45"/>
  <c r="GO65" i="45"/>
  <c r="GP65" i="45"/>
  <c r="GQ65" i="45"/>
  <c r="GR65" i="45"/>
  <c r="GS65" i="45"/>
  <c r="GT65" i="45"/>
  <c r="GU65" i="45"/>
  <c r="GV65" i="45"/>
  <c r="GW65" i="45"/>
  <c r="GX65" i="45"/>
  <c r="GY65" i="45"/>
  <c r="GZ65" i="45"/>
  <c r="HA65" i="45"/>
  <c r="HB65" i="45"/>
  <c r="HC65" i="45"/>
  <c r="HD65" i="45"/>
  <c r="HE65" i="45"/>
  <c r="HF65" i="45"/>
  <c r="HG65" i="45"/>
  <c r="HH65" i="45"/>
  <c r="HI65" i="45"/>
  <c r="HJ65" i="45"/>
  <c r="HK65" i="45"/>
  <c r="FU66" i="45"/>
  <c r="FV66" i="45"/>
  <c r="FW66" i="45"/>
  <c r="FX66" i="45"/>
  <c r="FY66" i="45"/>
  <c r="FZ66" i="45"/>
  <c r="GA66" i="45"/>
  <c r="GB66" i="45"/>
  <c r="GC66" i="45"/>
  <c r="GD66" i="45"/>
  <c r="GE66" i="45"/>
  <c r="GF66" i="45"/>
  <c r="GG66" i="45"/>
  <c r="GH66" i="45"/>
  <c r="GI66" i="45"/>
  <c r="GJ66" i="45"/>
  <c r="GK66" i="45"/>
  <c r="GL66" i="45"/>
  <c r="GM66" i="45"/>
  <c r="GN66" i="45"/>
  <c r="GO66" i="45"/>
  <c r="GP66" i="45"/>
  <c r="GQ66" i="45"/>
  <c r="GR66" i="45"/>
  <c r="GS66" i="45"/>
  <c r="GT66" i="45"/>
  <c r="GU66" i="45"/>
  <c r="GV66" i="45"/>
  <c r="GW66" i="45"/>
  <c r="GX66" i="45"/>
  <c r="GY66" i="45"/>
  <c r="GZ66" i="45"/>
  <c r="HA66" i="45"/>
  <c r="HB66" i="45"/>
  <c r="HC66" i="45"/>
  <c r="HD66" i="45"/>
  <c r="HE66" i="45"/>
  <c r="HF66" i="45"/>
  <c r="HG66" i="45"/>
  <c r="HH66" i="45"/>
  <c r="HI66" i="45"/>
  <c r="HJ66" i="45"/>
  <c r="HK66" i="45"/>
  <c r="FU67" i="45"/>
  <c r="FV67" i="45"/>
  <c r="FW67" i="45"/>
  <c r="FX67" i="45"/>
  <c r="FY67" i="45"/>
  <c r="FZ67" i="45"/>
  <c r="GA67" i="45"/>
  <c r="GB67" i="45"/>
  <c r="GC67" i="45"/>
  <c r="GD67" i="45"/>
  <c r="GE67" i="45"/>
  <c r="GF67" i="45"/>
  <c r="GG67" i="45"/>
  <c r="GH67" i="45"/>
  <c r="GI67" i="45"/>
  <c r="GJ67" i="45"/>
  <c r="GK67" i="45"/>
  <c r="GL67" i="45"/>
  <c r="GM67" i="45"/>
  <c r="GN67" i="45"/>
  <c r="GO67" i="45"/>
  <c r="GP67" i="45"/>
  <c r="GQ67" i="45"/>
  <c r="GR67" i="45"/>
  <c r="GS67" i="45"/>
  <c r="GT67" i="45"/>
  <c r="GU67" i="45"/>
  <c r="GV67" i="45"/>
  <c r="GW67" i="45"/>
  <c r="GX67" i="45"/>
  <c r="GY67" i="45"/>
  <c r="GZ67" i="45"/>
  <c r="HA67" i="45"/>
  <c r="HB67" i="45"/>
  <c r="HC67" i="45"/>
  <c r="HD67" i="45"/>
  <c r="HE67" i="45"/>
  <c r="HF67" i="45"/>
  <c r="HG67" i="45"/>
  <c r="HH67" i="45"/>
  <c r="HI67" i="45"/>
  <c r="HJ67" i="45"/>
  <c r="HK67" i="45"/>
  <c r="FU68" i="45"/>
  <c r="FV68" i="45"/>
  <c r="FW68" i="45"/>
  <c r="FX68" i="45"/>
  <c r="FY68" i="45"/>
  <c r="FZ68" i="45"/>
  <c r="GA68" i="45"/>
  <c r="GB68" i="45"/>
  <c r="GC68" i="45"/>
  <c r="GD68" i="45"/>
  <c r="GE68" i="45"/>
  <c r="GF68" i="45"/>
  <c r="GG68" i="45"/>
  <c r="GH68" i="45"/>
  <c r="GI68" i="45"/>
  <c r="GJ68" i="45"/>
  <c r="GK68" i="45"/>
  <c r="GL68" i="45"/>
  <c r="GM68" i="45"/>
  <c r="GN68" i="45"/>
  <c r="GO68" i="45"/>
  <c r="GP68" i="45"/>
  <c r="GQ68" i="45"/>
  <c r="GR68" i="45"/>
  <c r="GS68" i="45"/>
  <c r="GT68" i="45"/>
  <c r="GU68" i="45"/>
  <c r="GV68" i="45"/>
  <c r="GW68" i="45"/>
  <c r="GX68" i="45"/>
  <c r="GY68" i="45"/>
  <c r="GZ68" i="45"/>
  <c r="HA68" i="45"/>
  <c r="HB68" i="45"/>
  <c r="HC68" i="45"/>
  <c r="HD68" i="45"/>
  <c r="HE68" i="45"/>
  <c r="HF68" i="45"/>
  <c r="HG68" i="45"/>
  <c r="HH68" i="45"/>
  <c r="HI68" i="45"/>
  <c r="HJ68" i="45"/>
  <c r="HK68" i="45"/>
  <c r="FU69" i="45"/>
  <c r="FV69" i="45"/>
  <c r="FW69" i="45"/>
  <c r="FX69" i="45"/>
  <c r="FY69" i="45"/>
  <c r="FZ69" i="45"/>
  <c r="GA69" i="45"/>
  <c r="GB69" i="45"/>
  <c r="GC69" i="45"/>
  <c r="GD69" i="45"/>
  <c r="GE69" i="45"/>
  <c r="GF69" i="45"/>
  <c r="GG69" i="45"/>
  <c r="GH69" i="45"/>
  <c r="GI69" i="45"/>
  <c r="GJ69" i="45"/>
  <c r="GK69" i="45"/>
  <c r="GL69" i="45"/>
  <c r="GM69" i="45"/>
  <c r="GN69" i="45"/>
  <c r="GO69" i="45"/>
  <c r="GP69" i="45"/>
  <c r="GQ69" i="45"/>
  <c r="GR69" i="45"/>
  <c r="GS69" i="45"/>
  <c r="GT69" i="45"/>
  <c r="GU69" i="45"/>
  <c r="GV69" i="45"/>
  <c r="GW69" i="45"/>
  <c r="GX69" i="45"/>
  <c r="GY69" i="45"/>
  <c r="GZ69" i="45"/>
  <c r="HA69" i="45"/>
  <c r="HB69" i="45"/>
  <c r="HC69" i="45"/>
  <c r="HD69" i="45"/>
  <c r="HE69" i="45"/>
  <c r="HF69" i="45"/>
  <c r="HG69" i="45"/>
  <c r="HH69" i="45"/>
  <c r="HI69" i="45"/>
  <c r="HJ69" i="45"/>
  <c r="HK69" i="45"/>
  <c r="FU70" i="45"/>
  <c r="FV70" i="45"/>
  <c r="FW70" i="45"/>
  <c r="FX70" i="45"/>
  <c r="FY70" i="45"/>
  <c r="FZ70" i="45"/>
  <c r="GA70" i="45"/>
  <c r="GB70" i="45"/>
  <c r="GC70" i="45"/>
  <c r="GD70" i="45"/>
  <c r="GE70" i="45"/>
  <c r="GF70" i="45"/>
  <c r="GG70" i="45"/>
  <c r="GH70" i="45"/>
  <c r="GI70" i="45"/>
  <c r="GJ70" i="45"/>
  <c r="GK70" i="45"/>
  <c r="GL70" i="45"/>
  <c r="GM70" i="45"/>
  <c r="GN70" i="45"/>
  <c r="GO70" i="45"/>
  <c r="GP70" i="45"/>
  <c r="GQ70" i="45"/>
  <c r="GR70" i="45"/>
  <c r="GS70" i="45"/>
  <c r="GT70" i="45"/>
  <c r="GU70" i="45"/>
  <c r="GV70" i="45"/>
  <c r="GW70" i="45"/>
  <c r="GX70" i="45"/>
  <c r="GY70" i="45"/>
  <c r="GZ70" i="45"/>
  <c r="HA70" i="45"/>
  <c r="HB70" i="45"/>
  <c r="HC70" i="45"/>
  <c r="HD70" i="45"/>
  <c r="HE70" i="45"/>
  <c r="HF70" i="45"/>
  <c r="HG70" i="45"/>
  <c r="HH70" i="45"/>
  <c r="HI70" i="45"/>
  <c r="HJ70" i="45"/>
  <c r="HK70" i="45"/>
  <c r="FU71" i="45"/>
  <c r="FV71" i="45"/>
  <c r="FW71" i="45"/>
  <c r="FX71" i="45"/>
  <c r="FY71" i="45"/>
  <c r="FZ71" i="45"/>
  <c r="GA71" i="45"/>
  <c r="GB71" i="45"/>
  <c r="GC71" i="45"/>
  <c r="GD71" i="45"/>
  <c r="GE71" i="45"/>
  <c r="GF71" i="45"/>
  <c r="GG71" i="45"/>
  <c r="GH71" i="45"/>
  <c r="GI71" i="45"/>
  <c r="GJ71" i="45"/>
  <c r="GK71" i="45"/>
  <c r="GL71" i="45"/>
  <c r="GM71" i="45"/>
  <c r="GN71" i="45"/>
  <c r="GO71" i="45"/>
  <c r="GP71" i="45"/>
  <c r="GQ71" i="45"/>
  <c r="GR71" i="45"/>
  <c r="GS71" i="45"/>
  <c r="GT71" i="45"/>
  <c r="GU71" i="45"/>
  <c r="GV71" i="45"/>
  <c r="GW71" i="45"/>
  <c r="GX71" i="45"/>
  <c r="GY71" i="45"/>
  <c r="GZ71" i="45"/>
  <c r="HA71" i="45"/>
  <c r="HB71" i="45"/>
  <c r="HC71" i="45"/>
  <c r="HD71" i="45"/>
  <c r="HE71" i="45"/>
  <c r="HF71" i="45"/>
  <c r="HG71" i="45"/>
  <c r="HH71" i="45"/>
  <c r="HI71" i="45"/>
  <c r="HJ71" i="45"/>
  <c r="HK71" i="45"/>
  <c r="FW50" i="45"/>
  <c r="FV50" i="45"/>
  <c r="FX50" i="45"/>
  <c r="FY50" i="45"/>
  <c r="FZ50" i="45"/>
  <c r="GA50" i="45"/>
  <c r="GB50" i="45"/>
  <c r="GC50" i="45"/>
  <c r="GD50" i="45"/>
  <c r="GE50" i="45"/>
  <c r="GF50" i="45"/>
  <c r="GG50" i="45"/>
  <c r="GH50" i="45"/>
  <c r="GI50" i="45"/>
  <c r="GJ50" i="45"/>
  <c r="GK50" i="45"/>
  <c r="GL50" i="45"/>
  <c r="GM50" i="45"/>
  <c r="GN50" i="45"/>
  <c r="GO50" i="45"/>
  <c r="GP50" i="45"/>
  <c r="GQ50" i="45"/>
  <c r="GR50" i="45"/>
  <c r="GS50" i="45"/>
  <c r="GT50" i="45"/>
  <c r="GU50" i="45"/>
  <c r="GV50" i="45"/>
  <c r="GW50" i="45"/>
  <c r="GX50" i="45"/>
  <c r="GY50" i="45"/>
  <c r="GZ50" i="45"/>
  <c r="HA50" i="45"/>
  <c r="HB50" i="45"/>
  <c r="HC50" i="45"/>
  <c r="HD50" i="45"/>
  <c r="HE50" i="45"/>
  <c r="HF50" i="45"/>
  <c r="HG50" i="45"/>
  <c r="HH50" i="45"/>
  <c r="HI50" i="45"/>
  <c r="HJ50" i="45"/>
  <c r="HK50" i="45"/>
  <c r="FU50" i="45"/>
  <c r="AF26" i="44" l="1"/>
  <c r="AT26" i="44"/>
  <c r="AU26" i="44"/>
  <c r="AY26" i="44"/>
  <c r="AZ26" i="44"/>
  <c r="BG24" i="47"/>
  <c r="BK24" i="47"/>
  <c r="BL24" i="47"/>
  <c r="BM24" i="47"/>
  <c r="BN24" i="47"/>
  <c r="BF24" i="47"/>
  <c r="AR26" i="44"/>
  <c r="AS26" i="44"/>
  <c r="BE24" i="47"/>
  <c r="BD24" i="47"/>
  <c r="E24" i="47"/>
  <c r="AR22" i="44" l="1"/>
  <c r="AE22" i="44"/>
  <c r="O22" i="44"/>
  <c r="A22" i="44"/>
  <c r="E28" i="1" l="1"/>
  <c r="E26" i="1"/>
  <c r="E25" i="1"/>
  <c r="E24" i="1"/>
  <c r="E21" i="1"/>
  <c r="E20" i="1"/>
  <c r="Q50" i="45"/>
  <c r="L52" i="45"/>
  <c r="L38" i="47"/>
  <c r="Q38" i="47"/>
  <c r="R38" i="47"/>
  <c r="L39" i="47"/>
  <c r="Q39" i="47"/>
  <c r="R39" i="47"/>
  <c r="E39" i="47"/>
  <c r="J39" i="47"/>
  <c r="J38" i="47"/>
  <c r="E38" i="47"/>
  <c r="L35" i="47"/>
  <c r="Q35" i="47"/>
  <c r="R35" i="47"/>
  <c r="L36" i="47"/>
  <c r="Q36" i="47"/>
  <c r="R36" i="47"/>
  <c r="L37" i="47"/>
  <c r="Q37" i="47"/>
  <c r="R37" i="47"/>
  <c r="E37" i="47"/>
  <c r="J37" i="47"/>
  <c r="J36" i="47"/>
  <c r="E36" i="47"/>
  <c r="J35" i="47"/>
  <c r="E35" i="47"/>
  <c r="S50" i="45"/>
  <c r="J61" i="45"/>
  <c r="J62" i="45"/>
  <c r="AK50" i="45"/>
  <c r="AL50" i="45"/>
  <c r="AQ50" i="45" s="1"/>
  <c r="J64" i="45"/>
  <c r="J65" i="45"/>
  <c r="J66" i="45"/>
  <c r="J67" i="45"/>
  <c r="AL51" i="45"/>
  <c r="AM51" i="45"/>
  <c r="J68" i="45"/>
  <c r="AA51" i="45"/>
  <c r="AF51" i="45" s="1"/>
  <c r="AB51" i="45"/>
  <c r="AC51" i="45"/>
  <c r="J58" i="45"/>
  <c r="E53" i="45"/>
  <c r="E54" i="45"/>
  <c r="E55" i="45"/>
  <c r="E56" i="45"/>
  <c r="AM50" i="45"/>
  <c r="J59" i="45"/>
  <c r="J60" i="45"/>
  <c r="J63" i="45"/>
  <c r="GH60" i="43"/>
  <c r="GG60" i="43"/>
  <c r="GF60" i="43"/>
  <c r="GE60" i="43"/>
  <c r="GD60" i="43"/>
  <c r="GC60" i="43"/>
  <c r="GB60" i="43"/>
  <c r="GA60" i="43"/>
  <c r="FZ60" i="43"/>
  <c r="GH59" i="43"/>
  <c r="GG59" i="43"/>
  <c r="GF59" i="43"/>
  <c r="GE59" i="43"/>
  <c r="GD59" i="43"/>
  <c r="GC59" i="43"/>
  <c r="GB59" i="43"/>
  <c r="GA59" i="43"/>
  <c r="FZ59" i="43"/>
  <c r="GH58" i="43"/>
  <c r="GG58" i="43"/>
  <c r="GF58" i="43"/>
  <c r="GE58" i="43"/>
  <c r="GD58" i="43"/>
  <c r="GC58" i="43"/>
  <c r="GB58" i="43"/>
  <c r="GA58" i="43"/>
  <c r="FZ58" i="43"/>
  <c r="GH57" i="43"/>
  <c r="GG57" i="43"/>
  <c r="GF57" i="43"/>
  <c r="GE57" i="43"/>
  <c r="GD57" i="43"/>
  <c r="GC57" i="43"/>
  <c r="GB57" i="43"/>
  <c r="GA57" i="43"/>
  <c r="FZ57" i="43"/>
  <c r="GH56" i="43"/>
  <c r="GG56" i="43"/>
  <c r="GF56" i="43"/>
  <c r="GE56" i="43"/>
  <c r="GD56" i="43"/>
  <c r="GC56" i="43"/>
  <c r="GB56" i="43"/>
  <c r="GA56" i="43"/>
  <c r="FZ56" i="43"/>
  <c r="GH55" i="43"/>
  <c r="GG55" i="43"/>
  <c r="GF55" i="43"/>
  <c r="GE55" i="43"/>
  <c r="GD55" i="43"/>
  <c r="GC55" i="43"/>
  <c r="GB55" i="43"/>
  <c r="GA55" i="43"/>
  <c r="FZ55" i="43"/>
  <c r="GH54" i="43"/>
  <c r="GG54" i="43"/>
  <c r="GF54" i="43"/>
  <c r="GE54" i="43"/>
  <c r="GD54" i="43"/>
  <c r="GC54" i="43"/>
  <c r="GB54" i="43"/>
  <c r="GA54" i="43"/>
  <c r="FZ54" i="43"/>
  <c r="GH53" i="43"/>
  <c r="GG53" i="43"/>
  <c r="GF53" i="43"/>
  <c r="GE53" i="43"/>
  <c r="GD53" i="43"/>
  <c r="GC53" i="43"/>
  <c r="GB53" i="43"/>
  <c r="GA53" i="43"/>
  <c r="FZ53" i="43"/>
  <c r="GH52" i="43"/>
  <c r="GG52" i="43"/>
  <c r="GF52" i="43"/>
  <c r="GE52" i="43"/>
  <c r="GD52" i="43"/>
  <c r="GC52" i="43"/>
  <c r="GB52" i="43"/>
  <c r="GA52" i="43"/>
  <c r="FZ52" i="43"/>
  <c r="GH51" i="43"/>
  <c r="GG51" i="43"/>
  <c r="GF51" i="43"/>
  <c r="GE51" i="43"/>
  <c r="GD51" i="43"/>
  <c r="GC51" i="43"/>
  <c r="GB51" i="43"/>
  <c r="GA51" i="43"/>
  <c r="FZ51" i="43"/>
  <c r="GH50" i="43"/>
  <c r="GG50" i="43"/>
  <c r="GF50" i="43"/>
  <c r="GE50" i="43"/>
  <c r="GD50" i="43"/>
  <c r="GC50" i="43"/>
  <c r="GB50" i="43"/>
  <c r="GA50" i="43"/>
  <c r="FZ50" i="43"/>
  <c r="EI51" i="43"/>
  <c r="EJ51" i="43"/>
  <c r="EK51" i="43"/>
  <c r="EL51" i="43"/>
  <c r="EM51" i="43"/>
  <c r="EN51" i="43"/>
  <c r="EO51" i="43"/>
  <c r="EP51" i="43"/>
  <c r="EQ51" i="43"/>
  <c r="EI52" i="43"/>
  <c r="EJ52" i="43"/>
  <c r="EK52" i="43"/>
  <c r="EL52" i="43"/>
  <c r="EM52" i="43"/>
  <c r="EN52" i="43"/>
  <c r="EO52" i="43"/>
  <c r="EP52" i="43"/>
  <c r="EQ52" i="43"/>
  <c r="EI53" i="43"/>
  <c r="EJ53" i="43"/>
  <c r="EK53" i="43"/>
  <c r="EL53" i="43"/>
  <c r="EM53" i="43"/>
  <c r="EN53" i="43"/>
  <c r="EO53" i="43"/>
  <c r="EP53" i="43"/>
  <c r="EQ53" i="43"/>
  <c r="EI54" i="43"/>
  <c r="EJ54" i="43"/>
  <c r="EK54" i="43"/>
  <c r="EL54" i="43"/>
  <c r="EM54" i="43"/>
  <c r="EN54" i="43"/>
  <c r="EO54" i="43"/>
  <c r="EP54" i="43"/>
  <c r="EQ54" i="43"/>
  <c r="EI55" i="43"/>
  <c r="EJ55" i="43"/>
  <c r="EK55" i="43"/>
  <c r="EL55" i="43"/>
  <c r="EM55" i="43"/>
  <c r="EN55" i="43"/>
  <c r="EO55" i="43"/>
  <c r="EP55" i="43"/>
  <c r="EQ55" i="43"/>
  <c r="EI56" i="43"/>
  <c r="EJ56" i="43"/>
  <c r="EK56" i="43"/>
  <c r="EL56" i="43"/>
  <c r="EM56" i="43"/>
  <c r="EN56" i="43"/>
  <c r="EO56" i="43"/>
  <c r="EP56" i="43"/>
  <c r="EQ56" i="43"/>
  <c r="EI57" i="43"/>
  <c r="EJ57" i="43"/>
  <c r="EK57" i="43"/>
  <c r="EL57" i="43"/>
  <c r="EM57" i="43"/>
  <c r="EN57" i="43"/>
  <c r="EO57" i="43"/>
  <c r="EP57" i="43"/>
  <c r="EQ57" i="43"/>
  <c r="EI58" i="43"/>
  <c r="EJ58" i="43"/>
  <c r="EK58" i="43"/>
  <c r="EL58" i="43"/>
  <c r="EM58" i="43"/>
  <c r="EN58" i="43"/>
  <c r="EO58" i="43"/>
  <c r="EP58" i="43"/>
  <c r="EQ58" i="43"/>
  <c r="EI59" i="43"/>
  <c r="EJ59" i="43"/>
  <c r="EK59" i="43"/>
  <c r="EL59" i="43"/>
  <c r="EM59" i="43"/>
  <c r="EN59" i="43"/>
  <c r="EO59" i="43"/>
  <c r="EP59" i="43"/>
  <c r="EQ59" i="43"/>
  <c r="EI60" i="43"/>
  <c r="EJ60" i="43"/>
  <c r="EK60" i="43"/>
  <c r="EL60" i="43"/>
  <c r="EM60" i="43"/>
  <c r="EN60" i="43"/>
  <c r="EO60" i="43"/>
  <c r="EP60" i="43"/>
  <c r="EQ60" i="43"/>
  <c r="EQ50" i="43"/>
  <c r="EP50" i="43"/>
  <c r="EJ50" i="43"/>
  <c r="EK50" i="43"/>
  <c r="EL50" i="43"/>
  <c r="EM50" i="43"/>
  <c r="EN50" i="43"/>
  <c r="EI50" i="43"/>
  <c r="CR51" i="43"/>
  <c r="CS51" i="43"/>
  <c r="CT51" i="43"/>
  <c r="CU51" i="43"/>
  <c r="CV51" i="43"/>
  <c r="CW51" i="43"/>
  <c r="CX51" i="43"/>
  <c r="CY51" i="43"/>
  <c r="CZ51" i="43"/>
  <c r="CR52" i="43"/>
  <c r="CS52" i="43"/>
  <c r="CT52" i="43"/>
  <c r="CU52" i="43"/>
  <c r="CV52" i="43"/>
  <c r="CW52" i="43"/>
  <c r="CX52" i="43"/>
  <c r="CY52" i="43"/>
  <c r="CZ52" i="43"/>
  <c r="CR53" i="43"/>
  <c r="CS53" i="43"/>
  <c r="CT53" i="43"/>
  <c r="CU53" i="43"/>
  <c r="CV53" i="43"/>
  <c r="CW53" i="43"/>
  <c r="CX53" i="43"/>
  <c r="CY53" i="43"/>
  <c r="CZ53" i="43"/>
  <c r="CR54" i="43"/>
  <c r="CS54" i="43"/>
  <c r="CT54" i="43"/>
  <c r="CU54" i="43"/>
  <c r="CV54" i="43"/>
  <c r="CW54" i="43"/>
  <c r="CX54" i="43"/>
  <c r="CY54" i="43"/>
  <c r="CZ54" i="43"/>
  <c r="CR55" i="43"/>
  <c r="CS55" i="43"/>
  <c r="CT55" i="43"/>
  <c r="CU55" i="43"/>
  <c r="CV55" i="43"/>
  <c r="CW55" i="43"/>
  <c r="CX55" i="43"/>
  <c r="CY55" i="43"/>
  <c r="CZ55" i="43"/>
  <c r="CR56" i="43"/>
  <c r="CS56" i="43"/>
  <c r="CT56" i="43"/>
  <c r="CU56" i="43"/>
  <c r="CV56" i="43"/>
  <c r="CW56" i="43"/>
  <c r="CX56" i="43"/>
  <c r="CY56" i="43"/>
  <c r="CZ56" i="43"/>
  <c r="CR57" i="43"/>
  <c r="CS57" i="43"/>
  <c r="CT57" i="43"/>
  <c r="CU57" i="43"/>
  <c r="CV57" i="43"/>
  <c r="CW57" i="43"/>
  <c r="CX57" i="43"/>
  <c r="CY57" i="43"/>
  <c r="CZ57" i="43"/>
  <c r="CR58" i="43"/>
  <c r="CS58" i="43"/>
  <c r="CT58" i="43"/>
  <c r="CU58" i="43"/>
  <c r="CV58" i="43"/>
  <c r="CW58" i="43"/>
  <c r="CX58" i="43"/>
  <c r="CY58" i="43"/>
  <c r="CZ58" i="43"/>
  <c r="CR59" i="43"/>
  <c r="CS59" i="43"/>
  <c r="CT59" i="43"/>
  <c r="CU59" i="43"/>
  <c r="CV59" i="43"/>
  <c r="CW59" i="43"/>
  <c r="CX59" i="43"/>
  <c r="CY59" i="43"/>
  <c r="CZ59" i="43"/>
  <c r="CR60" i="43"/>
  <c r="CS60" i="43"/>
  <c r="CT60" i="43"/>
  <c r="CU60" i="43"/>
  <c r="CV60" i="43"/>
  <c r="CW60" i="43"/>
  <c r="CX60" i="43"/>
  <c r="CY60" i="43"/>
  <c r="CZ60" i="43"/>
  <c r="CR61" i="43"/>
  <c r="CS61" i="43"/>
  <c r="CT61" i="43"/>
  <c r="CU61" i="43"/>
  <c r="CV61" i="43"/>
  <c r="CW61" i="43"/>
  <c r="CX61" i="43"/>
  <c r="CY61" i="43"/>
  <c r="CZ61" i="43"/>
  <c r="CR62" i="43"/>
  <c r="CS62" i="43"/>
  <c r="CT62" i="43"/>
  <c r="CU62" i="43"/>
  <c r="CV62" i="43"/>
  <c r="CW62" i="43"/>
  <c r="CX62" i="43"/>
  <c r="CY62" i="43"/>
  <c r="CZ62" i="43"/>
  <c r="CR63" i="43"/>
  <c r="CS63" i="43"/>
  <c r="CT63" i="43"/>
  <c r="CU63" i="43"/>
  <c r="CV63" i="43"/>
  <c r="CW63" i="43"/>
  <c r="CX63" i="43"/>
  <c r="CY63" i="43"/>
  <c r="CZ63" i="43"/>
  <c r="CR64" i="43"/>
  <c r="CS64" i="43"/>
  <c r="CT64" i="43"/>
  <c r="CU64" i="43"/>
  <c r="CV64" i="43"/>
  <c r="CW64" i="43"/>
  <c r="CX64" i="43"/>
  <c r="CY64" i="43"/>
  <c r="CZ64" i="43"/>
  <c r="CR65" i="43"/>
  <c r="CS65" i="43"/>
  <c r="CT65" i="43"/>
  <c r="CU65" i="43"/>
  <c r="CV65" i="43"/>
  <c r="CW65" i="43"/>
  <c r="CX65" i="43"/>
  <c r="CY65" i="43"/>
  <c r="CZ65" i="43"/>
  <c r="CR66" i="43"/>
  <c r="CS66" i="43"/>
  <c r="CT66" i="43"/>
  <c r="CU66" i="43"/>
  <c r="CV66" i="43"/>
  <c r="CW66" i="43"/>
  <c r="CX66" i="43"/>
  <c r="CY66" i="43"/>
  <c r="CZ66" i="43"/>
  <c r="CR67" i="43"/>
  <c r="CS67" i="43"/>
  <c r="CT67" i="43"/>
  <c r="CU67" i="43"/>
  <c r="CV67" i="43"/>
  <c r="CW67" i="43"/>
  <c r="CX67" i="43"/>
  <c r="CY67" i="43"/>
  <c r="CZ67" i="43"/>
  <c r="CR68" i="43"/>
  <c r="CS68" i="43"/>
  <c r="CT68" i="43"/>
  <c r="CU68" i="43"/>
  <c r="CV68" i="43"/>
  <c r="CW68" i="43"/>
  <c r="CX68" i="43"/>
  <c r="CY68" i="43"/>
  <c r="CZ68" i="43"/>
  <c r="CR69" i="43"/>
  <c r="CS69" i="43"/>
  <c r="CT69" i="43"/>
  <c r="CU69" i="43"/>
  <c r="CV69" i="43"/>
  <c r="CW69" i="43"/>
  <c r="CX69" i="43"/>
  <c r="CY69" i="43"/>
  <c r="CZ69" i="43"/>
  <c r="CR70" i="43"/>
  <c r="CS70" i="43"/>
  <c r="CT70" i="43"/>
  <c r="CU70" i="43"/>
  <c r="CV70" i="43"/>
  <c r="CW70" i="43"/>
  <c r="CX70" i="43"/>
  <c r="CY70" i="43"/>
  <c r="CZ70" i="43"/>
  <c r="CR71" i="43"/>
  <c r="CS71" i="43"/>
  <c r="CT71" i="43"/>
  <c r="CU71" i="43"/>
  <c r="CV71" i="43"/>
  <c r="CW71" i="43"/>
  <c r="CX71" i="43"/>
  <c r="CY71" i="43"/>
  <c r="CZ71" i="43"/>
  <c r="CZ50" i="43"/>
  <c r="CY50" i="43"/>
  <c r="CS50" i="43"/>
  <c r="CT50" i="43"/>
  <c r="CU50" i="43"/>
  <c r="CV50" i="43"/>
  <c r="CW50" i="43"/>
  <c r="CR50" i="43"/>
  <c r="J69" i="45" l="1"/>
  <c r="AK51" i="45"/>
  <c r="AK26" i="44"/>
  <c r="AX26" i="44"/>
  <c r="AV26" i="44"/>
  <c r="N52" i="45"/>
  <c r="S51" i="45"/>
  <c r="S51" i="43" s="1"/>
  <c r="DC64" i="43"/>
  <c r="DC63" i="43"/>
  <c r="DC62" i="43"/>
  <c r="DC59" i="43"/>
  <c r="DC56" i="43"/>
  <c r="DC55" i="43"/>
  <c r="DC54" i="43"/>
  <c r="DC51" i="43"/>
  <c r="GN59" i="43"/>
  <c r="GN55" i="43"/>
  <c r="GN54" i="43"/>
  <c r="GN57" i="43"/>
  <c r="GN51" i="43"/>
  <c r="GN53" i="43"/>
  <c r="GO50" i="43"/>
  <c r="GI57" i="43"/>
  <c r="GI60" i="43"/>
  <c r="GJ59" i="43"/>
  <c r="GI58" i="43"/>
  <c r="GI54" i="43"/>
  <c r="GI53" i="43"/>
  <c r="GI56" i="43"/>
  <c r="GJ55" i="43"/>
  <c r="GI50" i="43"/>
  <c r="GI52" i="43"/>
  <c r="GJ51" i="43"/>
  <c r="EW57" i="43"/>
  <c r="EW56" i="43"/>
  <c r="EW59" i="43"/>
  <c r="EW53" i="43"/>
  <c r="EW52" i="43"/>
  <c r="EW55" i="43"/>
  <c r="EX52" i="43"/>
  <c r="EW51" i="43"/>
  <c r="ES59" i="43"/>
  <c r="ER55" i="43"/>
  <c r="ER58" i="43"/>
  <c r="ER52" i="43"/>
  <c r="ER51" i="43"/>
  <c r="ER54" i="43"/>
  <c r="ES51" i="43"/>
  <c r="ER50" i="43"/>
  <c r="DF70" i="43"/>
  <c r="DF66" i="43"/>
  <c r="DF65" i="43"/>
  <c r="DF68" i="43"/>
  <c r="DG65" i="43"/>
  <c r="DF61" i="43"/>
  <c r="DF64" i="43"/>
  <c r="DF58" i="43"/>
  <c r="DF57" i="43"/>
  <c r="DF60" i="43"/>
  <c r="DF54" i="43"/>
  <c r="DF53" i="43"/>
  <c r="DF56" i="43"/>
  <c r="DF50" i="43"/>
  <c r="DF52" i="43"/>
  <c r="DA68" i="43"/>
  <c r="DA67" i="43"/>
  <c r="DA64" i="43"/>
  <c r="DA63" i="43"/>
  <c r="DB65" i="43"/>
  <c r="DA60" i="43"/>
  <c r="DA59" i="43"/>
  <c r="DA56" i="43"/>
  <c r="DA55" i="43"/>
  <c r="DB57" i="43"/>
  <c r="DA52" i="43"/>
  <c r="DA51" i="43"/>
  <c r="DB51" i="43"/>
  <c r="DA50" i="43"/>
  <c r="HK60" i="43"/>
  <c r="HJ60" i="43"/>
  <c r="HI60" i="43"/>
  <c r="HH60" i="43"/>
  <c r="HG60" i="43"/>
  <c r="HF60" i="43"/>
  <c r="HE60" i="43"/>
  <c r="HD60" i="43"/>
  <c r="HC60" i="43"/>
  <c r="HB60" i="43"/>
  <c r="HA60" i="43"/>
  <c r="GZ60" i="43"/>
  <c r="GY60" i="43"/>
  <c r="GX60" i="43"/>
  <c r="GW60" i="43"/>
  <c r="GV60" i="43"/>
  <c r="GU60" i="43"/>
  <c r="GT60" i="43"/>
  <c r="GS60" i="43"/>
  <c r="GR60" i="43"/>
  <c r="GQ60" i="43"/>
  <c r="GP60" i="43"/>
  <c r="GO60" i="43"/>
  <c r="GN60" i="43"/>
  <c r="GM60" i="43"/>
  <c r="GL60" i="43"/>
  <c r="GK60" i="43"/>
  <c r="GJ60" i="43"/>
  <c r="FY60" i="43"/>
  <c r="FX60" i="43"/>
  <c r="FV60" i="43"/>
  <c r="FU60" i="43"/>
  <c r="HK59" i="43"/>
  <c r="HJ59" i="43"/>
  <c r="HI59" i="43"/>
  <c r="HH59" i="43"/>
  <c r="HG59" i="43"/>
  <c r="HF59" i="43"/>
  <c r="HE59" i="43"/>
  <c r="HD59" i="43"/>
  <c r="HC59" i="43"/>
  <c r="HB59" i="43"/>
  <c r="HA59" i="43"/>
  <c r="GZ59" i="43"/>
  <c r="GY59" i="43"/>
  <c r="GX59" i="43"/>
  <c r="GW59" i="43"/>
  <c r="GV59" i="43"/>
  <c r="GU59" i="43"/>
  <c r="GT59" i="43"/>
  <c r="GS59" i="43"/>
  <c r="GR59" i="43"/>
  <c r="GQ59" i="43"/>
  <c r="GP59" i="43"/>
  <c r="GO59" i="43"/>
  <c r="GM59" i="43"/>
  <c r="GL59" i="43"/>
  <c r="GK59" i="43"/>
  <c r="GI59" i="43"/>
  <c r="FY59" i="43"/>
  <c r="FX59" i="43"/>
  <c r="FV59" i="43"/>
  <c r="FU59" i="43"/>
  <c r="HK58" i="43"/>
  <c r="HJ58" i="43"/>
  <c r="HI58" i="43"/>
  <c r="HH58" i="43"/>
  <c r="HG58" i="43"/>
  <c r="HF58" i="43"/>
  <c r="HE58" i="43"/>
  <c r="HD58" i="43"/>
  <c r="HC58" i="43"/>
  <c r="HB58" i="43"/>
  <c r="HA58" i="43"/>
  <c r="GZ58" i="43"/>
  <c r="GY58" i="43"/>
  <c r="GX58" i="43"/>
  <c r="GW58" i="43"/>
  <c r="GV58" i="43"/>
  <c r="GU58" i="43"/>
  <c r="GT58" i="43"/>
  <c r="GS58" i="43"/>
  <c r="GR58" i="43"/>
  <c r="GQ58" i="43"/>
  <c r="GP58" i="43"/>
  <c r="GN58" i="43"/>
  <c r="GM58" i="43"/>
  <c r="GL58" i="43"/>
  <c r="GK58" i="43"/>
  <c r="GJ58" i="43"/>
  <c r="FY58" i="43"/>
  <c r="FX58" i="43"/>
  <c r="FV58" i="43"/>
  <c r="FU58" i="43"/>
  <c r="HK57" i="43"/>
  <c r="HJ57" i="43"/>
  <c r="HI57" i="43"/>
  <c r="HH57" i="43"/>
  <c r="HG57" i="43"/>
  <c r="HF57" i="43"/>
  <c r="HE57" i="43"/>
  <c r="HD57" i="43"/>
  <c r="HC57" i="43"/>
  <c r="HB57" i="43"/>
  <c r="HA57" i="43"/>
  <c r="GZ57" i="43"/>
  <c r="GY57" i="43"/>
  <c r="GX57" i="43"/>
  <c r="GW57" i="43"/>
  <c r="GV57" i="43"/>
  <c r="GU57" i="43"/>
  <c r="GT57" i="43"/>
  <c r="GS57" i="43"/>
  <c r="GR57" i="43"/>
  <c r="GQ57" i="43"/>
  <c r="GP57" i="43"/>
  <c r="GO57" i="43"/>
  <c r="GM57" i="43"/>
  <c r="GL57" i="43"/>
  <c r="GK57" i="43"/>
  <c r="FY57" i="43"/>
  <c r="FX57" i="43"/>
  <c r="FV57" i="43"/>
  <c r="FU57" i="43"/>
  <c r="HK56" i="43"/>
  <c r="HJ56" i="43"/>
  <c r="HI56" i="43"/>
  <c r="HH56" i="43"/>
  <c r="HG56" i="43"/>
  <c r="HF56" i="43"/>
  <c r="HE56" i="43"/>
  <c r="HD56" i="43"/>
  <c r="HC56" i="43"/>
  <c r="HB56" i="43"/>
  <c r="HA56" i="43"/>
  <c r="GZ56" i="43"/>
  <c r="GY56" i="43"/>
  <c r="GX56" i="43"/>
  <c r="GW56" i="43"/>
  <c r="GV56" i="43"/>
  <c r="GU56" i="43"/>
  <c r="GT56" i="43"/>
  <c r="GS56" i="43"/>
  <c r="GR56" i="43"/>
  <c r="GQ56" i="43"/>
  <c r="GP56" i="43"/>
  <c r="GO56" i="43"/>
  <c r="GN56" i="43"/>
  <c r="GM56" i="43"/>
  <c r="GL56" i="43"/>
  <c r="GK56" i="43"/>
  <c r="GJ56" i="43"/>
  <c r="FY56" i="43"/>
  <c r="FX56" i="43"/>
  <c r="FV56" i="43"/>
  <c r="FU56" i="43"/>
  <c r="HK55" i="43"/>
  <c r="HJ55" i="43"/>
  <c r="HI55" i="43"/>
  <c r="HH55" i="43"/>
  <c r="HG55" i="43"/>
  <c r="HF55" i="43"/>
  <c r="HE55" i="43"/>
  <c r="HD55" i="43"/>
  <c r="HC55" i="43"/>
  <c r="HB55" i="43"/>
  <c r="HA55" i="43"/>
  <c r="GZ55" i="43"/>
  <c r="GY55" i="43"/>
  <c r="GX55" i="43"/>
  <c r="GW55" i="43"/>
  <c r="GV55" i="43"/>
  <c r="GU55" i="43"/>
  <c r="GT55" i="43"/>
  <c r="GS55" i="43"/>
  <c r="GR55" i="43"/>
  <c r="GQ55" i="43"/>
  <c r="GP55" i="43"/>
  <c r="GO55" i="43"/>
  <c r="GM55" i="43"/>
  <c r="GL55" i="43"/>
  <c r="GK55" i="43"/>
  <c r="GI55" i="43"/>
  <c r="FY55" i="43"/>
  <c r="FX55" i="43"/>
  <c r="FV55" i="43"/>
  <c r="FU55" i="43"/>
  <c r="HK54" i="43"/>
  <c r="HJ54" i="43"/>
  <c r="HI54" i="43"/>
  <c r="HH54" i="43"/>
  <c r="HG54" i="43"/>
  <c r="HF54" i="43"/>
  <c r="HE54" i="43"/>
  <c r="HD54" i="43"/>
  <c r="HC54" i="43"/>
  <c r="HB54" i="43"/>
  <c r="HA54" i="43"/>
  <c r="GZ54" i="43"/>
  <c r="GY54" i="43"/>
  <c r="GX54" i="43"/>
  <c r="GW54" i="43"/>
  <c r="GV54" i="43"/>
  <c r="GU54" i="43"/>
  <c r="GT54" i="43"/>
  <c r="GS54" i="43"/>
  <c r="GR54" i="43"/>
  <c r="GQ54" i="43"/>
  <c r="GP54" i="43"/>
  <c r="GM54" i="43"/>
  <c r="GL54" i="43"/>
  <c r="GK54" i="43"/>
  <c r="GJ54" i="43"/>
  <c r="FY54" i="43"/>
  <c r="FX54" i="43"/>
  <c r="FV54" i="43"/>
  <c r="FU54" i="43"/>
  <c r="HK53" i="43"/>
  <c r="HJ53" i="43"/>
  <c r="HI53" i="43"/>
  <c r="HH53" i="43"/>
  <c r="HG53" i="43"/>
  <c r="HF53" i="43"/>
  <c r="HE53" i="43"/>
  <c r="HD53" i="43"/>
  <c r="HC53" i="43"/>
  <c r="HB53" i="43"/>
  <c r="HA53" i="43"/>
  <c r="GZ53" i="43"/>
  <c r="GY53" i="43"/>
  <c r="GX53" i="43"/>
  <c r="GW53" i="43"/>
  <c r="GV53" i="43"/>
  <c r="GU53" i="43"/>
  <c r="GT53" i="43"/>
  <c r="GS53" i="43"/>
  <c r="GR53" i="43"/>
  <c r="GQ53" i="43"/>
  <c r="GP53" i="43"/>
  <c r="GO53" i="43"/>
  <c r="GM53" i="43"/>
  <c r="GL53" i="43"/>
  <c r="GK53" i="43"/>
  <c r="FY53" i="43"/>
  <c r="FX53" i="43"/>
  <c r="FV53" i="43"/>
  <c r="FU53" i="43"/>
  <c r="HK52" i="43"/>
  <c r="HJ52" i="43"/>
  <c r="HI52" i="43"/>
  <c r="HH52" i="43"/>
  <c r="HG52" i="43"/>
  <c r="HF52" i="43"/>
  <c r="HE52" i="43"/>
  <c r="HD52" i="43"/>
  <c r="HC52" i="43"/>
  <c r="HB52" i="43"/>
  <c r="HA52" i="43"/>
  <c r="GZ52" i="43"/>
  <c r="GY52" i="43"/>
  <c r="GX52" i="43"/>
  <c r="GW52" i="43"/>
  <c r="GV52" i="43"/>
  <c r="GU52" i="43"/>
  <c r="GT52" i="43"/>
  <c r="GS52" i="43"/>
  <c r="GR52" i="43"/>
  <c r="GQ52" i="43"/>
  <c r="GP52" i="43"/>
  <c r="GO52" i="43"/>
  <c r="GN52" i="43"/>
  <c r="GM52" i="43"/>
  <c r="GL52" i="43"/>
  <c r="GK52" i="43"/>
  <c r="GJ52" i="43"/>
  <c r="FY52" i="43"/>
  <c r="FX52" i="43"/>
  <c r="FV52" i="43"/>
  <c r="FU52" i="43"/>
  <c r="HK51" i="43"/>
  <c r="HJ51" i="43"/>
  <c r="HI51" i="43"/>
  <c r="HH51" i="43"/>
  <c r="HG51" i="43"/>
  <c r="HF51" i="43"/>
  <c r="HE51" i="43"/>
  <c r="HD51" i="43"/>
  <c r="HC51" i="43"/>
  <c r="HB51" i="43"/>
  <c r="HA51" i="43"/>
  <c r="GZ51" i="43"/>
  <c r="GY51" i="43"/>
  <c r="GX51" i="43"/>
  <c r="GW51" i="43"/>
  <c r="GV51" i="43"/>
  <c r="GU51" i="43"/>
  <c r="GT51" i="43"/>
  <c r="GS51" i="43"/>
  <c r="GR51" i="43"/>
  <c r="GQ51" i="43"/>
  <c r="GP51" i="43"/>
  <c r="GO51" i="43"/>
  <c r="GM51" i="43"/>
  <c r="GL51" i="43"/>
  <c r="GK51" i="43"/>
  <c r="GI51" i="43"/>
  <c r="FY51" i="43"/>
  <c r="FX51" i="43"/>
  <c r="FV51" i="43"/>
  <c r="FU51" i="43"/>
  <c r="HK50" i="43"/>
  <c r="HJ50" i="43"/>
  <c r="HI50" i="43"/>
  <c r="HH50" i="43"/>
  <c r="HG50" i="43"/>
  <c r="HF50" i="43"/>
  <c r="HE50" i="43"/>
  <c r="HD50" i="43"/>
  <c r="HC50" i="43"/>
  <c r="HB50" i="43"/>
  <c r="HA50" i="43"/>
  <c r="GZ50" i="43"/>
  <c r="GY50" i="43"/>
  <c r="GX50" i="43"/>
  <c r="GW50" i="43"/>
  <c r="GV50" i="43"/>
  <c r="GU50" i="43"/>
  <c r="GT50" i="43"/>
  <c r="GS50" i="43"/>
  <c r="GR50" i="43"/>
  <c r="GQ50" i="43"/>
  <c r="GP50" i="43"/>
  <c r="GM50" i="43"/>
  <c r="GL50" i="43"/>
  <c r="GK50" i="43"/>
  <c r="GJ50" i="43"/>
  <c r="FY50" i="43"/>
  <c r="FX50" i="43"/>
  <c r="FV50" i="43"/>
  <c r="FU50" i="43"/>
  <c r="FT60" i="43"/>
  <c r="FS60" i="43"/>
  <c r="FR60" i="43"/>
  <c r="FQ60" i="43"/>
  <c r="FP60" i="43"/>
  <c r="FO60" i="43"/>
  <c r="FN60" i="43"/>
  <c r="FM60" i="43"/>
  <c r="FL60" i="43"/>
  <c r="FK60" i="43"/>
  <c r="FJ60" i="43"/>
  <c r="FI60" i="43"/>
  <c r="FH60" i="43"/>
  <c r="FG60" i="43"/>
  <c r="FF60" i="43"/>
  <c r="FE60" i="43"/>
  <c r="FD60" i="43"/>
  <c r="FC60" i="43"/>
  <c r="FB60" i="43"/>
  <c r="FA60" i="43"/>
  <c r="EZ60" i="43"/>
  <c r="EY60" i="43"/>
  <c r="EW60" i="43"/>
  <c r="EV60" i="43"/>
  <c r="EU60" i="43"/>
  <c r="ET60" i="43"/>
  <c r="ES60" i="43"/>
  <c r="ER60" i="43"/>
  <c r="EH60" i="43"/>
  <c r="EG60" i="43"/>
  <c r="EF60" i="43"/>
  <c r="EE60" i="43"/>
  <c r="ED60" i="43"/>
  <c r="FT59" i="43"/>
  <c r="FS59" i="43"/>
  <c r="FR59" i="43"/>
  <c r="FQ59" i="43"/>
  <c r="FP59" i="43"/>
  <c r="FO59" i="43"/>
  <c r="FN59" i="43"/>
  <c r="FM59" i="43"/>
  <c r="FL59" i="43"/>
  <c r="FK59" i="43"/>
  <c r="FJ59" i="43"/>
  <c r="FI59" i="43"/>
  <c r="FH59" i="43"/>
  <c r="FG59" i="43"/>
  <c r="FF59" i="43"/>
  <c r="FE59" i="43"/>
  <c r="FD59" i="43"/>
  <c r="FC59" i="43"/>
  <c r="FB59" i="43"/>
  <c r="FA59" i="43"/>
  <c r="EZ59" i="43"/>
  <c r="EY59" i="43"/>
  <c r="EX59" i="43"/>
  <c r="EV59" i="43"/>
  <c r="EU59" i="43"/>
  <c r="ET59" i="43"/>
  <c r="ER59" i="43"/>
  <c r="EH59" i="43"/>
  <c r="EG59" i="43"/>
  <c r="EF59" i="43"/>
  <c r="EE59" i="43"/>
  <c r="ED59" i="43"/>
  <c r="FT58" i="43"/>
  <c r="FS58" i="43"/>
  <c r="FR58" i="43"/>
  <c r="FQ58" i="43"/>
  <c r="FP58" i="43"/>
  <c r="FO58" i="43"/>
  <c r="FN58" i="43"/>
  <c r="FM58" i="43"/>
  <c r="FL58" i="43"/>
  <c r="FK58" i="43"/>
  <c r="FJ58" i="43"/>
  <c r="FI58" i="43"/>
  <c r="FH58" i="43"/>
  <c r="FG58" i="43"/>
  <c r="FF58" i="43"/>
  <c r="FE58" i="43"/>
  <c r="FD58" i="43"/>
  <c r="FC58" i="43"/>
  <c r="FB58" i="43"/>
  <c r="FA58" i="43"/>
  <c r="EZ58" i="43"/>
  <c r="EY58" i="43"/>
  <c r="EX58" i="43"/>
  <c r="EW58" i="43"/>
  <c r="EV58" i="43"/>
  <c r="EU58" i="43"/>
  <c r="ET58" i="43"/>
  <c r="ES58" i="43"/>
  <c r="EH58" i="43"/>
  <c r="EG58" i="43"/>
  <c r="EF58" i="43"/>
  <c r="EE58" i="43"/>
  <c r="ED58" i="43"/>
  <c r="FT57" i="43"/>
  <c r="FS57" i="43"/>
  <c r="FR57" i="43"/>
  <c r="FQ57" i="43"/>
  <c r="FP57" i="43"/>
  <c r="FO57" i="43"/>
  <c r="FN57" i="43"/>
  <c r="FM57" i="43"/>
  <c r="FL57" i="43"/>
  <c r="FK57" i="43"/>
  <c r="FJ57" i="43"/>
  <c r="FI57" i="43"/>
  <c r="FH57" i="43"/>
  <c r="FG57" i="43"/>
  <c r="FF57" i="43"/>
  <c r="FE57" i="43"/>
  <c r="FD57" i="43"/>
  <c r="FC57" i="43"/>
  <c r="FB57" i="43"/>
  <c r="FA57" i="43"/>
  <c r="EZ57" i="43"/>
  <c r="EY57" i="43"/>
  <c r="EX57" i="43"/>
  <c r="EV57" i="43"/>
  <c r="EU57" i="43"/>
  <c r="ET57" i="43"/>
  <c r="ES57" i="43"/>
  <c r="ER57" i="43"/>
  <c r="EH57" i="43"/>
  <c r="EG57" i="43"/>
  <c r="EF57" i="43"/>
  <c r="EE57" i="43"/>
  <c r="ED57" i="43"/>
  <c r="FT56" i="43"/>
  <c r="FS56" i="43"/>
  <c r="FR56" i="43"/>
  <c r="FQ56" i="43"/>
  <c r="FP56" i="43"/>
  <c r="FO56" i="43"/>
  <c r="FN56" i="43"/>
  <c r="FM56" i="43"/>
  <c r="FL56" i="43"/>
  <c r="FK56" i="43"/>
  <c r="FJ56" i="43"/>
  <c r="FI56" i="43"/>
  <c r="FH56" i="43"/>
  <c r="FG56" i="43"/>
  <c r="FF56" i="43"/>
  <c r="FE56" i="43"/>
  <c r="FD56" i="43"/>
  <c r="FC56" i="43"/>
  <c r="FB56" i="43"/>
  <c r="FA56" i="43"/>
  <c r="EZ56" i="43"/>
  <c r="EY56" i="43"/>
  <c r="EV56" i="43"/>
  <c r="EU56" i="43"/>
  <c r="ET56" i="43"/>
  <c r="ES56" i="43"/>
  <c r="EH56" i="43"/>
  <c r="EG56" i="43"/>
  <c r="EF56" i="43"/>
  <c r="EE56" i="43"/>
  <c r="ED56" i="43"/>
  <c r="FT55" i="43"/>
  <c r="FS55" i="43"/>
  <c r="FR55" i="43"/>
  <c r="FQ55" i="43"/>
  <c r="FP55" i="43"/>
  <c r="FO55" i="43"/>
  <c r="FN55" i="43"/>
  <c r="FM55" i="43"/>
  <c r="FL55" i="43"/>
  <c r="FK55" i="43"/>
  <c r="FJ55" i="43"/>
  <c r="FI55" i="43"/>
  <c r="FH55" i="43"/>
  <c r="FG55" i="43"/>
  <c r="FF55" i="43"/>
  <c r="FE55" i="43"/>
  <c r="FD55" i="43"/>
  <c r="FC55" i="43"/>
  <c r="FB55" i="43"/>
  <c r="FA55" i="43"/>
  <c r="EZ55" i="43"/>
  <c r="EY55" i="43"/>
  <c r="EX55" i="43"/>
  <c r="EV55" i="43"/>
  <c r="EU55" i="43"/>
  <c r="ET55" i="43"/>
  <c r="EH55" i="43"/>
  <c r="EG55" i="43"/>
  <c r="EF55" i="43"/>
  <c r="EE55" i="43"/>
  <c r="ED55" i="43"/>
  <c r="FT54" i="43"/>
  <c r="FS54" i="43"/>
  <c r="FR54" i="43"/>
  <c r="FQ54" i="43"/>
  <c r="FP54" i="43"/>
  <c r="FO54" i="43"/>
  <c r="FN54" i="43"/>
  <c r="FM54" i="43"/>
  <c r="FL54" i="43"/>
  <c r="FK54" i="43"/>
  <c r="FJ54" i="43"/>
  <c r="FI54" i="43"/>
  <c r="FH54" i="43"/>
  <c r="FG54" i="43"/>
  <c r="FF54" i="43"/>
  <c r="FE54" i="43"/>
  <c r="FD54" i="43"/>
  <c r="FC54" i="43"/>
  <c r="FB54" i="43"/>
  <c r="FA54" i="43"/>
  <c r="EZ54" i="43"/>
  <c r="EY54" i="43"/>
  <c r="EX54" i="43"/>
  <c r="EW54" i="43"/>
  <c r="EV54" i="43"/>
  <c r="EU54" i="43"/>
  <c r="ET54" i="43"/>
  <c r="ES54" i="43"/>
  <c r="EH54" i="43"/>
  <c r="EG54" i="43"/>
  <c r="EF54" i="43"/>
  <c r="EE54" i="43"/>
  <c r="ED54" i="43"/>
  <c r="FT53" i="43"/>
  <c r="FS53" i="43"/>
  <c r="FR53" i="43"/>
  <c r="FQ53" i="43"/>
  <c r="FP53" i="43"/>
  <c r="FO53" i="43"/>
  <c r="FN53" i="43"/>
  <c r="FM53" i="43"/>
  <c r="FL53" i="43"/>
  <c r="FK53" i="43"/>
  <c r="FJ53" i="43"/>
  <c r="FI53" i="43"/>
  <c r="FH53" i="43"/>
  <c r="FG53" i="43"/>
  <c r="FF53" i="43"/>
  <c r="FE53" i="43"/>
  <c r="FD53" i="43"/>
  <c r="FC53" i="43"/>
  <c r="FB53" i="43"/>
  <c r="FA53" i="43"/>
  <c r="EZ53" i="43"/>
  <c r="EY53" i="43"/>
  <c r="EX53" i="43"/>
  <c r="EV53" i="43"/>
  <c r="EU53" i="43"/>
  <c r="ET53" i="43"/>
  <c r="ES53" i="43"/>
  <c r="ER53" i="43"/>
  <c r="EH53" i="43"/>
  <c r="EG53" i="43"/>
  <c r="EF53" i="43"/>
  <c r="EE53" i="43"/>
  <c r="ED53" i="43"/>
  <c r="FT52" i="43"/>
  <c r="FS52" i="43"/>
  <c r="FR52" i="43"/>
  <c r="FQ52" i="43"/>
  <c r="FP52" i="43"/>
  <c r="FO52" i="43"/>
  <c r="FN52" i="43"/>
  <c r="FM52" i="43"/>
  <c r="FL52" i="43"/>
  <c r="FK52" i="43"/>
  <c r="FJ52" i="43"/>
  <c r="FI52" i="43"/>
  <c r="FH52" i="43"/>
  <c r="FG52" i="43"/>
  <c r="FF52" i="43"/>
  <c r="FE52" i="43"/>
  <c r="FD52" i="43"/>
  <c r="FC52" i="43"/>
  <c r="FB52" i="43"/>
  <c r="FA52" i="43"/>
  <c r="EZ52" i="43"/>
  <c r="EY52" i="43"/>
  <c r="EV52" i="43"/>
  <c r="EU52" i="43"/>
  <c r="ET52" i="43"/>
  <c r="ES52" i="43"/>
  <c r="EH52" i="43"/>
  <c r="EG52" i="43"/>
  <c r="EF52" i="43"/>
  <c r="EE52" i="43"/>
  <c r="ED52" i="43"/>
  <c r="FT51" i="43"/>
  <c r="FS51" i="43"/>
  <c r="FR51" i="43"/>
  <c r="FQ51" i="43"/>
  <c r="FP51" i="43"/>
  <c r="FO51" i="43"/>
  <c r="FN51" i="43"/>
  <c r="FM51" i="43"/>
  <c r="FL51" i="43"/>
  <c r="FK51" i="43"/>
  <c r="FJ51" i="43"/>
  <c r="FI51" i="43"/>
  <c r="FH51" i="43"/>
  <c r="FG51" i="43"/>
  <c r="FF51" i="43"/>
  <c r="FE51" i="43"/>
  <c r="FD51" i="43"/>
  <c r="FC51" i="43"/>
  <c r="FB51" i="43"/>
  <c r="FA51" i="43"/>
  <c r="EZ51" i="43"/>
  <c r="EY51" i="43"/>
  <c r="EX51" i="43"/>
  <c r="EV51" i="43"/>
  <c r="EU51" i="43"/>
  <c r="ET51" i="43"/>
  <c r="EH51" i="43"/>
  <c r="EG51" i="43"/>
  <c r="EF51" i="43"/>
  <c r="EE51" i="43"/>
  <c r="ED51" i="43"/>
  <c r="FT50" i="43"/>
  <c r="FS50" i="43"/>
  <c r="FR50" i="43"/>
  <c r="FQ50" i="43"/>
  <c r="FP50" i="43"/>
  <c r="FO50" i="43"/>
  <c r="FN50" i="43"/>
  <c r="FM50" i="43"/>
  <c r="FL50" i="43"/>
  <c r="FK50" i="43"/>
  <c r="FJ50" i="43"/>
  <c r="FI50" i="43"/>
  <c r="FH50" i="43"/>
  <c r="FG50" i="43"/>
  <c r="FF50" i="43"/>
  <c r="FE50" i="43"/>
  <c r="FD50" i="43"/>
  <c r="FC50" i="43"/>
  <c r="FB50" i="43"/>
  <c r="FA50" i="43"/>
  <c r="EZ50" i="43"/>
  <c r="EY50" i="43"/>
  <c r="EX50" i="43"/>
  <c r="EW50" i="43"/>
  <c r="EV50" i="43"/>
  <c r="EU50" i="43"/>
  <c r="ET50" i="43"/>
  <c r="ES50" i="43"/>
  <c r="EO50" i="43"/>
  <c r="EH50" i="43"/>
  <c r="EG50" i="43"/>
  <c r="EF50" i="43"/>
  <c r="EE50" i="43"/>
  <c r="ED50" i="43"/>
  <c r="CM51" i="43"/>
  <c r="CN51" i="43"/>
  <c r="CO51" i="43"/>
  <c r="CP51" i="43"/>
  <c r="CQ51" i="43"/>
  <c r="DD51" i="43"/>
  <c r="DE51" i="43"/>
  <c r="DF51" i="43"/>
  <c r="DG51" i="43"/>
  <c r="DH51" i="43"/>
  <c r="DI51" i="43"/>
  <c r="DJ51" i="43"/>
  <c r="DK51" i="43"/>
  <c r="DL51" i="43"/>
  <c r="DM51" i="43"/>
  <c r="DN51" i="43"/>
  <c r="DO51" i="43"/>
  <c r="DP51" i="43"/>
  <c r="DQ51" i="43"/>
  <c r="DR51" i="43"/>
  <c r="DS51" i="43"/>
  <c r="DT51" i="43"/>
  <c r="DU51" i="43"/>
  <c r="DV51" i="43"/>
  <c r="DW51" i="43"/>
  <c r="DX51" i="43"/>
  <c r="DY51" i="43"/>
  <c r="DZ51" i="43"/>
  <c r="EA51" i="43"/>
  <c r="EB51" i="43"/>
  <c r="EC51" i="43"/>
  <c r="CM52" i="43"/>
  <c r="CN52" i="43"/>
  <c r="CO52" i="43"/>
  <c r="CP52" i="43"/>
  <c r="CQ52" i="43"/>
  <c r="DB52" i="43"/>
  <c r="DC52" i="43"/>
  <c r="DD52" i="43"/>
  <c r="DE52" i="43"/>
  <c r="DG52" i="43"/>
  <c r="DH52" i="43"/>
  <c r="DI52" i="43"/>
  <c r="DJ52" i="43"/>
  <c r="DK52" i="43"/>
  <c r="DL52" i="43"/>
  <c r="DM52" i="43"/>
  <c r="DN52" i="43"/>
  <c r="DO52" i="43"/>
  <c r="DP52" i="43"/>
  <c r="DQ52" i="43"/>
  <c r="DR52" i="43"/>
  <c r="DS52" i="43"/>
  <c r="DT52" i="43"/>
  <c r="DU52" i="43"/>
  <c r="DV52" i="43"/>
  <c r="DW52" i="43"/>
  <c r="DX52" i="43"/>
  <c r="DY52" i="43"/>
  <c r="DZ52" i="43"/>
  <c r="EA52" i="43"/>
  <c r="EB52" i="43"/>
  <c r="EC52" i="43"/>
  <c r="CM53" i="43"/>
  <c r="CN53" i="43"/>
  <c r="CO53" i="43"/>
  <c r="CP53" i="43"/>
  <c r="CQ53" i="43"/>
  <c r="DA53" i="43"/>
  <c r="DB53" i="43"/>
  <c r="DC53" i="43"/>
  <c r="DD53" i="43"/>
  <c r="DE53" i="43"/>
  <c r="DH53" i="43"/>
  <c r="DI53" i="43"/>
  <c r="DJ53" i="43"/>
  <c r="DK53" i="43"/>
  <c r="DL53" i="43"/>
  <c r="DM53" i="43"/>
  <c r="DN53" i="43"/>
  <c r="DO53" i="43"/>
  <c r="DP53" i="43"/>
  <c r="DQ53" i="43"/>
  <c r="DR53" i="43"/>
  <c r="DS53" i="43"/>
  <c r="DT53" i="43"/>
  <c r="DU53" i="43"/>
  <c r="DV53" i="43"/>
  <c r="DW53" i="43"/>
  <c r="DX53" i="43"/>
  <c r="DY53" i="43"/>
  <c r="DZ53" i="43"/>
  <c r="EA53" i="43"/>
  <c r="EB53" i="43"/>
  <c r="EC53" i="43"/>
  <c r="CM54" i="43"/>
  <c r="CN54" i="43"/>
  <c r="CO54" i="43"/>
  <c r="CP54" i="43"/>
  <c r="CQ54" i="43"/>
  <c r="DA54" i="43"/>
  <c r="DB54" i="43"/>
  <c r="DD54" i="43"/>
  <c r="DE54" i="43"/>
  <c r="DG54" i="43"/>
  <c r="DH54" i="43"/>
  <c r="DI54" i="43"/>
  <c r="DJ54" i="43"/>
  <c r="DK54" i="43"/>
  <c r="DL54" i="43"/>
  <c r="DM54" i="43"/>
  <c r="DN54" i="43"/>
  <c r="DO54" i="43"/>
  <c r="DP54" i="43"/>
  <c r="DQ54" i="43"/>
  <c r="DR54" i="43"/>
  <c r="DS54" i="43"/>
  <c r="DT54" i="43"/>
  <c r="DU54" i="43"/>
  <c r="DV54" i="43"/>
  <c r="DW54" i="43"/>
  <c r="DX54" i="43"/>
  <c r="DY54" i="43"/>
  <c r="DZ54" i="43"/>
  <c r="EA54" i="43"/>
  <c r="EB54" i="43"/>
  <c r="EC54" i="43"/>
  <c r="CM55" i="43"/>
  <c r="CN55" i="43"/>
  <c r="CO55" i="43"/>
  <c r="CP55" i="43"/>
  <c r="CQ55" i="43"/>
  <c r="DD55" i="43"/>
  <c r="DE55" i="43"/>
  <c r="DF55" i="43"/>
  <c r="DG55" i="43"/>
  <c r="DH55" i="43"/>
  <c r="DI55" i="43"/>
  <c r="DJ55" i="43"/>
  <c r="DK55" i="43"/>
  <c r="DL55" i="43"/>
  <c r="DM55" i="43"/>
  <c r="DN55" i="43"/>
  <c r="DO55" i="43"/>
  <c r="DP55" i="43"/>
  <c r="DQ55" i="43"/>
  <c r="DR55" i="43"/>
  <c r="DS55" i="43"/>
  <c r="DT55" i="43"/>
  <c r="DU55" i="43"/>
  <c r="DV55" i="43"/>
  <c r="DW55" i="43"/>
  <c r="DX55" i="43"/>
  <c r="DY55" i="43"/>
  <c r="DZ55" i="43"/>
  <c r="EA55" i="43"/>
  <c r="EB55" i="43"/>
  <c r="EC55" i="43"/>
  <c r="CM56" i="43"/>
  <c r="CN56" i="43"/>
  <c r="CO56" i="43"/>
  <c r="CP56" i="43"/>
  <c r="CQ56" i="43"/>
  <c r="DB56" i="43"/>
  <c r="DD56" i="43"/>
  <c r="DE56" i="43"/>
  <c r="DG56" i="43"/>
  <c r="DH56" i="43"/>
  <c r="DI56" i="43"/>
  <c r="DJ56" i="43"/>
  <c r="DK56" i="43"/>
  <c r="DL56" i="43"/>
  <c r="DM56" i="43"/>
  <c r="DN56" i="43"/>
  <c r="DO56" i="43"/>
  <c r="DP56" i="43"/>
  <c r="DQ56" i="43"/>
  <c r="DR56" i="43"/>
  <c r="DS56" i="43"/>
  <c r="DT56" i="43"/>
  <c r="DU56" i="43"/>
  <c r="DV56" i="43"/>
  <c r="DW56" i="43"/>
  <c r="DX56" i="43"/>
  <c r="DY56" i="43"/>
  <c r="DZ56" i="43"/>
  <c r="EA56" i="43"/>
  <c r="EB56" i="43"/>
  <c r="EC56" i="43"/>
  <c r="CM57" i="43"/>
  <c r="CN57" i="43"/>
  <c r="CO57" i="43"/>
  <c r="CP57" i="43"/>
  <c r="CQ57" i="43"/>
  <c r="DA57" i="43"/>
  <c r="DC57" i="43"/>
  <c r="DD57" i="43"/>
  <c r="DE57" i="43"/>
  <c r="DH57" i="43"/>
  <c r="DI57" i="43"/>
  <c r="DJ57" i="43"/>
  <c r="DK57" i="43"/>
  <c r="DL57" i="43"/>
  <c r="DM57" i="43"/>
  <c r="DN57" i="43"/>
  <c r="DO57" i="43"/>
  <c r="DP57" i="43"/>
  <c r="DQ57" i="43"/>
  <c r="DR57" i="43"/>
  <c r="DS57" i="43"/>
  <c r="DT57" i="43"/>
  <c r="DU57" i="43"/>
  <c r="DV57" i="43"/>
  <c r="DW57" i="43"/>
  <c r="DX57" i="43"/>
  <c r="DY57" i="43"/>
  <c r="DZ57" i="43"/>
  <c r="EA57" i="43"/>
  <c r="EB57" i="43"/>
  <c r="EC57" i="43"/>
  <c r="CM58" i="43"/>
  <c r="CN58" i="43"/>
  <c r="CO58" i="43"/>
  <c r="CP58" i="43"/>
  <c r="CQ58" i="43"/>
  <c r="DA58" i="43"/>
  <c r="DB58" i="43"/>
  <c r="DC58" i="43"/>
  <c r="DD58" i="43"/>
  <c r="DE58" i="43"/>
  <c r="DG58" i="43"/>
  <c r="DH58" i="43"/>
  <c r="DI58" i="43"/>
  <c r="DJ58" i="43"/>
  <c r="DK58" i="43"/>
  <c r="DL58" i="43"/>
  <c r="DM58" i="43"/>
  <c r="DN58" i="43"/>
  <c r="DO58" i="43"/>
  <c r="DP58" i="43"/>
  <c r="DQ58" i="43"/>
  <c r="DR58" i="43"/>
  <c r="DS58" i="43"/>
  <c r="DT58" i="43"/>
  <c r="DU58" i="43"/>
  <c r="DV58" i="43"/>
  <c r="DW58" i="43"/>
  <c r="DX58" i="43"/>
  <c r="DY58" i="43"/>
  <c r="DZ58" i="43"/>
  <c r="EA58" i="43"/>
  <c r="EB58" i="43"/>
  <c r="EC58" i="43"/>
  <c r="CM59" i="43"/>
  <c r="CN59" i="43"/>
  <c r="CO59" i="43"/>
  <c r="CP59" i="43"/>
  <c r="CQ59" i="43"/>
  <c r="DD59" i="43"/>
  <c r="DE59" i="43"/>
  <c r="DF59" i="43"/>
  <c r="DG59" i="43"/>
  <c r="DH59" i="43"/>
  <c r="DI59" i="43"/>
  <c r="DJ59" i="43"/>
  <c r="DK59" i="43"/>
  <c r="DL59" i="43"/>
  <c r="DM59" i="43"/>
  <c r="DN59" i="43"/>
  <c r="DO59" i="43"/>
  <c r="DP59" i="43"/>
  <c r="DQ59" i="43"/>
  <c r="DR59" i="43"/>
  <c r="DS59" i="43"/>
  <c r="DT59" i="43"/>
  <c r="DU59" i="43"/>
  <c r="DV59" i="43"/>
  <c r="DW59" i="43"/>
  <c r="DX59" i="43"/>
  <c r="DY59" i="43"/>
  <c r="DZ59" i="43"/>
  <c r="EA59" i="43"/>
  <c r="EB59" i="43"/>
  <c r="EC59" i="43"/>
  <c r="CM60" i="43"/>
  <c r="CN60" i="43"/>
  <c r="CO60" i="43"/>
  <c r="CP60" i="43"/>
  <c r="CQ60" i="43"/>
  <c r="DB60" i="43"/>
  <c r="DC60" i="43"/>
  <c r="DD60" i="43"/>
  <c r="DE60" i="43"/>
  <c r="DG60" i="43"/>
  <c r="DH60" i="43"/>
  <c r="DI60" i="43"/>
  <c r="DJ60" i="43"/>
  <c r="DK60" i="43"/>
  <c r="DL60" i="43"/>
  <c r="DM60" i="43"/>
  <c r="DN60" i="43"/>
  <c r="DO60" i="43"/>
  <c r="DP60" i="43"/>
  <c r="DQ60" i="43"/>
  <c r="DR60" i="43"/>
  <c r="DS60" i="43"/>
  <c r="DT60" i="43"/>
  <c r="DU60" i="43"/>
  <c r="DV60" i="43"/>
  <c r="DW60" i="43"/>
  <c r="DX60" i="43"/>
  <c r="DY60" i="43"/>
  <c r="DZ60" i="43"/>
  <c r="EA60" i="43"/>
  <c r="EB60" i="43"/>
  <c r="EC60" i="43"/>
  <c r="CM61" i="43"/>
  <c r="CN61" i="43"/>
  <c r="CO61" i="43"/>
  <c r="CP61" i="43"/>
  <c r="CQ61" i="43"/>
  <c r="DA61" i="43"/>
  <c r="DB61" i="43"/>
  <c r="DC61" i="43"/>
  <c r="DD61" i="43"/>
  <c r="DE61" i="43"/>
  <c r="DH61" i="43"/>
  <c r="DI61" i="43"/>
  <c r="DJ61" i="43"/>
  <c r="DK61" i="43"/>
  <c r="DL61" i="43"/>
  <c r="DM61" i="43"/>
  <c r="DN61" i="43"/>
  <c r="DO61" i="43"/>
  <c r="DP61" i="43"/>
  <c r="DQ61" i="43"/>
  <c r="DR61" i="43"/>
  <c r="DS61" i="43"/>
  <c r="DT61" i="43"/>
  <c r="DU61" i="43"/>
  <c r="DV61" i="43"/>
  <c r="DW61" i="43"/>
  <c r="DX61" i="43"/>
  <c r="DY61" i="43"/>
  <c r="DZ61" i="43"/>
  <c r="EA61" i="43"/>
  <c r="EB61" i="43"/>
  <c r="EC61" i="43"/>
  <c r="CM62" i="43"/>
  <c r="CN62" i="43"/>
  <c r="CO62" i="43"/>
  <c r="CP62" i="43"/>
  <c r="CQ62" i="43"/>
  <c r="DA62" i="43"/>
  <c r="DB62" i="43"/>
  <c r="DD62" i="43"/>
  <c r="DE62" i="43"/>
  <c r="DG62" i="43"/>
  <c r="DH62" i="43"/>
  <c r="DI62" i="43"/>
  <c r="DJ62" i="43"/>
  <c r="DK62" i="43"/>
  <c r="DL62" i="43"/>
  <c r="DM62" i="43"/>
  <c r="DN62" i="43"/>
  <c r="DO62" i="43"/>
  <c r="DP62" i="43"/>
  <c r="DQ62" i="43"/>
  <c r="DR62" i="43"/>
  <c r="DS62" i="43"/>
  <c r="DT62" i="43"/>
  <c r="DU62" i="43"/>
  <c r="DV62" i="43"/>
  <c r="DW62" i="43"/>
  <c r="DX62" i="43"/>
  <c r="DY62" i="43"/>
  <c r="DZ62" i="43"/>
  <c r="EA62" i="43"/>
  <c r="EB62" i="43"/>
  <c r="EC62" i="43"/>
  <c r="CM63" i="43"/>
  <c r="CN63" i="43"/>
  <c r="CO63" i="43"/>
  <c r="CP63" i="43"/>
  <c r="CQ63" i="43"/>
  <c r="DD63" i="43"/>
  <c r="DE63" i="43"/>
  <c r="DF63" i="43"/>
  <c r="DG63" i="43"/>
  <c r="DH63" i="43"/>
  <c r="DI63" i="43"/>
  <c r="DJ63" i="43"/>
  <c r="DK63" i="43"/>
  <c r="DL63" i="43"/>
  <c r="DM63" i="43"/>
  <c r="DN63" i="43"/>
  <c r="DO63" i="43"/>
  <c r="DP63" i="43"/>
  <c r="DQ63" i="43"/>
  <c r="DR63" i="43"/>
  <c r="DS63" i="43"/>
  <c r="DT63" i="43"/>
  <c r="DU63" i="43"/>
  <c r="DV63" i="43"/>
  <c r="DW63" i="43"/>
  <c r="DX63" i="43"/>
  <c r="DY63" i="43"/>
  <c r="DZ63" i="43"/>
  <c r="EA63" i="43"/>
  <c r="EB63" i="43"/>
  <c r="EC63" i="43"/>
  <c r="CM64" i="43"/>
  <c r="CN64" i="43"/>
  <c r="CO64" i="43"/>
  <c r="CP64" i="43"/>
  <c r="CQ64" i="43"/>
  <c r="DB64" i="43"/>
  <c r="DD64" i="43"/>
  <c r="DE64" i="43"/>
  <c r="DG64" i="43"/>
  <c r="DH64" i="43"/>
  <c r="DI64" i="43"/>
  <c r="DJ64" i="43"/>
  <c r="DK64" i="43"/>
  <c r="DL64" i="43"/>
  <c r="DM64" i="43"/>
  <c r="DN64" i="43"/>
  <c r="DO64" i="43"/>
  <c r="DP64" i="43"/>
  <c r="DQ64" i="43"/>
  <c r="DR64" i="43"/>
  <c r="DS64" i="43"/>
  <c r="DT64" i="43"/>
  <c r="DU64" i="43"/>
  <c r="DV64" i="43"/>
  <c r="DW64" i="43"/>
  <c r="DX64" i="43"/>
  <c r="DY64" i="43"/>
  <c r="DZ64" i="43"/>
  <c r="EA64" i="43"/>
  <c r="EB64" i="43"/>
  <c r="EC64" i="43"/>
  <c r="CM65" i="43"/>
  <c r="CN65" i="43"/>
  <c r="CO65" i="43"/>
  <c r="CP65" i="43"/>
  <c r="CQ65" i="43"/>
  <c r="DA65" i="43"/>
  <c r="DC65" i="43"/>
  <c r="DD65" i="43"/>
  <c r="DE65" i="43"/>
  <c r="DH65" i="43"/>
  <c r="DI65" i="43"/>
  <c r="DJ65" i="43"/>
  <c r="DK65" i="43"/>
  <c r="DL65" i="43"/>
  <c r="DM65" i="43"/>
  <c r="DN65" i="43"/>
  <c r="DO65" i="43"/>
  <c r="DP65" i="43"/>
  <c r="DQ65" i="43"/>
  <c r="DR65" i="43"/>
  <c r="DS65" i="43"/>
  <c r="DT65" i="43"/>
  <c r="DU65" i="43"/>
  <c r="DV65" i="43"/>
  <c r="DW65" i="43"/>
  <c r="DX65" i="43"/>
  <c r="DY65" i="43"/>
  <c r="DZ65" i="43"/>
  <c r="EA65" i="43"/>
  <c r="EB65" i="43"/>
  <c r="EC65" i="43"/>
  <c r="CM66" i="43"/>
  <c r="CN66" i="43"/>
  <c r="CO66" i="43"/>
  <c r="CP66" i="43"/>
  <c r="CQ66" i="43"/>
  <c r="DA66" i="43"/>
  <c r="DB66" i="43"/>
  <c r="DC66" i="43"/>
  <c r="DD66" i="43"/>
  <c r="DE66" i="43"/>
  <c r="DG66" i="43"/>
  <c r="DH66" i="43"/>
  <c r="DI66" i="43"/>
  <c r="DJ66" i="43"/>
  <c r="DK66" i="43"/>
  <c r="DL66" i="43"/>
  <c r="DM66" i="43"/>
  <c r="DN66" i="43"/>
  <c r="DO66" i="43"/>
  <c r="DP66" i="43"/>
  <c r="DQ66" i="43"/>
  <c r="DR66" i="43"/>
  <c r="DS66" i="43"/>
  <c r="DT66" i="43"/>
  <c r="DU66" i="43"/>
  <c r="DV66" i="43"/>
  <c r="DW66" i="43"/>
  <c r="DX66" i="43"/>
  <c r="DY66" i="43"/>
  <c r="DZ66" i="43"/>
  <c r="EA66" i="43"/>
  <c r="EB66" i="43"/>
  <c r="EC66" i="43"/>
  <c r="CM67" i="43"/>
  <c r="CN67" i="43"/>
  <c r="CO67" i="43"/>
  <c r="CP67" i="43"/>
  <c r="CQ67" i="43"/>
  <c r="DC67" i="43"/>
  <c r="DD67" i="43"/>
  <c r="DE67" i="43"/>
  <c r="DF67" i="43"/>
  <c r="DG67" i="43"/>
  <c r="DH67" i="43"/>
  <c r="DI67" i="43"/>
  <c r="DJ67" i="43"/>
  <c r="DK67" i="43"/>
  <c r="DL67" i="43"/>
  <c r="DM67" i="43"/>
  <c r="DN67" i="43"/>
  <c r="DO67" i="43"/>
  <c r="DP67" i="43"/>
  <c r="DQ67" i="43"/>
  <c r="DR67" i="43"/>
  <c r="DS67" i="43"/>
  <c r="DT67" i="43"/>
  <c r="DU67" i="43"/>
  <c r="DV67" i="43"/>
  <c r="DW67" i="43"/>
  <c r="DX67" i="43"/>
  <c r="DY67" i="43"/>
  <c r="DZ67" i="43"/>
  <c r="EA67" i="43"/>
  <c r="EB67" i="43"/>
  <c r="EC67" i="43"/>
  <c r="CM68" i="43"/>
  <c r="CN68" i="43"/>
  <c r="CO68" i="43"/>
  <c r="CP68" i="43"/>
  <c r="CQ68" i="43"/>
  <c r="DB68" i="43"/>
  <c r="DC68" i="43"/>
  <c r="DD68" i="43"/>
  <c r="DE68" i="43"/>
  <c r="DG68" i="43"/>
  <c r="DH68" i="43"/>
  <c r="DI68" i="43"/>
  <c r="DJ68" i="43"/>
  <c r="DK68" i="43"/>
  <c r="DL68" i="43"/>
  <c r="DM68" i="43"/>
  <c r="DN68" i="43"/>
  <c r="DO68" i="43"/>
  <c r="DP68" i="43"/>
  <c r="DQ68" i="43"/>
  <c r="DR68" i="43"/>
  <c r="DS68" i="43"/>
  <c r="DT68" i="43"/>
  <c r="DU68" i="43"/>
  <c r="DV68" i="43"/>
  <c r="DW68" i="43"/>
  <c r="DX68" i="43"/>
  <c r="DY68" i="43"/>
  <c r="DZ68" i="43"/>
  <c r="EA68" i="43"/>
  <c r="EB68" i="43"/>
  <c r="EC68" i="43"/>
  <c r="CM69" i="43"/>
  <c r="CN69" i="43"/>
  <c r="CO69" i="43"/>
  <c r="CP69" i="43"/>
  <c r="CQ69" i="43"/>
  <c r="DA69" i="43"/>
  <c r="DB69" i="43"/>
  <c r="DC69" i="43"/>
  <c r="DD69" i="43"/>
  <c r="DE69" i="43"/>
  <c r="DF69" i="43"/>
  <c r="DH69" i="43"/>
  <c r="DI69" i="43"/>
  <c r="DJ69" i="43"/>
  <c r="DK69" i="43"/>
  <c r="DL69" i="43"/>
  <c r="DM69" i="43"/>
  <c r="DN69" i="43"/>
  <c r="DO69" i="43"/>
  <c r="DP69" i="43"/>
  <c r="DQ69" i="43"/>
  <c r="DR69" i="43"/>
  <c r="DS69" i="43"/>
  <c r="DT69" i="43"/>
  <c r="DU69" i="43"/>
  <c r="DV69" i="43"/>
  <c r="DW69" i="43"/>
  <c r="DX69" i="43"/>
  <c r="DY69" i="43"/>
  <c r="DZ69" i="43"/>
  <c r="EA69" i="43"/>
  <c r="EB69" i="43"/>
  <c r="EC69" i="43"/>
  <c r="CM70" i="43"/>
  <c r="CN70" i="43"/>
  <c r="CO70" i="43"/>
  <c r="CP70" i="43"/>
  <c r="CQ70" i="43"/>
  <c r="DA70" i="43"/>
  <c r="DB70" i="43"/>
  <c r="DC70" i="43"/>
  <c r="DD70" i="43"/>
  <c r="DE70" i="43"/>
  <c r="DG70" i="43"/>
  <c r="DH70" i="43"/>
  <c r="DI70" i="43"/>
  <c r="DJ70" i="43"/>
  <c r="DK70" i="43"/>
  <c r="DL70" i="43"/>
  <c r="DM70" i="43"/>
  <c r="DN70" i="43"/>
  <c r="DO70" i="43"/>
  <c r="DP70" i="43"/>
  <c r="DQ70" i="43"/>
  <c r="DR70" i="43"/>
  <c r="DS70" i="43"/>
  <c r="DT70" i="43"/>
  <c r="DU70" i="43"/>
  <c r="DV70" i="43"/>
  <c r="DW70" i="43"/>
  <c r="DX70" i="43"/>
  <c r="DY70" i="43"/>
  <c r="DZ70" i="43"/>
  <c r="EA70" i="43"/>
  <c r="EB70" i="43"/>
  <c r="EC70" i="43"/>
  <c r="CM71" i="43"/>
  <c r="CN71" i="43"/>
  <c r="CO71" i="43"/>
  <c r="CP71" i="43"/>
  <c r="CQ71" i="43"/>
  <c r="DA71" i="43"/>
  <c r="DC71" i="43"/>
  <c r="DD71" i="43"/>
  <c r="DE71" i="43"/>
  <c r="DF71" i="43"/>
  <c r="DG71" i="43"/>
  <c r="DH71" i="43"/>
  <c r="DI71" i="43"/>
  <c r="DJ71" i="43"/>
  <c r="DK71" i="43"/>
  <c r="DL71" i="43"/>
  <c r="DM71" i="43"/>
  <c r="DN71" i="43"/>
  <c r="DO71" i="43"/>
  <c r="DP71" i="43"/>
  <c r="DQ71" i="43"/>
  <c r="DR71" i="43"/>
  <c r="DS71" i="43"/>
  <c r="DT71" i="43"/>
  <c r="DU71" i="43"/>
  <c r="DV71" i="43"/>
  <c r="DW71" i="43"/>
  <c r="DX71" i="43"/>
  <c r="DY71" i="43"/>
  <c r="DZ71" i="43"/>
  <c r="EA71" i="43"/>
  <c r="EB71" i="43"/>
  <c r="EC71" i="43"/>
  <c r="DW50" i="43"/>
  <c r="DS50" i="43"/>
  <c r="DR50" i="43"/>
  <c r="DT50" i="43"/>
  <c r="DQ50" i="43"/>
  <c r="DJ50" i="43"/>
  <c r="DK50" i="43"/>
  <c r="DL50" i="43"/>
  <c r="DM50" i="43"/>
  <c r="DN50" i="43"/>
  <c r="DI50" i="43"/>
  <c r="DE50" i="43"/>
  <c r="DH50" i="43"/>
  <c r="DG50" i="43"/>
  <c r="DD50" i="43"/>
  <c r="DB50" i="43"/>
  <c r="DC50" i="43"/>
  <c r="CO50" i="43"/>
  <c r="CP50" i="43"/>
  <c r="CN50" i="43"/>
  <c r="CQ50" i="43"/>
  <c r="CX50" i="43"/>
  <c r="DO50" i="43"/>
  <c r="DP50" i="43"/>
  <c r="DU50" i="43"/>
  <c r="DV50" i="43"/>
  <c r="DX50" i="43"/>
  <c r="DY50" i="43"/>
  <c r="DZ50" i="43"/>
  <c r="EA50" i="43"/>
  <c r="EB50" i="43"/>
  <c r="EC50" i="43"/>
  <c r="CM50" i="43"/>
  <c r="E25" i="47"/>
  <c r="E26" i="47"/>
  <c r="E27" i="47"/>
  <c r="E28" i="47"/>
  <c r="E29" i="47"/>
  <c r="E30" i="47"/>
  <c r="E31" i="47"/>
  <c r="E32" i="47"/>
  <c r="E33" i="47"/>
  <c r="E34" i="47"/>
  <c r="W25" i="47"/>
  <c r="W26" i="47"/>
  <c r="W27" i="47"/>
  <c r="W28" i="47"/>
  <c r="W29" i="47"/>
  <c r="W30" i="47"/>
  <c r="W24" i="47"/>
  <c r="T30" i="44"/>
  <c r="S30" i="44"/>
  <c r="R30" i="44"/>
  <c r="T29" i="44"/>
  <c r="S29" i="44"/>
  <c r="R29" i="44"/>
  <c r="T28" i="44"/>
  <c r="S28" i="44"/>
  <c r="R28" i="44"/>
  <c r="T27" i="44"/>
  <c r="S27" i="44"/>
  <c r="R27" i="44"/>
  <c r="T26" i="44"/>
  <c r="S26" i="44"/>
  <c r="R26" i="44"/>
  <c r="T25" i="44"/>
  <c r="S25" i="44"/>
  <c r="R25" i="44"/>
  <c r="T24" i="44"/>
  <c r="S24" i="44"/>
  <c r="R24" i="44"/>
  <c r="O30" i="44"/>
  <c r="O29" i="44"/>
  <c r="O28" i="44"/>
  <c r="O27" i="44"/>
  <c r="O26" i="44"/>
  <c r="O25" i="44"/>
  <c r="O24" i="44"/>
  <c r="U25" i="44"/>
  <c r="W25" i="44"/>
  <c r="U26" i="44"/>
  <c r="W26" i="44"/>
  <c r="U27" i="44"/>
  <c r="W27" i="44"/>
  <c r="U28" i="44"/>
  <c r="W28" i="44"/>
  <c r="U29" i="44"/>
  <c r="W29" i="44"/>
  <c r="U30" i="44"/>
  <c r="W30" i="44"/>
  <c r="U24" i="44"/>
  <c r="W24" i="44"/>
  <c r="AY25" i="44"/>
  <c r="AW25" i="44"/>
  <c r="AY24" i="44"/>
  <c r="AW24" i="44"/>
  <c r="AE25" i="44"/>
  <c r="AE24" i="44"/>
  <c r="AI25" i="44"/>
  <c r="AH25" i="44"/>
  <c r="AG25" i="44"/>
  <c r="AI24" i="44"/>
  <c r="AH24" i="44"/>
  <c r="AG24" i="44"/>
  <c r="AJ25" i="44"/>
  <c r="AL25" i="44"/>
  <c r="AJ24" i="44"/>
  <c r="AL24" i="44"/>
  <c r="AU25" i="44"/>
  <c r="AT24" i="44"/>
  <c r="AR25" i="44"/>
  <c r="A25" i="44"/>
  <c r="D25" i="44"/>
  <c r="E25" i="44"/>
  <c r="F25" i="44"/>
  <c r="A26" i="44"/>
  <c r="D26" i="44"/>
  <c r="E26" i="44"/>
  <c r="F26" i="44"/>
  <c r="A27" i="44"/>
  <c r="D27" i="44"/>
  <c r="E27" i="44"/>
  <c r="F27" i="44"/>
  <c r="A28" i="44"/>
  <c r="D28" i="44"/>
  <c r="E28" i="44"/>
  <c r="F28" i="44"/>
  <c r="A29" i="44"/>
  <c r="D29" i="44"/>
  <c r="E29" i="44"/>
  <c r="F29" i="44"/>
  <c r="A30" i="44"/>
  <c r="D30" i="44"/>
  <c r="E30" i="44"/>
  <c r="F30" i="44"/>
  <c r="A31" i="44"/>
  <c r="D31" i="44"/>
  <c r="E31" i="44"/>
  <c r="F31" i="44"/>
  <c r="A32" i="44"/>
  <c r="D32" i="44"/>
  <c r="E32" i="44"/>
  <c r="F32" i="44"/>
  <c r="A33" i="44"/>
  <c r="D33" i="44"/>
  <c r="E33" i="44"/>
  <c r="F33" i="44"/>
  <c r="A34" i="44"/>
  <c r="D34" i="44"/>
  <c r="E34" i="44"/>
  <c r="F34" i="44"/>
  <c r="D24" i="44"/>
  <c r="E24" i="44"/>
  <c r="F24" i="44"/>
  <c r="A24" i="44"/>
  <c r="AR3" i="44"/>
  <c r="R15" i="44"/>
  <c r="U7" i="44"/>
  <c r="R5" i="44"/>
  <c r="R6" i="44"/>
  <c r="R7" i="44"/>
  <c r="R34" i="47"/>
  <c r="Q34" i="47"/>
  <c r="L34" i="47"/>
  <c r="J34" i="47"/>
  <c r="R33" i="47"/>
  <c r="Q33" i="47"/>
  <c r="L33" i="47"/>
  <c r="J33" i="47"/>
  <c r="R32" i="47"/>
  <c r="Q32" i="47"/>
  <c r="L32" i="47"/>
  <c r="J32" i="47"/>
  <c r="R31" i="47"/>
  <c r="Q31" i="47"/>
  <c r="L31" i="47"/>
  <c r="J31" i="47"/>
  <c r="AD30" i="47"/>
  <c r="X30" i="44" s="1"/>
  <c r="AB30" i="47"/>
  <c r="V30" i="44" s="1"/>
  <c r="R30" i="47"/>
  <c r="Q30" i="47"/>
  <c r="L30" i="47"/>
  <c r="J30" i="47"/>
  <c r="AD29" i="47"/>
  <c r="X29" i="44" s="1"/>
  <c r="AB29" i="47"/>
  <c r="V29" i="44" s="1"/>
  <c r="R29" i="47"/>
  <c r="Q29" i="47"/>
  <c r="L29" i="47"/>
  <c r="J29" i="47"/>
  <c r="AD28" i="47"/>
  <c r="X28" i="44" s="1"/>
  <c r="AB28" i="47"/>
  <c r="V28" i="44" s="1"/>
  <c r="R28" i="47"/>
  <c r="Q28" i="47"/>
  <c r="L28" i="47"/>
  <c r="J28" i="47"/>
  <c r="AD27" i="47"/>
  <c r="X27" i="44" s="1"/>
  <c r="AB27" i="47"/>
  <c r="V27" i="44" s="1"/>
  <c r="R27" i="47"/>
  <c r="Q27" i="47"/>
  <c r="L27" i="47"/>
  <c r="J27" i="47"/>
  <c r="AD26" i="47"/>
  <c r="X26" i="44" s="1"/>
  <c r="AB26" i="47"/>
  <c r="V26" i="44" s="1"/>
  <c r="R26" i="47"/>
  <c r="Q26" i="47"/>
  <c r="L26" i="47"/>
  <c r="J26" i="47"/>
  <c r="AZ25" i="44"/>
  <c r="AX25" i="44"/>
  <c r="AT25" i="44"/>
  <c r="AM25" i="44"/>
  <c r="AK25" i="44"/>
  <c r="AD25" i="47"/>
  <c r="X25" i="44" s="1"/>
  <c r="AB25" i="47"/>
  <c r="V25" i="44" s="1"/>
  <c r="R25" i="47"/>
  <c r="Q25" i="47"/>
  <c r="L25" i="47"/>
  <c r="J25" i="47"/>
  <c r="AZ24" i="44"/>
  <c r="AX24" i="44"/>
  <c r="AU24" i="44"/>
  <c r="AR24" i="44"/>
  <c r="AM24" i="44"/>
  <c r="AK24" i="44"/>
  <c r="AD24" i="47"/>
  <c r="X24" i="44" s="1"/>
  <c r="AB24" i="47"/>
  <c r="V24" i="44" s="1"/>
  <c r="R24" i="47"/>
  <c r="Q24" i="47"/>
  <c r="L24" i="47"/>
  <c r="AB7" i="47"/>
  <c r="BC25" i="47" s="1"/>
  <c r="BT25" i="47" s="1"/>
  <c r="AB6" i="47"/>
  <c r="BB25" i="47" s="1"/>
  <c r="BS25" i="47" s="1"/>
  <c r="AB5" i="47"/>
  <c r="BA25" i="47" s="1"/>
  <c r="BR25" i="47" s="1"/>
  <c r="AB4" i="47"/>
  <c r="AZ25" i="47" s="1"/>
  <c r="BQ25" i="47" s="1"/>
  <c r="Y7" i="47"/>
  <c r="AJ27" i="47" s="1"/>
  <c r="AB27" i="44" s="1"/>
  <c r="Y6" i="47"/>
  <c r="AI27" i="47" s="1"/>
  <c r="AA27" i="44" s="1"/>
  <c r="Y14" i="47"/>
  <c r="AK30" i="47" s="1"/>
  <c r="AC30" i="44" s="1"/>
  <c r="Y5" i="47"/>
  <c r="AH28" i="47" s="1"/>
  <c r="Z28" i="44" s="1"/>
  <c r="V5" i="47"/>
  <c r="R4" i="44" s="1"/>
  <c r="Y13" i="47"/>
  <c r="Y4" i="47"/>
  <c r="AG28" i="47" s="1"/>
  <c r="Y28" i="44" s="1"/>
  <c r="V4" i="47"/>
  <c r="R3" i="44" s="1"/>
  <c r="A2" i="47"/>
  <c r="R50" i="43"/>
  <c r="S50" i="43"/>
  <c r="G54" i="43"/>
  <c r="E50" i="43"/>
  <c r="H71" i="43"/>
  <c r="H72" i="43"/>
  <c r="H73" i="43"/>
  <c r="H74" i="43"/>
  <c r="H75" i="43"/>
  <c r="G55" i="43"/>
  <c r="G56" i="43"/>
  <c r="G59" i="43"/>
  <c r="G60" i="43"/>
  <c r="G67" i="43"/>
  <c r="G68" i="43"/>
  <c r="G71" i="43"/>
  <c r="G72" i="43"/>
  <c r="G75" i="43"/>
  <c r="G52" i="43"/>
  <c r="R51" i="45"/>
  <c r="R51" i="43" s="1"/>
  <c r="H70" i="43"/>
  <c r="H69" i="43"/>
  <c r="H68" i="43"/>
  <c r="H67" i="43"/>
  <c r="H66" i="43"/>
  <c r="H65" i="43"/>
  <c r="H64" i="43"/>
  <c r="H63" i="43"/>
  <c r="H62" i="43"/>
  <c r="H61" i="43"/>
  <c r="H60" i="43"/>
  <c r="H59" i="43"/>
  <c r="H58" i="43"/>
  <c r="H57" i="43"/>
  <c r="H56" i="43"/>
  <c r="H55" i="43"/>
  <c r="H54" i="43"/>
  <c r="H53" i="43"/>
  <c r="H52" i="43"/>
  <c r="F35" i="43"/>
  <c r="F27" i="43"/>
  <c r="R13" i="44" l="1"/>
  <c r="BB24" i="47"/>
  <c r="BS24" i="47" s="1"/>
  <c r="BC24" i="44" s="1"/>
  <c r="AO25" i="44"/>
  <c r="BA24" i="47"/>
  <c r="BD25" i="44"/>
  <c r="BC24" i="47"/>
  <c r="BT24" i="47" s="1"/>
  <c r="BD24" i="44" s="1"/>
  <c r="AZ24" i="47"/>
  <c r="Q30" i="44"/>
  <c r="Q28" i="44"/>
  <c r="C31" i="44"/>
  <c r="Q27" i="44"/>
  <c r="C30" i="44"/>
  <c r="C33" i="44"/>
  <c r="Q29" i="44"/>
  <c r="Q26" i="44"/>
  <c r="C29" i="44"/>
  <c r="C25" i="44"/>
  <c r="Q25" i="44"/>
  <c r="C28" i="44"/>
  <c r="C24" i="44"/>
  <c r="C27" i="44"/>
  <c r="C32" i="44"/>
  <c r="Q24" i="44"/>
  <c r="C34" i="44"/>
  <c r="C26" i="44"/>
  <c r="AI25" i="47"/>
  <c r="AA25" i="44" s="1"/>
  <c r="R14" i="44"/>
  <c r="BB25" i="44"/>
  <c r="AK25" i="47"/>
  <c r="AC25" i="44" s="1"/>
  <c r="AQ25" i="44"/>
  <c r="U3" i="44"/>
  <c r="BC25" i="44"/>
  <c r="Y15" i="47"/>
  <c r="AL24" i="47" s="1"/>
  <c r="AD24" i="44" s="1"/>
  <c r="U4" i="44"/>
  <c r="AI24" i="47"/>
  <c r="AA24" i="44" s="1"/>
  <c r="AI26" i="47"/>
  <c r="AA26" i="44" s="1"/>
  <c r="AH27" i="47"/>
  <c r="Z27" i="44" s="1"/>
  <c r="AI28" i="47"/>
  <c r="AA28" i="44" s="1"/>
  <c r="AI29" i="47"/>
  <c r="AA29" i="44" s="1"/>
  <c r="AI30" i="47"/>
  <c r="AA30" i="44" s="1"/>
  <c r="U5" i="44"/>
  <c r="Y3" i="44"/>
  <c r="AH26" i="47"/>
  <c r="Z26" i="44" s="1"/>
  <c r="AP25" i="44"/>
  <c r="AC26" i="44"/>
  <c r="AK28" i="47"/>
  <c r="AC28" i="44" s="1"/>
  <c r="U6" i="44"/>
  <c r="Y4" i="44"/>
  <c r="AH30" i="47"/>
  <c r="Z30" i="44" s="1"/>
  <c r="AK24" i="47"/>
  <c r="AC24" i="44" s="1"/>
  <c r="O24" i="47"/>
  <c r="O39" i="47"/>
  <c r="O36" i="47"/>
  <c r="O37" i="47"/>
  <c r="O38" i="47"/>
  <c r="O35" i="47"/>
  <c r="AH25" i="47"/>
  <c r="Z25" i="44" s="1"/>
  <c r="R11" i="44"/>
  <c r="P28" i="47"/>
  <c r="P39" i="47"/>
  <c r="P36" i="47"/>
  <c r="P37" i="47"/>
  <c r="P38" i="47"/>
  <c r="P35" i="47"/>
  <c r="R12" i="44"/>
  <c r="L53" i="45"/>
  <c r="G50" i="43"/>
  <c r="GN50" i="43"/>
  <c r="GO54" i="43"/>
  <c r="GO58" i="43"/>
  <c r="DB55" i="43"/>
  <c r="DG69" i="43"/>
  <c r="DG61" i="43"/>
  <c r="DG53" i="43"/>
  <c r="GJ53" i="43"/>
  <c r="GJ57" i="43"/>
  <c r="DB71" i="43"/>
  <c r="DB63" i="43"/>
  <c r="ES55" i="43"/>
  <c r="EX56" i="43"/>
  <c r="DB67" i="43"/>
  <c r="DF62" i="43"/>
  <c r="DG57" i="43"/>
  <c r="ER56" i="43"/>
  <c r="EX60" i="43"/>
  <c r="DB59" i="43"/>
  <c r="G64" i="43"/>
  <c r="AG24" i="47"/>
  <c r="Y24" i="44" s="1"/>
  <c r="AC27" i="44"/>
  <c r="O29" i="47"/>
  <c r="AG29" i="47"/>
  <c r="Y29" i="44" s="1"/>
  <c r="AJ24" i="47"/>
  <c r="AB24" i="44" s="1"/>
  <c r="O25" i="47"/>
  <c r="AG25" i="47"/>
  <c r="Y25" i="44" s="1"/>
  <c r="AD27" i="44"/>
  <c r="AJ28" i="47"/>
  <c r="AB28" i="44" s="1"/>
  <c r="P29" i="47"/>
  <c r="AH29" i="47"/>
  <c r="Z29" i="44" s="1"/>
  <c r="P25" i="47"/>
  <c r="AN25" i="44"/>
  <c r="BA25" i="44"/>
  <c r="O26" i="47"/>
  <c r="AG26" i="47"/>
  <c r="Y26" i="44" s="1"/>
  <c r="O30" i="47"/>
  <c r="AG30" i="47"/>
  <c r="Y30" i="44" s="1"/>
  <c r="P26" i="47"/>
  <c r="AJ29" i="47"/>
  <c r="AB29" i="44" s="1"/>
  <c r="P30" i="47"/>
  <c r="AJ25" i="47"/>
  <c r="AB25" i="44" s="1"/>
  <c r="O27" i="47"/>
  <c r="AG27" i="47"/>
  <c r="Y27" i="44" s="1"/>
  <c r="AK29" i="47"/>
  <c r="AC29" i="44" s="1"/>
  <c r="O31" i="47"/>
  <c r="O32" i="47"/>
  <c r="O33" i="47"/>
  <c r="O34" i="47"/>
  <c r="AJ26" i="47"/>
  <c r="AB26" i="44" s="1"/>
  <c r="P27" i="47"/>
  <c r="AJ30" i="47"/>
  <c r="AB30" i="44" s="1"/>
  <c r="P31" i="47"/>
  <c r="P32" i="47"/>
  <c r="P33" i="47"/>
  <c r="P34" i="47"/>
  <c r="O28" i="47"/>
  <c r="P24" i="47"/>
  <c r="AH24" i="47"/>
  <c r="Z24" i="44" s="1"/>
  <c r="G73" i="43"/>
  <c r="G69" i="43"/>
  <c r="G65" i="43"/>
  <c r="G61" i="43"/>
  <c r="G57" i="43"/>
  <c r="G53" i="43"/>
  <c r="G74" i="43"/>
  <c r="G70" i="43"/>
  <c r="G66" i="43"/>
  <c r="G62" i="43"/>
  <c r="G58" i="43"/>
  <c r="E55" i="43"/>
  <c r="E56" i="43"/>
  <c r="E59" i="43"/>
  <c r="E62" i="43"/>
  <c r="E65" i="43"/>
  <c r="E68" i="43"/>
  <c r="E72" i="43"/>
  <c r="E75" i="43"/>
  <c r="E54" i="43"/>
  <c r="E57" i="43"/>
  <c r="E60" i="43"/>
  <c r="E64" i="43"/>
  <c r="E67" i="43"/>
  <c r="E70" i="43"/>
  <c r="E73" i="43"/>
  <c r="E69" i="43"/>
  <c r="E61" i="43"/>
  <c r="E53" i="43"/>
  <c r="E74" i="43"/>
  <c r="E66" i="43"/>
  <c r="E58" i="43"/>
  <c r="E71" i="43"/>
  <c r="E63" i="43"/>
  <c r="AP24" i="44" l="1"/>
  <c r="BB26" i="44"/>
  <c r="AO26" i="44"/>
  <c r="AQ24" i="44"/>
  <c r="BA26" i="44"/>
  <c r="AN26" i="44"/>
  <c r="BC26" i="44"/>
  <c r="AP26" i="44"/>
  <c r="AQ26" i="44"/>
  <c r="BD26" i="44"/>
  <c r="AO24" i="44"/>
  <c r="BR24" i="47"/>
  <c r="BB24" i="44" s="1"/>
  <c r="AN24" i="44"/>
  <c r="BQ24" i="47"/>
  <c r="BA24" i="44" s="1"/>
  <c r="AS24" i="44"/>
  <c r="AL29" i="47"/>
  <c r="AD29" i="44" s="1"/>
  <c r="AL30" i="47"/>
  <c r="AD30" i="44" s="1"/>
  <c r="AS25" i="44"/>
  <c r="AL25" i="47"/>
  <c r="AD25" i="44" s="1"/>
  <c r="Y5" i="44"/>
  <c r="AL28" i="47"/>
  <c r="AD28" i="44" s="1"/>
  <c r="AD26" i="44"/>
  <c r="G63" i="43"/>
  <c r="E52" i="43"/>
  <c r="V50" i="45" l="1"/>
  <c r="Q50" i="43"/>
  <c r="V50" i="43" l="1"/>
  <c r="F38" i="43"/>
  <c r="F37" i="43"/>
  <c r="F23" i="43"/>
  <c r="F15" i="43"/>
  <c r="F16" i="43"/>
  <c r="F17" i="43"/>
  <c r="F11" i="43"/>
  <c r="F9" i="43"/>
  <c r="F20" i="45"/>
  <c r="F19" i="45"/>
  <c r="F18" i="45"/>
  <c r="F14" i="45"/>
  <c r="F14" i="43" s="1"/>
  <c r="F13" i="45"/>
  <c r="F13" i="43" s="1"/>
  <c r="F12" i="45"/>
  <c r="F12" i="43" s="1"/>
  <c r="F42" i="43"/>
  <c r="F41" i="43"/>
  <c r="E30" i="1"/>
  <c r="E31" i="1"/>
  <c r="E32" i="1"/>
  <c r="E29" i="1"/>
  <c r="E18" i="1"/>
  <c r="E35" i="1"/>
  <c r="E36" i="1"/>
  <c r="E37" i="1"/>
  <c r="E34" i="1"/>
  <c r="E13" i="1"/>
  <c r="E14" i="1"/>
  <c r="E15" i="1"/>
  <c r="D13" i="6" s="1"/>
  <c r="E16" i="1"/>
  <c r="E17" i="1"/>
  <c r="E11" i="1"/>
  <c r="F32" i="45" s="1"/>
  <c r="E4" i="1"/>
  <c r="E3" i="1"/>
  <c r="E7" i="1"/>
  <c r="E8" i="1"/>
  <c r="E6" i="1"/>
  <c r="E38" i="1"/>
  <c r="E27" i="1"/>
  <c r="E33" i="1"/>
  <c r="E5" i="46"/>
  <c r="P35" i="46" s="1"/>
  <c r="E2" i="46"/>
  <c r="E9" i="46"/>
  <c r="I66" i="46" s="1"/>
  <c r="J72" i="46"/>
  <c r="J70" i="46"/>
  <c r="J69" i="46"/>
  <c r="J66" i="46"/>
  <c r="P40" i="46"/>
  <c r="P36" i="46"/>
  <c r="P34" i="46"/>
  <c r="P42" i="46" s="1"/>
  <c r="U23" i="46"/>
  <c r="T23" i="46"/>
  <c r="S23" i="46"/>
  <c r="R23" i="46"/>
  <c r="Q23" i="46"/>
  <c r="P23" i="46"/>
  <c r="P22" i="46"/>
  <c r="Q21" i="46"/>
  <c r="Q20" i="46"/>
  <c r="Q19" i="46"/>
  <c r="Q18" i="46"/>
  <c r="U17" i="46"/>
  <c r="T17" i="46"/>
  <c r="S17" i="46"/>
  <c r="R17" i="46"/>
  <c r="Q17" i="46"/>
  <c r="P17" i="46"/>
  <c r="R16" i="46"/>
  <c r="R15" i="46"/>
  <c r="Q14" i="46"/>
  <c r="Q13" i="46"/>
  <c r="Q12" i="46"/>
  <c r="B2" i="47"/>
  <c r="F24" i="47" s="1"/>
  <c r="U11" i="46"/>
  <c r="T11" i="46"/>
  <c r="S11" i="46"/>
  <c r="R11" i="46"/>
  <c r="Q11" i="46"/>
  <c r="P11" i="46"/>
  <c r="R10" i="46"/>
  <c r="R9" i="46"/>
  <c r="Q8" i="46"/>
  <c r="R7" i="46"/>
  <c r="R6" i="46"/>
  <c r="Q5" i="46"/>
  <c r="U4" i="46"/>
  <c r="T4" i="46"/>
  <c r="S4" i="46"/>
  <c r="R4" i="46"/>
  <c r="Q4" i="46"/>
  <c r="P4" i="46"/>
  <c r="X3" i="46"/>
  <c r="W3" i="46"/>
  <c r="V3" i="46"/>
  <c r="U3" i="46"/>
  <c r="T3" i="46"/>
  <c r="S3" i="46"/>
  <c r="R3" i="46"/>
  <c r="Q3" i="46"/>
  <c r="P3" i="46"/>
  <c r="FW60" i="43"/>
  <c r="FW59" i="43"/>
  <c r="FW58" i="43"/>
  <c r="FW57" i="43"/>
  <c r="FW56" i="43"/>
  <c r="N57" i="45"/>
  <c r="FW55" i="43"/>
  <c r="FW54" i="43"/>
  <c r="FW53" i="43"/>
  <c r="FW52" i="43"/>
  <c r="FW51" i="43"/>
  <c r="AS51" i="45"/>
  <c r="AN51" i="45"/>
  <c r="AI51" i="45"/>
  <c r="AD51" i="45"/>
  <c r="Y51" i="45"/>
  <c r="X51" i="45"/>
  <c r="T51" i="45"/>
  <c r="T51" i="43" s="1"/>
  <c r="W51" i="45"/>
  <c r="W51" i="43" s="1"/>
  <c r="FW50" i="43"/>
  <c r="AS50" i="45"/>
  <c r="AN50" i="45"/>
  <c r="AI50" i="45"/>
  <c r="AD50" i="45"/>
  <c r="AC50" i="45"/>
  <c r="AC50" i="43" s="1"/>
  <c r="Y50" i="45"/>
  <c r="X50" i="45"/>
  <c r="X50" i="43" s="1"/>
  <c r="W50" i="45"/>
  <c r="N53" i="45" s="1"/>
  <c r="T50" i="45"/>
  <c r="T50" i="43" s="1"/>
  <c r="F44" i="45"/>
  <c r="F44" i="43" s="1"/>
  <c r="F43" i="45"/>
  <c r="F43" i="43" s="1"/>
  <c r="AP6" i="44"/>
  <c r="AP7" i="44"/>
  <c r="I69" i="46" l="1"/>
  <c r="E12" i="1"/>
  <c r="X29" i="47"/>
  <c r="Y29" i="47" s="1"/>
  <c r="X30" i="47"/>
  <c r="Y30" i="47" s="1"/>
  <c r="F32" i="47"/>
  <c r="AM45" i="40"/>
  <c r="X28" i="47"/>
  <c r="Y28" i="47" s="1"/>
  <c r="F25" i="47"/>
  <c r="F26" i="47"/>
  <c r="F34" i="47"/>
  <c r="F27" i="47"/>
  <c r="F35" i="47"/>
  <c r="F28" i="47"/>
  <c r="F36" i="47"/>
  <c r="X24" i="47"/>
  <c r="Y24" i="47" s="1"/>
  <c r="F29" i="47"/>
  <c r="F37" i="47"/>
  <c r="X25" i="47"/>
  <c r="Y25" i="47" s="1"/>
  <c r="F30" i="47"/>
  <c r="F38" i="47"/>
  <c r="X26" i="47"/>
  <c r="Y26" i="47" s="1"/>
  <c r="F31" i="47"/>
  <c r="F39" i="47"/>
  <c r="X27" i="47"/>
  <c r="Y27" i="47" s="1"/>
  <c r="F33" i="47"/>
  <c r="I70" i="46"/>
  <c r="E5" i="1"/>
  <c r="E9" i="1"/>
  <c r="W50" i="43"/>
  <c r="F55" i="43"/>
  <c r="F60" i="43"/>
  <c r="F65" i="43"/>
  <c r="F71" i="43"/>
  <c r="F52" i="43"/>
  <c r="F56" i="43"/>
  <c r="F61" i="43"/>
  <c r="F67" i="43"/>
  <c r="F72" i="43"/>
  <c r="F62" i="43"/>
  <c r="F50" i="43"/>
  <c r="F57" i="43"/>
  <c r="F63" i="43"/>
  <c r="F68" i="43"/>
  <c r="F73" i="43"/>
  <c r="F74" i="43"/>
  <c r="F53" i="43"/>
  <c r="F59" i="43"/>
  <c r="F64" i="43"/>
  <c r="F69" i="43"/>
  <c r="F75" i="43"/>
  <c r="F70" i="43"/>
  <c r="F66" i="43"/>
  <c r="F58" i="43"/>
  <c r="AH50" i="45"/>
  <c r="AH50" i="43" s="1"/>
  <c r="X51" i="43"/>
  <c r="P43" i="46"/>
  <c r="P39" i="46"/>
  <c r="P38" i="46"/>
  <c r="J67" i="46"/>
  <c r="P33" i="46"/>
  <c r="I72" i="46"/>
  <c r="AG50" i="45"/>
  <c r="AG50" i="43" s="1"/>
  <c r="AG51" i="45"/>
  <c r="AG51" i="43" s="1"/>
  <c r="AB50" i="45"/>
  <c r="AB50" i="43" s="1"/>
  <c r="Z30" i="47" l="1"/>
  <c r="P30" i="44" s="1"/>
  <c r="Z26" i="47"/>
  <c r="P26" i="44" s="1"/>
  <c r="Z27" i="47"/>
  <c r="P27" i="44" s="1"/>
  <c r="AM102" i="40"/>
  <c r="CG62" i="43" s="1"/>
  <c r="CG62" i="45" s="1"/>
  <c r="G33" i="47"/>
  <c r="AM106" i="40"/>
  <c r="CG63" i="43" s="1"/>
  <c r="CG63" i="45" s="1"/>
  <c r="AM103" i="40"/>
  <c r="AM107" i="40"/>
  <c r="AM104" i="40"/>
  <c r="AM105" i="40"/>
  <c r="AM131" i="40"/>
  <c r="AM129" i="40"/>
  <c r="AM128" i="40"/>
  <c r="AM130" i="40"/>
  <c r="CG68" i="43" s="1"/>
  <c r="CG68" i="45" s="1"/>
  <c r="AM132" i="40"/>
  <c r="G37" i="47"/>
  <c r="AM127" i="40"/>
  <c r="AM59" i="40"/>
  <c r="CG53" i="43" s="1"/>
  <c r="CG53" i="45" s="1"/>
  <c r="AM62" i="40"/>
  <c r="AM58" i="40"/>
  <c r="G26" i="47"/>
  <c r="AM61" i="40"/>
  <c r="AM60" i="40"/>
  <c r="AM63" i="40"/>
  <c r="Z28" i="47"/>
  <c r="P28" i="44" s="1"/>
  <c r="AM72" i="40"/>
  <c r="AM73" i="40"/>
  <c r="CG56" i="43" s="1"/>
  <c r="CG56" i="45" s="1"/>
  <c r="AM70" i="40"/>
  <c r="AM76" i="40"/>
  <c r="AM71" i="40"/>
  <c r="AM75" i="40"/>
  <c r="G28" i="47"/>
  <c r="AM74" i="40"/>
  <c r="AM99" i="40"/>
  <c r="AM97" i="40"/>
  <c r="CG61" i="43" s="1"/>
  <c r="CG61" i="45" s="1"/>
  <c r="AM101" i="40"/>
  <c r="AM100" i="40"/>
  <c r="G32" i="47"/>
  <c r="AM98" i="40"/>
  <c r="AM96" i="40"/>
  <c r="AM95" i="40"/>
  <c r="AM77" i="40"/>
  <c r="AM78" i="40"/>
  <c r="CG57" i="43" s="1"/>
  <c r="CG57" i="45" s="1"/>
  <c r="AM79" i="40"/>
  <c r="AM80" i="40"/>
  <c r="G29" i="47"/>
  <c r="AM82" i="40"/>
  <c r="AM81" i="40"/>
  <c r="AM140" i="40"/>
  <c r="CG70" i="43" s="1"/>
  <c r="CG70" i="45" s="1"/>
  <c r="G39" i="47"/>
  <c r="AM142" i="40"/>
  <c r="AM144" i="40"/>
  <c r="AM145" i="40" s="1"/>
  <c r="CG71" i="43" s="1"/>
  <c r="CG71" i="45" s="1"/>
  <c r="AM139" i="40"/>
  <c r="AM141" i="40"/>
  <c r="AM143" i="40"/>
  <c r="G31" i="47"/>
  <c r="AM94" i="40"/>
  <c r="AM93" i="40"/>
  <c r="AM89" i="40"/>
  <c r="AM92" i="40"/>
  <c r="CG60" i="43" s="1"/>
  <c r="CG60" i="45" s="1"/>
  <c r="AM90" i="40"/>
  <c r="AM91" i="40"/>
  <c r="AM124" i="40"/>
  <c r="AM120" i="40"/>
  <c r="AM121" i="40"/>
  <c r="CG66" i="43" s="1"/>
  <c r="CG66" i="45" s="1"/>
  <c r="AM126" i="40"/>
  <c r="AM123" i="40"/>
  <c r="G36" i="47"/>
  <c r="AM122" i="40"/>
  <c r="AM125" i="40"/>
  <c r="CG67" i="43" s="1"/>
  <c r="CG67" i="45" s="1"/>
  <c r="AM49" i="40"/>
  <c r="CG51" i="43" s="1"/>
  <c r="CG51" i="45" s="1"/>
  <c r="G24" i="47"/>
  <c r="B24" i="44" s="1"/>
  <c r="AM50" i="40"/>
  <c r="AM51" i="40"/>
  <c r="AM46" i="40"/>
  <c r="CG50" i="43"/>
  <c r="CG50" i="45" s="1"/>
  <c r="AM48" i="40"/>
  <c r="AM47" i="40"/>
  <c r="AM134" i="40"/>
  <c r="G38" i="47"/>
  <c r="AM138" i="40"/>
  <c r="AM133" i="40"/>
  <c r="AM135" i="40"/>
  <c r="CG69" i="43" s="1"/>
  <c r="CG69" i="45" s="1"/>
  <c r="AM136" i="40"/>
  <c r="AM137" i="40"/>
  <c r="AM118" i="40"/>
  <c r="AM115" i="40"/>
  <c r="AM116" i="40"/>
  <c r="CG65" i="43" s="1"/>
  <c r="CG65" i="45" s="1"/>
  <c r="AM114" i="40"/>
  <c r="AM119" i="40"/>
  <c r="G35" i="47"/>
  <c r="AM117" i="40"/>
  <c r="AM88" i="40"/>
  <c r="AM83" i="40"/>
  <c r="CG58" i="43" s="1"/>
  <c r="CG58" i="45" s="1"/>
  <c r="AM85" i="40"/>
  <c r="AM87" i="40"/>
  <c r="CG59" i="43" s="1"/>
  <c r="CG59" i="45" s="1"/>
  <c r="G30" i="47"/>
  <c r="AM84" i="40"/>
  <c r="AM86" i="40"/>
  <c r="G27" i="47"/>
  <c r="B27" i="44" s="1"/>
  <c r="AM64" i="40"/>
  <c r="CG54" i="43" s="1"/>
  <c r="CG54" i="45" s="1"/>
  <c r="AM65" i="40"/>
  <c r="AM69" i="40"/>
  <c r="AM67" i="40"/>
  <c r="AM66" i="40"/>
  <c r="AM68" i="40"/>
  <c r="CG55" i="43" s="1"/>
  <c r="CG55" i="45" s="1"/>
  <c r="Z29" i="47"/>
  <c r="P29" i="44" s="1"/>
  <c r="AM54" i="40"/>
  <c r="CG52" i="43" s="1"/>
  <c r="CG52" i="45" s="1"/>
  <c r="G25" i="47"/>
  <c r="AM52" i="40"/>
  <c r="AM56" i="40"/>
  <c r="AM55" i="40"/>
  <c r="AM57" i="40"/>
  <c r="AM53" i="40"/>
  <c r="Z25" i="47"/>
  <c r="AM109" i="40"/>
  <c r="AM110" i="40"/>
  <c r="G34" i="47"/>
  <c r="AM113" i="40"/>
  <c r="AM112" i="40"/>
  <c r="AM108" i="40"/>
  <c r="AM111" i="40"/>
  <c r="CG64" i="43" s="1"/>
  <c r="CG64" i="45" s="1"/>
  <c r="D12" i="6"/>
  <c r="F31" i="45"/>
  <c r="AL50" i="43"/>
  <c r="AH51" i="45"/>
  <c r="AH51" i="43" s="1"/>
  <c r="AC51" i="43"/>
  <c r="F54" i="43"/>
  <c r="AR51" i="45"/>
  <c r="AR51" i="43" s="1"/>
  <c r="AM51" i="43"/>
  <c r="AR50" i="45"/>
  <c r="AR50" i="43" s="1"/>
  <c r="AM50" i="43"/>
  <c r="J73" i="46"/>
  <c r="J68" i="46"/>
  <c r="J71" i="46"/>
  <c r="P41" i="46"/>
  <c r="P37" i="46"/>
  <c r="AF51" i="43"/>
  <c r="AA51" i="43"/>
  <c r="AB51" i="43"/>
  <c r="J52" i="43"/>
  <c r="E56" i="34"/>
  <c r="H24" i="44"/>
  <c r="N58" i="43"/>
  <c r="N59" i="43"/>
  <c r="CH51" i="43"/>
  <c r="CH51" i="45" s="1"/>
  <c r="CH52" i="43"/>
  <c r="CH52" i="45" s="1"/>
  <c r="CH53" i="43"/>
  <c r="CH53" i="45" s="1"/>
  <c r="CH54" i="43"/>
  <c r="CH54" i="45" s="1"/>
  <c r="CH55" i="43"/>
  <c r="CH55" i="45" s="1"/>
  <c r="CH56" i="43"/>
  <c r="CH56" i="45" s="1"/>
  <c r="CH57" i="43"/>
  <c r="CH57" i="45" s="1"/>
  <c r="CH58" i="43"/>
  <c r="CH58" i="45" s="1"/>
  <c r="CH59" i="43"/>
  <c r="CH59" i="45" s="1"/>
  <c r="CH60" i="43"/>
  <c r="CH60" i="45" s="1"/>
  <c r="CH61" i="43"/>
  <c r="CH61" i="45" s="1"/>
  <c r="CH62" i="43"/>
  <c r="CH62" i="45" s="1"/>
  <c r="CH63" i="43"/>
  <c r="CH63" i="45" s="1"/>
  <c r="CH64" i="43"/>
  <c r="CH64" i="45" s="1"/>
  <c r="CH65" i="43"/>
  <c r="CH65" i="45" s="1"/>
  <c r="CH66" i="43"/>
  <c r="CH66" i="45" s="1"/>
  <c r="CH67" i="43"/>
  <c r="CH67" i="45" s="1"/>
  <c r="CH68" i="43"/>
  <c r="CH68" i="45" s="1"/>
  <c r="CH69" i="43"/>
  <c r="CH69" i="45" s="1"/>
  <c r="CH70" i="43"/>
  <c r="CH70" i="45" s="1"/>
  <c r="CH71" i="43"/>
  <c r="CH71" i="45" s="1"/>
  <c r="CH50" i="43"/>
  <c r="CH50" i="45" s="1"/>
  <c r="A2" i="44"/>
  <c r="B2" i="44"/>
  <c r="BC51" i="43"/>
  <c r="BC51" i="45" s="1"/>
  <c r="BD51" i="43"/>
  <c r="BD51" i="45" s="1"/>
  <c r="BE51" i="43"/>
  <c r="BE51" i="45" s="1"/>
  <c r="BG51" i="43"/>
  <c r="BG51" i="45" s="1"/>
  <c r="BH51" i="43"/>
  <c r="BH51" i="45" s="1"/>
  <c r="BI51" i="43"/>
  <c r="BI51" i="45" s="1"/>
  <c r="BJ51" i="43"/>
  <c r="BJ51" i="45" s="1"/>
  <c r="BK51" i="43"/>
  <c r="BK51" i="45" s="1"/>
  <c r="BN51" i="43"/>
  <c r="BN51" i="45" s="1"/>
  <c r="BO51" i="43"/>
  <c r="BO51" i="45" s="1"/>
  <c r="BP51" i="43"/>
  <c r="BP51" i="45" s="1"/>
  <c r="BQ51" i="43"/>
  <c r="BQ51" i="45" s="1"/>
  <c r="BR51" i="43"/>
  <c r="BR51" i="45" s="1"/>
  <c r="BS51" i="43"/>
  <c r="BS51" i="45" s="1"/>
  <c r="BU51" i="43"/>
  <c r="BU51" i="45" s="1"/>
  <c r="BV51" i="43"/>
  <c r="BV51" i="45" s="1"/>
  <c r="BW51" i="43"/>
  <c r="BW51" i="45" s="1"/>
  <c r="CD51" i="43"/>
  <c r="CD51" i="45" s="1"/>
  <c r="CE51" i="43"/>
  <c r="CE51" i="45" s="1"/>
  <c r="CL51" i="43"/>
  <c r="CL51" i="45" s="1"/>
  <c r="BC52" i="43"/>
  <c r="BC52" i="45" s="1"/>
  <c r="BD52" i="43"/>
  <c r="BD52" i="45" s="1"/>
  <c r="BE52" i="43"/>
  <c r="BE52" i="45" s="1"/>
  <c r="BG52" i="43"/>
  <c r="BG52" i="45" s="1"/>
  <c r="BH52" i="43"/>
  <c r="BH52" i="45" s="1"/>
  <c r="BI52" i="43"/>
  <c r="BI52" i="45" s="1"/>
  <c r="BJ52" i="43"/>
  <c r="BJ52" i="45" s="1"/>
  <c r="BK52" i="43"/>
  <c r="BK52" i="45" s="1"/>
  <c r="BN52" i="43"/>
  <c r="BN52" i="45" s="1"/>
  <c r="BO52" i="43"/>
  <c r="BO52" i="45" s="1"/>
  <c r="BP52" i="43"/>
  <c r="BP52" i="45" s="1"/>
  <c r="BQ52" i="43"/>
  <c r="BQ52" i="45" s="1"/>
  <c r="BR52" i="43"/>
  <c r="BR52" i="45" s="1"/>
  <c r="BS52" i="43"/>
  <c r="BS52" i="45" s="1"/>
  <c r="BU52" i="43"/>
  <c r="BU52" i="45" s="1"/>
  <c r="BV52" i="43"/>
  <c r="BV52" i="45" s="1"/>
  <c r="BW52" i="43"/>
  <c r="BW52" i="45" s="1"/>
  <c r="CD52" i="43"/>
  <c r="CD52" i="45" s="1"/>
  <c r="CE52" i="43"/>
  <c r="CE52" i="45" s="1"/>
  <c r="CL52" i="43"/>
  <c r="CL52" i="45" s="1"/>
  <c r="BC53" i="43"/>
  <c r="BC53" i="45" s="1"/>
  <c r="BD53" i="43"/>
  <c r="BD53" i="45" s="1"/>
  <c r="BE53" i="43"/>
  <c r="BE53" i="45" s="1"/>
  <c r="BG53" i="43"/>
  <c r="BG53" i="45" s="1"/>
  <c r="BH53" i="43"/>
  <c r="BH53" i="45" s="1"/>
  <c r="BI53" i="43"/>
  <c r="BI53" i="45" s="1"/>
  <c r="BJ53" i="43"/>
  <c r="BJ53" i="45" s="1"/>
  <c r="BK53" i="43"/>
  <c r="BK53" i="45" s="1"/>
  <c r="BN53" i="43"/>
  <c r="BN53" i="45" s="1"/>
  <c r="BO53" i="43"/>
  <c r="BO53" i="45" s="1"/>
  <c r="BP53" i="43"/>
  <c r="BP53" i="45" s="1"/>
  <c r="BQ53" i="43"/>
  <c r="BQ53" i="45" s="1"/>
  <c r="BR53" i="43"/>
  <c r="BR53" i="45" s="1"/>
  <c r="BS53" i="43"/>
  <c r="BS53" i="45" s="1"/>
  <c r="BU53" i="43"/>
  <c r="BU53" i="45" s="1"/>
  <c r="BV53" i="43"/>
  <c r="BV53" i="45" s="1"/>
  <c r="BW53" i="43"/>
  <c r="BW53" i="45" s="1"/>
  <c r="CD53" i="43"/>
  <c r="CD53" i="45" s="1"/>
  <c r="CE53" i="43"/>
  <c r="CE53" i="45" s="1"/>
  <c r="CL53" i="43"/>
  <c r="CL53" i="45" s="1"/>
  <c r="BC54" i="43"/>
  <c r="BC54" i="45" s="1"/>
  <c r="BD54" i="43"/>
  <c r="BD54" i="45" s="1"/>
  <c r="BE54" i="43"/>
  <c r="BE54" i="45" s="1"/>
  <c r="BG54" i="43"/>
  <c r="BG54" i="45" s="1"/>
  <c r="BH54" i="43"/>
  <c r="BH54" i="45" s="1"/>
  <c r="BI54" i="43"/>
  <c r="BI54" i="45" s="1"/>
  <c r="BJ54" i="43"/>
  <c r="BJ54" i="45" s="1"/>
  <c r="BK54" i="43"/>
  <c r="BK54" i="45" s="1"/>
  <c r="BN54" i="43"/>
  <c r="BN54" i="45" s="1"/>
  <c r="BO54" i="43"/>
  <c r="BO54" i="45" s="1"/>
  <c r="BP54" i="43"/>
  <c r="BP54" i="45" s="1"/>
  <c r="BQ54" i="43"/>
  <c r="BQ54" i="45" s="1"/>
  <c r="BR54" i="43"/>
  <c r="BR54" i="45" s="1"/>
  <c r="BS54" i="43"/>
  <c r="BS54" i="45" s="1"/>
  <c r="BU54" i="43"/>
  <c r="BU54" i="45" s="1"/>
  <c r="BV54" i="43"/>
  <c r="BV54" i="45" s="1"/>
  <c r="BW54" i="43"/>
  <c r="BW54" i="45" s="1"/>
  <c r="CD54" i="43"/>
  <c r="CD54" i="45" s="1"/>
  <c r="CE54" i="43"/>
  <c r="CE54" i="45" s="1"/>
  <c r="CL54" i="43"/>
  <c r="CL54" i="45" s="1"/>
  <c r="BC55" i="43"/>
  <c r="BC55" i="45" s="1"/>
  <c r="BD55" i="43"/>
  <c r="BD55" i="45" s="1"/>
  <c r="BE55" i="43"/>
  <c r="BE55" i="45" s="1"/>
  <c r="BG55" i="43"/>
  <c r="BG55" i="45" s="1"/>
  <c r="BH55" i="43"/>
  <c r="BH55" i="45" s="1"/>
  <c r="BI55" i="43"/>
  <c r="BI55" i="45" s="1"/>
  <c r="BJ55" i="43"/>
  <c r="BJ55" i="45" s="1"/>
  <c r="BK55" i="43"/>
  <c r="BK55" i="45" s="1"/>
  <c r="BN55" i="43"/>
  <c r="BN55" i="45" s="1"/>
  <c r="BO55" i="43"/>
  <c r="BO55" i="45" s="1"/>
  <c r="BP55" i="43"/>
  <c r="BP55" i="45" s="1"/>
  <c r="BQ55" i="43"/>
  <c r="BQ55" i="45" s="1"/>
  <c r="BR55" i="43"/>
  <c r="BR55" i="45" s="1"/>
  <c r="BS55" i="43"/>
  <c r="BS55" i="45" s="1"/>
  <c r="BU55" i="43"/>
  <c r="BU55" i="45" s="1"/>
  <c r="BV55" i="43"/>
  <c r="BV55" i="45" s="1"/>
  <c r="BW55" i="43"/>
  <c r="BW55" i="45" s="1"/>
  <c r="CD55" i="43"/>
  <c r="CD55" i="45" s="1"/>
  <c r="CE55" i="43"/>
  <c r="CE55" i="45" s="1"/>
  <c r="CL55" i="43"/>
  <c r="CL55" i="45" s="1"/>
  <c r="BC56" i="43"/>
  <c r="BC56" i="45" s="1"/>
  <c r="BD56" i="43"/>
  <c r="BD56" i="45" s="1"/>
  <c r="BE56" i="43"/>
  <c r="BE56" i="45" s="1"/>
  <c r="BG56" i="43"/>
  <c r="BG56" i="45" s="1"/>
  <c r="BH56" i="43"/>
  <c r="BH56" i="45" s="1"/>
  <c r="BI56" i="43"/>
  <c r="BI56" i="45" s="1"/>
  <c r="BJ56" i="43"/>
  <c r="BJ56" i="45" s="1"/>
  <c r="BK56" i="43"/>
  <c r="BK56" i="45" s="1"/>
  <c r="BN56" i="43"/>
  <c r="BN56" i="45" s="1"/>
  <c r="BO56" i="43"/>
  <c r="BO56" i="45" s="1"/>
  <c r="BP56" i="43"/>
  <c r="BP56" i="45" s="1"/>
  <c r="BQ56" i="43"/>
  <c r="BQ56" i="45" s="1"/>
  <c r="BR56" i="43"/>
  <c r="BR56" i="45" s="1"/>
  <c r="BS56" i="43"/>
  <c r="BS56" i="45" s="1"/>
  <c r="BU56" i="43"/>
  <c r="BU56" i="45" s="1"/>
  <c r="BV56" i="43"/>
  <c r="BV56" i="45" s="1"/>
  <c r="BW56" i="43"/>
  <c r="BW56" i="45" s="1"/>
  <c r="CD56" i="43"/>
  <c r="CD56" i="45" s="1"/>
  <c r="CE56" i="43"/>
  <c r="CE56" i="45" s="1"/>
  <c r="CL56" i="43"/>
  <c r="CL56" i="45" s="1"/>
  <c r="BC57" i="43"/>
  <c r="BC57" i="45" s="1"/>
  <c r="BD57" i="43"/>
  <c r="BD57" i="45" s="1"/>
  <c r="BE57" i="43"/>
  <c r="BE57" i="45" s="1"/>
  <c r="BG57" i="43"/>
  <c r="BG57" i="45" s="1"/>
  <c r="BH57" i="43"/>
  <c r="BH57" i="45" s="1"/>
  <c r="BI57" i="43"/>
  <c r="BI57" i="45" s="1"/>
  <c r="BJ57" i="43"/>
  <c r="BJ57" i="45" s="1"/>
  <c r="BK57" i="43"/>
  <c r="BK57" i="45" s="1"/>
  <c r="BN57" i="43"/>
  <c r="BN57" i="45" s="1"/>
  <c r="BO57" i="43"/>
  <c r="BO57" i="45" s="1"/>
  <c r="BP57" i="43"/>
  <c r="BP57" i="45" s="1"/>
  <c r="BQ57" i="43"/>
  <c r="BQ57" i="45" s="1"/>
  <c r="BR57" i="43"/>
  <c r="BR57" i="45" s="1"/>
  <c r="BS57" i="43"/>
  <c r="BS57" i="45" s="1"/>
  <c r="BU57" i="43"/>
  <c r="BU57" i="45" s="1"/>
  <c r="BV57" i="43"/>
  <c r="BV57" i="45" s="1"/>
  <c r="BW57" i="43"/>
  <c r="BW57" i="45" s="1"/>
  <c r="CD57" i="43"/>
  <c r="CD57" i="45" s="1"/>
  <c r="CE57" i="43"/>
  <c r="CE57" i="45" s="1"/>
  <c r="CL57" i="43"/>
  <c r="CL57" i="45" s="1"/>
  <c r="BC58" i="43"/>
  <c r="BC58" i="45" s="1"/>
  <c r="BD58" i="43"/>
  <c r="BD58" i="45" s="1"/>
  <c r="BE58" i="43"/>
  <c r="BE58" i="45" s="1"/>
  <c r="BG58" i="43"/>
  <c r="BG58" i="45" s="1"/>
  <c r="BH58" i="43"/>
  <c r="BH58" i="45" s="1"/>
  <c r="BI58" i="43"/>
  <c r="BI58" i="45" s="1"/>
  <c r="BJ58" i="43"/>
  <c r="BJ58" i="45" s="1"/>
  <c r="BK58" i="43"/>
  <c r="BK58" i="45" s="1"/>
  <c r="BN58" i="43"/>
  <c r="BN58" i="45" s="1"/>
  <c r="BO58" i="43"/>
  <c r="BO58" i="45" s="1"/>
  <c r="BP58" i="43"/>
  <c r="BP58" i="45" s="1"/>
  <c r="BQ58" i="43"/>
  <c r="BQ58" i="45" s="1"/>
  <c r="BR58" i="43"/>
  <c r="BR58" i="45" s="1"/>
  <c r="BS58" i="43"/>
  <c r="BS58" i="45" s="1"/>
  <c r="BU58" i="43"/>
  <c r="BU58" i="45" s="1"/>
  <c r="BV58" i="43"/>
  <c r="BV58" i="45" s="1"/>
  <c r="BW58" i="43"/>
  <c r="BW58" i="45" s="1"/>
  <c r="CD58" i="43"/>
  <c r="CD58" i="45" s="1"/>
  <c r="CE58" i="43"/>
  <c r="CE58" i="45" s="1"/>
  <c r="CL58" i="43"/>
  <c r="CL58" i="45" s="1"/>
  <c r="BC59" i="43"/>
  <c r="BC59" i="45" s="1"/>
  <c r="BD59" i="43"/>
  <c r="BD59" i="45" s="1"/>
  <c r="BE59" i="43"/>
  <c r="BE59" i="45" s="1"/>
  <c r="BG59" i="43"/>
  <c r="BG59" i="45" s="1"/>
  <c r="BH59" i="43"/>
  <c r="BH59" i="45" s="1"/>
  <c r="BI59" i="43"/>
  <c r="BI59" i="45" s="1"/>
  <c r="BJ59" i="43"/>
  <c r="BJ59" i="45" s="1"/>
  <c r="BK59" i="43"/>
  <c r="BK59" i="45" s="1"/>
  <c r="BN59" i="43"/>
  <c r="BN59" i="45" s="1"/>
  <c r="BO59" i="43"/>
  <c r="BO59" i="45" s="1"/>
  <c r="BP59" i="43"/>
  <c r="BP59" i="45" s="1"/>
  <c r="BQ59" i="43"/>
  <c r="BQ59" i="45" s="1"/>
  <c r="BR59" i="43"/>
  <c r="BR59" i="45" s="1"/>
  <c r="BS59" i="43"/>
  <c r="BS59" i="45" s="1"/>
  <c r="BU59" i="43"/>
  <c r="BU59" i="45" s="1"/>
  <c r="BV59" i="43"/>
  <c r="BV59" i="45" s="1"/>
  <c r="BW59" i="43"/>
  <c r="BW59" i="45" s="1"/>
  <c r="CD59" i="43"/>
  <c r="CD59" i="45" s="1"/>
  <c r="CE59" i="43"/>
  <c r="CE59" i="45" s="1"/>
  <c r="CL59" i="43"/>
  <c r="CL59" i="45" s="1"/>
  <c r="BC60" i="43"/>
  <c r="BC60" i="45" s="1"/>
  <c r="BD60" i="43"/>
  <c r="BD60" i="45" s="1"/>
  <c r="BE60" i="43"/>
  <c r="BE60" i="45" s="1"/>
  <c r="BG60" i="43"/>
  <c r="BG60" i="45" s="1"/>
  <c r="BH60" i="43"/>
  <c r="BH60" i="45" s="1"/>
  <c r="BI60" i="43"/>
  <c r="BI60" i="45" s="1"/>
  <c r="BJ60" i="43"/>
  <c r="BJ60" i="45" s="1"/>
  <c r="BK60" i="43"/>
  <c r="BK60" i="45" s="1"/>
  <c r="BN60" i="43"/>
  <c r="BN60" i="45" s="1"/>
  <c r="BO60" i="43"/>
  <c r="BO60" i="45" s="1"/>
  <c r="BP60" i="43"/>
  <c r="BP60" i="45" s="1"/>
  <c r="BQ60" i="43"/>
  <c r="BQ60" i="45" s="1"/>
  <c r="BR60" i="43"/>
  <c r="BR60" i="45" s="1"/>
  <c r="BS60" i="43"/>
  <c r="BS60" i="45" s="1"/>
  <c r="BU60" i="43"/>
  <c r="BU60" i="45" s="1"/>
  <c r="BV60" i="43"/>
  <c r="BV60" i="45" s="1"/>
  <c r="BW60" i="43"/>
  <c r="BW60" i="45" s="1"/>
  <c r="CD60" i="43"/>
  <c r="CD60" i="45" s="1"/>
  <c r="CE60" i="43"/>
  <c r="CE60" i="45" s="1"/>
  <c r="CL60" i="43"/>
  <c r="CL60" i="45" s="1"/>
  <c r="BC61" i="43"/>
  <c r="BC61" i="45" s="1"/>
  <c r="BD61" i="43"/>
  <c r="BD61" i="45" s="1"/>
  <c r="BE61" i="43"/>
  <c r="BE61" i="45" s="1"/>
  <c r="BG61" i="43"/>
  <c r="BG61" i="45" s="1"/>
  <c r="BH61" i="43"/>
  <c r="BH61" i="45" s="1"/>
  <c r="BI61" i="43"/>
  <c r="BI61" i="45" s="1"/>
  <c r="BJ61" i="43"/>
  <c r="BJ61" i="45" s="1"/>
  <c r="BK61" i="43"/>
  <c r="BK61" i="45" s="1"/>
  <c r="BN61" i="43"/>
  <c r="BN61" i="45" s="1"/>
  <c r="BO61" i="43"/>
  <c r="BO61" i="45" s="1"/>
  <c r="BP61" i="43"/>
  <c r="BP61" i="45" s="1"/>
  <c r="BQ61" i="43"/>
  <c r="BQ61" i="45" s="1"/>
  <c r="BR61" i="43"/>
  <c r="BR61" i="45" s="1"/>
  <c r="BS61" i="43"/>
  <c r="BS61" i="45" s="1"/>
  <c r="BU61" i="43"/>
  <c r="BU61" i="45" s="1"/>
  <c r="BV61" i="43"/>
  <c r="BV61" i="45" s="1"/>
  <c r="BW61" i="43"/>
  <c r="BW61" i="45" s="1"/>
  <c r="CD61" i="43"/>
  <c r="CD61" i="45" s="1"/>
  <c r="CE61" i="43"/>
  <c r="CE61" i="45" s="1"/>
  <c r="CL61" i="43"/>
  <c r="CL61" i="45" s="1"/>
  <c r="BC62" i="43"/>
  <c r="BC62" i="45" s="1"/>
  <c r="BD62" i="43"/>
  <c r="BD62" i="45" s="1"/>
  <c r="BE62" i="43"/>
  <c r="BE62" i="45" s="1"/>
  <c r="BG62" i="43"/>
  <c r="BG62" i="45" s="1"/>
  <c r="BH62" i="43"/>
  <c r="BH62" i="45" s="1"/>
  <c r="BI62" i="43"/>
  <c r="BI62" i="45" s="1"/>
  <c r="BJ62" i="43"/>
  <c r="BJ62" i="45" s="1"/>
  <c r="BK62" i="43"/>
  <c r="BK62" i="45" s="1"/>
  <c r="BN62" i="43"/>
  <c r="BN62" i="45" s="1"/>
  <c r="BO62" i="43"/>
  <c r="BO62" i="45" s="1"/>
  <c r="BP62" i="43"/>
  <c r="BP62" i="45" s="1"/>
  <c r="BQ62" i="43"/>
  <c r="BQ62" i="45" s="1"/>
  <c r="BR62" i="43"/>
  <c r="BR62" i="45" s="1"/>
  <c r="BS62" i="43"/>
  <c r="BS62" i="45" s="1"/>
  <c r="BU62" i="43"/>
  <c r="BU62" i="45" s="1"/>
  <c r="BV62" i="43"/>
  <c r="BV62" i="45" s="1"/>
  <c r="BW62" i="43"/>
  <c r="BW62" i="45" s="1"/>
  <c r="CD62" i="43"/>
  <c r="CD62" i="45" s="1"/>
  <c r="CE62" i="43"/>
  <c r="CE62" i="45" s="1"/>
  <c r="CL62" i="43"/>
  <c r="CL62" i="45" s="1"/>
  <c r="BC63" i="43"/>
  <c r="BC63" i="45" s="1"/>
  <c r="BD63" i="43"/>
  <c r="BD63" i="45" s="1"/>
  <c r="BE63" i="43"/>
  <c r="BE63" i="45" s="1"/>
  <c r="BG63" i="43"/>
  <c r="BG63" i="45" s="1"/>
  <c r="BH63" i="43"/>
  <c r="BH63" i="45" s="1"/>
  <c r="BI63" i="43"/>
  <c r="BI63" i="45" s="1"/>
  <c r="BJ63" i="43"/>
  <c r="BJ63" i="45" s="1"/>
  <c r="BK63" i="43"/>
  <c r="BK63" i="45" s="1"/>
  <c r="BN63" i="43"/>
  <c r="BN63" i="45" s="1"/>
  <c r="BO63" i="43"/>
  <c r="BO63" i="45" s="1"/>
  <c r="BP63" i="43"/>
  <c r="BP63" i="45" s="1"/>
  <c r="BQ63" i="43"/>
  <c r="BQ63" i="45" s="1"/>
  <c r="BR63" i="43"/>
  <c r="BR63" i="45" s="1"/>
  <c r="BS63" i="43"/>
  <c r="BS63" i="45" s="1"/>
  <c r="BU63" i="43"/>
  <c r="BU63" i="45" s="1"/>
  <c r="BV63" i="43"/>
  <c r="BV63" i="45" s="1"/>
  <c r="BW63" i="43"/>
  <c r="BW63" i="45" s="1"/>
  <c r="CD63" i="43"/>
  <c r="CD63" i="45" s="1"/>
  <c r="CE63" i="43"/>
  <c r="CE63" i="45" s="1"/>
  <c r="CL63" i="43"/>
  <c r="CL63" i="45" s="1"/>
  <c r="BC64" i="43"/>
  <c r="BC64" i="45" s="1"/>
  <c r="BD64" i="43"/>
  <c r="BD64" i="45" s="1"/>
  <c r="BE64" i="43"/>
  <c r="BE64" i="45" s="1"/>
  <c r="BG64" i="43"/>
  <c r="BG64" i="45" s="1"/>
  <c r="BH64" i="43"/>
  <c r="BH64" i="45" s="1"/>
  <c r="BI64" i="43"/>
  <c r="BI64" i="45" s="1"/>
  <c r="BJ64" i="43"/>
  <c r="BJ64" i="45" s="1"/>
  <c r="BK64" i="43"/>
  <c r="BK64" i="45" s="1"/>
  <c r="BN64" i="43"/>
  <c r="BN64" i="45" s="1"/>
  <c r="BO64" i="43"/>
  <c r="BO64" i="45" s="1"/>
  <c r="BP64" i="43"/>
  <c r="BP64" i="45" s="1"/>
  <c r="BQ64" i="43"/>
  <c r="BQ64" i="45" s="1"/>
  <c r="BR64" i="43"/>
  <c r="BR64" i="45" s="1"/>
  <c r="BS64" i="43"/>
  <c r="BS64" i="45" s="1"/>
  <c r="BU64" i="43"/>
  <c r="BU64" i="45" s="1"/>
  <c r="BV64" i="43"/>
  <c r="BV64" i="45" s="1"/>
  <c r="BW64" i="43"/>
  <c r="BW64" i="45" s="1"/>
  <c r="CD64" i="43"/>
  <c r="CD64" i="45" s="1"/>
  <c r="CE64" i="43"/>
  <c r="CE64" i="45" s="1"/>
  <c r="CL64" i="43"/>
  <c r="CL64" i="45" s="1"/>
  <c r="BC65" i="43"/>
  <c r="BC65" i="45" s="1"/>
  <c r="BD65" i="43"/>
  <c r="BD65" i="45" s="1"/>
  <c r="BE65" i="43"/>
  <c r="BE65" i="45" s="1"/>
  <c r="BG65" i="43"/>
  <c r="BG65" i="45" s="1"/>
  <c r="BH65" i="43"/>
  <c r="BH65" i="45" s="1"/>
  <c r="BI65" i="43"/>
  <c r="BI65" i="45" s="1"/>
  <c r="BJ65" i="43"/>
  <c r="BJ65" i="45" s="1"/>
  <c r="BK65" i="43"/>
  <c r="BK65" i="45" s="1"/>
  <c r="BN65" i="43"/>
  <c r="BN65" i="45" s="1"/>
  <c r="BO65" i="43"/>
  <c r="BO65" i="45" s="1"/>
  <c r="BP65" i="43"/>
  <c r="BP65" i="45" s="1"/>
  <c r="BQ65" i="43"/>
  <c r="BQ65" i="45" s="1"/>
  <c r="BR65" i="43"/>
  <c r="BR65" i="45" s="1"/>
  <c r="BS65" i="43"/>
  <c r="BS65" i="45" s="1"/>
  <c r="BU65" i="43"/>
  <c r="BU65" i="45" s="1"/>
  <c r="BV65" i="43"/>
  <c r="BV65" i="45" s="1"/>
  <c r="BW65" i="43"/>
  <c r="BW65" i="45" s="1"/>
  <c r="CD65" i="43"/>
  <c r="CD65" i="45" s="1"/>
  <c r="CE65" i="43"/>
  <c r="CE65" i="45" s="1"/>
  <c r="CL65" i="43"/>
  <c r="CL65" i="45" s="1"/>
  <c r="BC66" i="43"/>
  <c r="BC66" i="45" s="1"/>
  <c r="BD66" i="43"/>
  <c r="BD66" i="45" s="1"/>
  <c r="BE66" i="43"/>
  <c r="BE66" i="45" s="1"/>
  <c r="BG66" i="43"/>
  <c r="BG66" i="45" s="1"/>
  <c r="BH66" i="43"/>
  <c r="BH66" i="45" s="1"/>
  <c r="BI66" i="43"/>
  <c r="BI66" i="45" s="1"/>
  <c r="BJ66" i="43"/>
  <c r="BJ66" i="45" s="1"/>
  <c r="BK66" i="43"/>
  <c r="BK66" i="45" s="1"/>
  <c r="BN66" i="43"/>
  <c r="BN66" i="45" s="1"/>
  <c r="BO66" i="43"/>
  <c r="BO66" i="45" s="1"/>
  <c r="BP66" i="43"/>
  <c r="BP66" i="45" s="1"/>
  <c r="BQ66" i="43"/>
  <c r="BQ66" i="45" s="1"/>
  <c r="BR66" i="43"/>
  <c r="BR66" i="45" s="1"/>
  <c r="BS66" i="43"/>
  <c r="BS66" i="45" s="1"/>
  <c r="BU66" i="43"/>
  <c r="BU66" i="45" s="1"/>
  <c r="BV66" i="43"/>
  <c r="BV66" i="45" s="1"/>
  <c r="BW66" i="43"/>
  <c r="BW66" i="45" s="1"/>
  <c r="CD66" i="43"/>
  <c r="CD66" i="45" s="1"/>
  <c r="CE66" i="43"/>
  <c r="CE66" i="45" s="1"/>
  <c r="CL66" i="43"/>
  <c r="CL66" i="45" s="1"/>
  <c r="BC67" i="43"/>
  <c r="BC67" i="45" s="1"/>
  <c r="BD67" i="43"/>
  <c r="BD67" i="45" s="1"/>
  <c r="BE67" i="43"/>
  <c r="BE67" i="45" s="1"/>
  <c r="BG67" i="43"/>
  <c r="BG67" i="45" s="1"/>
  <c r="BH67" i="43"/>
  <c r="BH67" i="45" s="1"/>
  <c r="BI67" i="43"/>
  <c r="BI67" i="45" s="1"/>
  <c r="BJ67" i="43"/>
  <c r="BJ67" i="45" s="1"/>
  <c r="BK67" i="43"/>
  <c r="BK67" i="45" s="1"/>
  <c r="BN67" i="43"/>
  <c r="BN67" i="45" s="1"/>
  <c r="BO67" i="43"/>
  <c r="BO67" i="45" s="1"/>
  <c r="BP67" i="43"/>
  <c r="BP67" i="45" s="1"/>
  <c r="BQ67" i="43"/>
  <c r="BQ67" i="45" s="1"/>
  <c r="BR67" i="43"/>
  <c r="BR67" i="45" s="1"/>
  <c r="BS67" i="43"/>
  <c r="BS67" i="45" s="1"/>
  <c r="BU67" i="43"/>
  <c r="BU67" i="45" s="1"/>
  <c r="BV67" i="43"/>
  <c r="BV67" i="45" s="1"/>
  <c r="BW67" i="43"/>
  <c r="BW67" i="45" s="1"/>
  <c r="CD67" i="43"/>
  <c r="CD67" i="45" s="1"/>
  <c r="CE67" i="43"/>
  <c r="CE67" i="45" s="1"/>
  <c r="CL67" i="43"/>
  <c r="CL67" i="45" s="1"/>
  <c r="BC68" i="43"/>
  <c r="BC68" i="45" s="1"/>
  <c r="BD68" i="43"/>
  <c r="BD68" i="45" s="1"/>
  <c r="BE68" i="43"/>
  <c r="BE68" i="45" s="1"/>
  <c r="BG68" i="43"/>
  <c r="BG68" i="45" s="1"/>
  <c r="BH68" i="43"/>
  <c r="BH68" i="45" s="1"/>
  <c r="BI68" i="43"/>
  <c r="BI68" i="45" s="1"/>
  <c r="BJ68" i="43"/>
  <c r="BJ68" i="45" s="1"/>
  <c r="BK68" i="43"/>
  <c r="BK68" i="45" s="1"/>
  <c r="BN68" i="43"/>
  <c r="BN68" i="45" s="1"/>
  <c r="BO68" i="43"/>
  <c r="BO68" i="45" s="1"/>
  <c r="BP68" i="43"/>
  <c r="BP68" i="45" s="1"/>
  <c r="BQ68" i="43"/>
  <c r="BQ68" i="45" s="1"/>
  <c r="BR68" i="43"/>
  <c r="BR68" i="45" s="1"/>
  <c r="BS68" i="43"/>
  <c r="BS68" i="45" s="1"/>
  <c r="BU68" i="43"/>
  <c r="BU68" i="45" s="1"/>
  <c r="BV68" i="43"/>
  <c r="BV68" i="45" s="1"/>
  <c r="BW68" i="43"/>
  <c r="BW68" i="45" s="1"/>
  <c r="CD68" i="43"/>
  <c r="CD68" i="45" s="1"/>
  <c r="CE68" i="43"/>
  <c r="CE68" i="45" s="1"/>
  <c r="CL68" i="43"/>
  <c r="CL68" i="45" s="1"/>
  <c r="BC69" i="43"/>
  <c r="BC69" i="45" s="1"/>
  <c r="BD69" i="43"/>
  <c r="BD69" i="45" s="1"/>
  <c r="BE69" i="43"/>
  <c r="BE69" i="45" s="1"/>
  <c r="BG69" i="43"/>
  <c r="BG69" i="45" s="1"/>
  <c r="BH69" i="43"/>
  <c r="BH69" i="45" s="1"/>
  <c r="BI69" i="43"/>
  <c r="BI69" i="45" s="1"/>
  <c r="BJ69" i="43"/>
  <c r="BJ69" i="45" s="1"/>
  <c r="BK69" i="43"/>
  <c r="BK69" i="45" s="1"/>
  <c r="BN69" i="43"/>
  <c r="BN69" i="45" s="1"/>
  <c r="BO69" i="43"/>
  <c r="BO69" i="45" s="1"/>
  <c r="BP69" i="43"/>
  <c r="BP69" i="45" s="1"/>
  <c r="BQ69" i="43"/>
  <c r="BQ69" i="45" s="1"/>
  <c r="BR69" i="43"/>
  <c r="BR69" i="45" s="1"/>
  <c r="BS69" i="43"/>
  <c r="BS69" i="45" s="1"/>
  <c r="BU69" i="43"/>
  <c r="BU69" i="45" s="1"/>
  <c r="BV69" i="43"/>
  <c r="BV69" i="45" s="1"/>
  <c r="BW69" i="43"/>
  <c r="BW69" i="45" s="1"/>
  <c r="CD69" i="43"/>
  <c r="CD69" i="45" s="1"/>
  <c r="CE69" i="43"/>
  <c r="CE69" i="45" s="1"/>
  <c r="CL69" i="43"/>
  <c r="CL69" i="45" s="1"/>
  <c r="BC70" i="43"/>
  <c r="BC70" i="45" s="1"/>
  <c r="BD70" i="43"/>
  <c r="BD70" i="45" s="1"/>
  <c r="BE70" i="43"/>
  <c r="BE70" i="45" s="1"/>
  <c r="BG70" i="43"/>
  <c r="BG70" i="45" s="1"/>
  <c r="BH70" i="43"/>
  <c r="BH70" i="45" s="1"/>
  <c r="BI70" i="43"/>
  <c r="BI70" i="45" s="1"/>
  <c r="BJ70" i="43"/>
  <c r="BJ70" i="45" s="1"/>
  <c r="BK70" i="43"/>
  <c r="BK70" i="45" s="1"/>
  <c r="BN70" i="43"/>
  <c r="BN70" i="45" s="1"/>
  <c r="BO70" i="43"/>
  <c r="BO70" i="45" s="1"/>
  <c r="BP70" i="43"/>
  <c r="BP70" i="45" s="1"/>
  <c r="BQ70" i="43"/>
  <c r="BQ70" i="45" s="1"/>
  <c r="BR70" i="43"/>
  <c r="BR70" i="45" s="1"/>
  <c r="BS70" i="43"/>
  <c r="BS70" i="45" s="1"/>
  <c r="BU70" i="43"/>
  <c r="BU70" i="45" s="1"/>
  <c r="BV70" i="43"/>
  <c r="BV70" i="45" s="1"/>
  <c r="BW70" i="43"/>
  <c r="BW70" i="45" s="1"/>
  <c r="CD70" i="43"/>
  <c r="CD70" i="45" s="1"/>
  <c r="CE70" i="43"/>
  <c r="CE70" i="45" s="1"/>
  <c r="CL70" i="43"/>
  <c r="CL70" i="45" s="1"/>
  <c r="BC71" i="43"/>
  <c r="BC71" i="45" s="1"/>
  <c r="BD71" i="43"/>
  <c r="BD71" i="45" s="1"/>
  <c r="BE71" i="43"/>
  <c r="BE71" i="45" s="1"/>
  <c r="BG71" i="43"/>
  <c r="BG71" i="45" s="1"/>
  <c r="BH71" i="43"/>
  <c r="BH71" i="45" s="1"/>
  <c r="BI71" i="43"/>
  <c r="BI71" i="45" s="1"/>
  <c r="BJ71" i="43"/>
  <c r="BJ71" i="45" s="1"/>
  <c r="BK71" i="43"/>
  <c r="BK71" i="45" s="1"/>
  <c r="BN71" i="43"/>
  <c r="BN71" i="45" s="1"/>
  <c r="BO71" i="43"/>
  <c r="BO71" i="45" s="1"/>
  <c r="BP71" i="43"/>
  <c r="BP71" i="45" s="1"/>
  <c r="BQ71" i="43"/>
  <c r="BQ71" i="45" s="1"/>
  <c r="BR71" i="43"/>
  <c r="BR71" i="45" s="1"/>
  <c r="BS71" i="43"/>
  <c r="BS71" i="45" s="1"/>
  <c r="BU71" i="43"/>
  <c r="BU71" i="45" s="1"/>
  <c r="BV71" i="43"/>
  <c r="BV71" i="45" s="1"/>
  <c r="BW71" i="43"/>
  <c r="BW71" i="45" s="1"/>
  <c r="CD71" i="43"/>
  <c r="CD71" i="45" s="1"/>
  <c r="CE71" i="43"/>
  <c r="CE71" i="45" s="1"/>
  <c r="CL71" i="43"/>
  <c r="CL71" i="45" s="1"/>
  <c r="CL50" i="43"/>
  <c r="CL50" i="45" s="1"/>
  <c r="BN50" i="43"/>
  <c r="BN50" i="45" s="1"/>
  <c r="BO50" i="43"/>
  <c r="BO50" i="45" s="1"/>
  <c r="BP50" i="43"/>
  <c r="BP50" i="45" s="1"/>
  <c r="BQ50" i="43"/>
  <c r="BQ50" i="45" s="1"/>
  <c r="BR50" i="43"/>
  <c r="BR50" i="45" s="1"/>
  <c r="BS50" i="43"/>
  <c r="BS50" i="45" s="1"/>
  <c r="BU50" i="43"/>
  <c r="BU50" i="45" s="1"/>
  <c r="BV50" i="43"/>
  <c r="BV50" i="45" s="1"/>
  <c r="BW50" i="43"/>
  <c r="BW50" i="45" s="1"/>
  <c r="BG50" i="43"/>
  <c r="BG50" i="45" s="1"/>
  <c r="BH50" i="43"/>
  <c r="BH50" i="45" s="1"/>
  <c r="BI50" i="43"/>
  <c r="BI50" i="45" s="1"/>
  <c r="BJ50" i="43"/>
  <c r="BJ50" i="45" s="1"/>
  <c r="BK50" i="43"/>
  <c r="BK50" i="45" s="1"/>
  <c r="BD50" i="43"/>
  <c r="BD50" i="45" s="1"/>
  <c r="BE50" i="43"/>
  <c r="BE50" i="45" s="1"/>
  <c r="BC50" i="43"/>
  <c r="BC50" i="45" s="1"/>
  <c r="CE50" i="43"/>
  <c r="CE50" i="45" s="1"/>
  <c r="CD50" i="43"/>
  <c r="CD50" i="45" s="1"/>
  <c r="J25" i="44"/>
  <c r="J26" i="44"/>
  <c r="J27" i="44"/>
  <c r="J28" i="44"/>
  <c r="J29" i="44"/>
  <c r="J30" i="44"/>
  <c r="J31" i="44"/>
  <c r="J32" i="44"/>
  <c r="J33" i="44"/>
  <c r="J34" i="44"/>
  <c r="J24" i="44"/>
  <c r="N25" i="44"/>
  <c r="N26" i="44"/>
  <c r="N27" i="44"/>
  <c r="N28" i="44"/>
  <c r="N29" i="44"/>
  <c r="N30" i="44"/>
  <c r="N31" i="44"/>
  <c r="N32" i="44"/>
  <c r="N33" i="44"/>
  <c r="N34" i="44"/>
  <c r="N24" i="44"/>
  <c r="M25" i="44"/>
  <c r="M26" i="44"/>
  <c r="M27" i="44"/>
  <c r="M28" i="44"/>
  <c r="M29" i="44"/>
  <c r="M30" i="44"/>
  <c r="M31" i="44"/>
  <c r="M32" i="44"/>
  <c r="M33" i="44"/>
  <c r="M34" i="44"/>
  <c r="M24" i="44"/>
  <c r="L26" i="44"/>
  <c r="K26" i="44"/>
  <c r="H33" i="44"/>
  <c r="H27" i="44"/>
  <c r="F18" i="43"/>
  <c r="F19" i="43" s="1"/>
  <c r="AS51" i="43"/>
  <c r="AS50" i="43"/>
  <c r="AN51" i="43"/>
  <c r="AN50" i="43"/>
  <c r="AI51" i="43"/>
  <c r="AI50" i="43"/>
  <c r="AD51" i="43"/>
  <c r="AD50" i="43"/>
  <c r="Y51" i="43"/>
  <c r="Y50" i="43"/>
  <c r="N56" i="43"/>
  <c r="N57" i="43" s="1"/>
  <c r="H25" i="44"/>
  <c r="H26" i="44"/>
  <c r="H28" i="44"/>
  <c r="H29" i="44"/>
  <c r="H30" i="44"/>
  <c r="H31" i="44"/>
  <c r="H32" i="44"/>
  <c r="H34" i="44"/>
  <c r="H35" i="47" l="1"/>
  <c r="H39" i="47"/>
  <c r="Z24" i="47"/>
  <c r="P24" i="44" s="1"/>
  <c r="P25" i="44"/>
  <c r="H30" i="47"/>
  <c r="B30" i="44"/>
  <c r="H31" i="47"/>
  <c r="B31" i="44"/>
  <c r="H28" i="47"/>
  <c r="B28" i="44"/>
  <c r="Q51" i="45"/>
  <c r="H38" i="47"/>
  <c r="H37" i="47"/>
  <c r="H34" i="47"/>
  <c r="B34" i="44"/>
  <c r="H29" i="47"/>
  <c r="B29" i="44"/>
  <c r="H32" i="47"/>
  <c r="B32" i="44"/>
  <c r="H25" i="47"/>
  <c r="H24" i="47" s="1"/>
  <c r="B25" i="44"/>
  <c r="H27" i="47"/>
  <c r="H26" i="47"/>
  <c r="B26" i="44"/>
  <c r="H33" i="47"/>
  <c r="B33" i="44"/>
  <c r="H36" i="47"/>
  <c r="AL51" i="43"/>
  <c r="AQ50" i="43"/>
  <c r="AQ51" i="45"/>
  <c r="AQ51" i="43" s="1"/>
  <c r="AP51" i="45"/>
  <c r="AP51" i="43" s="1"/>
  <c r="AK51" i="43"/>
  <c r="AP50" i="45"/>
  <c r="AP50" i="43" s="1"/>
  <c r="AK50" i="43"/>
  <c r="L56" i="45"/>
  <c r="L57" i="45"/>
  <c r="K24" i="44"/>
  <c r="L24" i="44"/>
  <c r="L33" i="44"/>
  <c r="L31" i="44"/>
  <c r="L29" i="44"/>
  <c r="L27" i="44"/>
  <c r="L25" i="44"/>
  <c r="K33" i="44"/>
  <c r="K31" i="44"/>
  <c r="K29" i="44"/>
  <c r="K27" i="44"/>
  <c r="K25" i="44"/>
  <c r="L34" i="44"/>
  <c r="L32" i="44"/>
  <c r="L30" i="44"/>
  <c r="L28" i="44"/>
  <c r="K34" i="44"/>
  <c r="K32" i="44"/>
  <c r="K30" i="44"/>
  <c r="K28" i="44"/>
  <c r="N52" i="43"/>
  <c r="F20" i="43" l="1"/>
  <c r="B35" i="40"/>
  <c r="B34" i="40"/>
  <c r="B37" i="40"/>
  <c r="B36" i="40"/>
  <c r="F32" i="43"/>
  <c r="F31" i="43"/>
  <c r="N53" i="43" l="1"/>
  <c r="H79" i="43" l="1"/>
  <c r="J60" i="43" l="1"/>
  <c r="J53" i="43"/>
  <c r="J54" i="43"/>
  <c r="J55" i="43"/>
  <c r="J56" i="43"/>
  <c r="J58" i="43"/>
  <c r="J59" i="43"/>
  <c r="BD45" i="38"/>
  <c r="BD46" i="38"/>
  <c r="BD47" i="38"/>
  <c r="BD48" i="38"/>
  <c r="BD49" i="38"/>
  <c r="BD50" i="38"/>
  <c r="BD51" i="38"/>
  <c r="BD52" i="38"/>
  <c r="BD53" i="38"/>
  <c r="BD54" i="38"/>
  <c r="BD55" i="38"/>
  <c r="BD56" i="38"/>
  <c r="BD57" i="38"/>
  <c r="BD58" i="38"/>
  <c r="BD59" i="38"/>
  <c r="BD60" i="38"/>
  <c r="BD61" i="38"/>
  <c r="BD62" i="38"/>
  <c r="BD63" i="38"/>
  <c r="BD64" i="38"/>
  <c r="BD65" i="38"/>
  <c r="BD66" i="38"/>
  <c r="BD67" i="38"/>
  <c r="BD68" i="38"/>
  <c r="BD69" i="38"/>
  <c r="BD70" i="38"/>
  <c r="BD71" i="38"/>
  <c r="BD72" i="38"/>
  <c r="BD73" i="38"/>
  <c r="BD74" i="38"/>
  <c r="BD75" i="38"/>
  <c r="BD76" i="38"/>
  <c r="BD77" i="38"/>
  <c r="BD78" i="38"/>
  <c r="BD79" i="38"/>
  <c r="BD80" i="38"/>
  <c r="BD81" i="38"/>
  <c r="BD82" i="38"/>
  <c r="BD83" i="38"/>
  <c r="BD84" i="38"/>
  <c r="BD85" i="38"/>
  <c r="BD86" i="38"/>
  <c r="BD87" i="38"/>
  <c r="BD88" i="38"/>
  <c r="BD89" i="38"/>
  <c r="BD90" i="38"/>
  <c r="BD91" i="38"/>
  <c r="BD92" i="38"/>
  <c r="BD93" i="38"/>
  <c r="BD94" i="38"/>
  <c r="BD95" i="38"/>
  <c r="BD96" i="38"/>
  <c r="BD97" i="38"/>
  <c r="BD98" i="38"/>
  <c r="BD99" i="38"/>
  <c r="BD100" i="38"/>
  <c r="BD101" i="38"/>
  <c r="BD102" i="38"/>
  <c r="BD103" i="38"/>
  <c r="BD104" i="38"/>
  <c r="BD105" i="38"/>
  <c r="BD106" i="38"/>
  <c r="BD107" i="38"/>
  <c r="BD108" i="38"/>
  <c r="BD109" i="38"/>
  <c r="BD110" i="38"/>
  <c r="BD111" i="38"/>
  <c r="BD112" i="38"/>
  <c r="BD113" i="38"/>
  <c r="BD114" i="38"/>
  <c r="BD115" i="38"/>
  <c r="BD116" i="38"/>
  <c r="BD117" i="38"/>
  <c r="BD118" i="38"/>
  <c r="BD119" i="38"/>
  <c r="BD120" i="38"/>
  <c r="BD121" i="38"/>
  <c r="BD122" i="38"/>
  <c r="BD123" i="38"/>
  <c r="BD124" i="38"/>
  <c r="BD125" i="38"/>
  <c r="BD126" i="38"/>
  <c r="BD127" i="38"/>
  <c r="BD128" i="38"/>
  <c r="BD129" i="38"/>
  <c r="BD130" i="38"/>
  <c r="BD131" i="38"/>
  <c r="BD132" i="38"/>
  <c r="BD133" i="38"/>
  <c r="BD134" i="38"/>
  <c r="BD135" i="38"/>
  <c r="BD136" i="38"/>
  <c r="BD137" i="38"/>
  <c r="BD138" i="38"/>
  <c r="BD139" i="38"/>
  <c r="BD140" i="38"/>
  <c r="BD141" i="38"/>
  <c r="BD142" i="38"/>
  <c r="BD143" i="38"/>
  <c r="BD144" i="38"/>
  <c r="BD44" i="38"/>
  <c r="J63" i="43" l="1"/>
  <c r="J62" i="43"/>
  <c r="L57" i="43"/>
  <c r="J57" i="43"/>
  <c r="J61" i="43"/>
  <c r="AE56" i="40"/>
  <c r="AD45" i="40"/>
  <c r="AJ46" i="40"/>
  <c r="AK46" i="40"/>
  <c r="AJ47" i="40"/>
  <c r="AK47" i="40"/>
  <c r="AJ48" i="40"/>
  <c r="AK48" i="40"/>
  <c r="AJ49" i="40"/>
  <c r="AK49" i="40"/>
  <c r="AJ50" i="40"/>
  <c r="AK50" i="40"/>
  <c r="AJ51" i="40"/>
  <c r="AK51" i="40"/>
  <c r="AJ52" i="40"/>
  <c r="AK52" i="40"/>
  <c r="AJ53" i="40"/>
  <c r="AK53" i="40"/>
  <c r="AJ54" i="40"/>
  <c r="AK54" i="40"/>
  <c r="AJ55" i="40"/>
  <c r="AK55" i="40"/>
  <c r="AJ56" i="40"/>
  <c r="AK56" i="40"/>
  <c r="AJ57" i="40"/>
  <c r="AK57" i="40"/>
  <c r="AJ58" i="40"/>
  <c r="AK58" i="40"/>
  <c r="AJ59" i="40"/>
  <c r="AK59" i="40"/>
  <c r="AJ60" i="40"/>
  <c r="AK60" i="40"/>
  <c r="AJ61" i="40"/>
  <c r="AK61" i="40"/>
  <c r="AJ62" i="40"/>
  <c r="AK62" i="40"/>
  <c r="AJ63" i="40"/>
  <c r="AK63" i="40"/>
  <c r="AJ64" i="40"/>
  <c r="AK64" i="40"/>
  <c r="AJ65" i="40"/>
  <c r="AK65" i="40"/>
  <c r="AJ66" i="40"/>
  <c r="AK66" i="40"/>
  <c r="AJ67" i="40"/>
  <c r="AK67" i="40"/>
  <c r="AJ68" i="40"/>
  <c r="AK68" i="40"/>
  <c r="AJ69" i="40"/>
  <c r="AK69" i="40"/>
  <c r="AJ70" i="40"/>
  <c r="AK70" i="40"/>
  <c r="AJ71" i="40"/>
  <c r="AK71" i="40"/>
  <c r="AJ72" i="40"/>
  <c r="AK72" i="40"/>
  <c r="AJ73" i="40"/>
  <c r="AK73" i="40"/>
  <c r="AJ74" i="40"/>
  <c r="AK74" i="40"/>
  <c r="AJ75" i="40"/>
  <c r="AK75" i="40"/>
  <c r="AJ76" i="40"/>
  <c r="AK76" i="40"/>
  <c r="AJ77" i="40"/>
  <c r="AK77" i="40"/>
  <c r="AJ78" i="40"/>
  <c r="AK78" i="40"/>
  <c r="AJ79" i="40"/>
  <c r="AK79" i="40"/>
  <c r="AJ80" i="40"/>
  <c r="AK80" i="40"/>
  <c r="AJ81" i="40"/>
  <c r="AK81" i="40"/>
  <c r="AJ82" i="40"/>
  <c r="AK82" i="40"/>
  <c r="AJ83" i="40"/>
  <c r="AK83" i="40"/>
  <c r="AJ84" i="40"/>
  <c r="AK84" i="40"/>
  <c r="AJ85" i="40"/>
  <c r="AK85" i="40"/>
  <c r="AJ86" i="40"/>
  <c r="AK86" i="40"/>
  <c r="AJ87" i="40"/>
  <c r="AK87" i="40"/>
  <c r="AJ88" i="40"/>
  <c r="AK88" i="40"/>
  <c r="AJ89" i="40"/>
  <c r="AK89" i="40"/>
  <c r="AJ90" i="40"/>
  <c r="AK90" i="40"/>
  <c r="AJ91" i="40"/>
  <c r="AK91" i="40"/>
  <c r="AJ92" i="40"/>
  <c r="AK92" i="40"/>
  <c r="AJ93" i="40"/>
  <c r="AK93" i="40"/>
  <c r="AJ94" i="40"/>
  <c r="AK94" i="40"/>
  <c r="AJ95" i="40"/>
  <c r="AK95" i="40"/>
  <c r="AJ96" i="40"/>
  <c r="AK96" i="40"/>
  <c r="AJ97" i="40"/>
  <c r="AK97" i="40"/>
  <c r="AJ98" i="40"/>
  <c r="AK98" i="40"/>
  <c r="AJ99" i="40"/>
  <c r="AK99" i="40"/>
  <c r="AJ100" i="40"/>
  <c r="AK100" i="40"/>
  <c r="AJ101" i="40"/>
  <c r="AK101" i="40"/>
  <c r="AJ102" i="40"/>
  <c r="AK102" i="40"/>
  <c r="AJ103" i="40"/>
  <c r="AK103" i="40"/>
  <c r="AJ104" i="40"/>
  <c r="AK104" i="40"/>
  <c r="AJ105" i="40"/>
  <c r="AK105" i="40"/>
  <c r="AJ106" i="40"/>
  <c r="AK106" i="40"/>
  <c r="AJ107" i="40"/>
  <c r="AK107" i="40"/>
  <c r="AJ108" i="40"/>
  <c r="AK108" i="40"/>
  <c r="AJ109" i="40"/>
  <c r="AK109" i="40"/>
  <c r="AJ110" i="40"/>
  <c r="AK110" i="40"/>
  <c r="AJ111" i="40"/>
  <c r="AK111" i="40"/>
  <c r="AJ112" i="40"/>
  <c r="AK112" i="40"/>
  <c r="AJ113" i="40"/>
  <c r="AK113" i="40"/>
  <c r="AJ114" i="40"/>
  <c r="AK114" i="40"/>
  <c r="AJ115" i="40"/>
  <c r="AK115" i="40"/>
  <c r="AJ116" i="40"/>
  <c r="AK116" i="40"/>
  <c r="AJ117" i="40"/>
  <c r="AK117" i="40"/>
  <c r="AJ118" i="40"/>
  <c r="AK118" i="40"/>
  <c r="AJ119" i="40"/>
  <c r="AK119" i="40"/>
  <c r="AJ120" i="40"/>
  <c r="AK120" i="40"/>
  <c r="AJ121" i="40"/>
  <c r="AK121" i="40"/>
  <c r="AJ122" i="40"/>
  <c r="AK122" i="40"/>
  <c r="AJ123" i="40"/>
  <c r="AK123" i="40"/>
  <c r="AJ124" i="40"/>
  <c r="AK124" i="40"/>
  <c r="AJ125" i="40"/>
  <c r="AK125" i="40"/>
  <c r="AJ126" i="40"/>
  <c r="AK126" i="40"/>
  <c r="AJ127" i="40"/>
  <c r="AK127" i="40"/>
  <c r="AJ128" i="40"/>
  <c r="AK128" i="40"/>
  <c r="AJ129" i="40"/>
  <c r="AK129" i="40"/>
  <c r="AJ130" i="40"/>
  <c r="AK130" i="40"/>
  <c r="AJ131" i="40"/>
  <c r="AK131" i="40"/>
  <c r="AJ132" i="40"/>
  <c r="AK132" i="40"/>
  <c r="AJ133" i="40"/>
  <c r="AK133" i="40"/>
  <c r="AJ134" i="40"/>
  <c r="AK134" i="40"/>
  <c r="AJ135" i="40"/>
  <c r="AK135" i="40"/>
  <c r="AJ136" i="40"/>
  <c r="AK136" i="40"/>
  <c r="AJ137" i="40"/>
  <c r="AK137" i="40"/>
  <c r="AJ138" i="40"/>
  <c r="AK138" i="40"/>
  <c r="AJ139" i="40"/>
  <c r="AK139" i="40"/>
  <c r="AJ140" i="40"/>
  <c r="AK140" i="40"/>
  <c r="AJ141" i="40"/>
  <c r="AK141" i="40"/>
  <c r="AJ142" i="40"/>
  <c r="AK142" i="40"/>
  <c r="AJ143" i="40"/>
  <c r="AK143" i="40"/>
  <c r="AJ144" i="40"/>
  <c r="AK144" i="40"/>
  <c r="AJ145" i="40"/>
  <c r="AK145" i="40"/>
  <c r="AK45" i="40"/>
  <c r="AJ45" i="40"/>
  <c r="AE73" i="40"/>
  <c r="AE75" i="40"/>
  <c r="AE115" i="40"/>
  <c r="AE117" i="40"/>
  <c r="AD138" i="40"/>
  <c r="AE45" i="40"/>
  <c r="T45" i="15"/>
  <c r="B13" i="40"/>
  <c r="B12" i="40"/>
  <c r="CJ53" i="43"/>
  <c r="CJ53" i="45" s="1"/>
  <c r="CJ58" i="43"/>
  <c r="CJ58" i="45" s="1"/>
  <c r="CJ71" i="43"/>
  <c r="CJ71" i="45" s="1"/>
  <c r="CK51" i="43"/>
  <c r="CK51" i="45" s="1"/>
  <c r="AI46" i="40"/>
  <c r="AI47" i="40"/>
  <c r="AI48" i="40"/>
  <c r="AI49" i="40"/>
  <c r="CC51" i="43" s="1"/>
  <c r="CC51" i="45" s="1"/>
  <c r="AI50" i="40"/>
  <c r="AI51" i="40"/>
  <c r="AI52" i="40"/>
  <c r="AI53" i="40"/>
  <c r="AI54" i="40"/>
  <c r="CC52" i="43" s="1"/>
  <c r="CC52" i="45" s="1"/>
  <c r="AI55" i="40"/>
  <c r="AI56" i="40"/>
  <c r="AI57" i="40"/>
  <c r="AI58" i="40"/>
  <c r="AI59" i="40"/>
  <c r="CC53" i="43" s="1"/>
  <c r="CC53" i="45" s="1"/>
  <c r="AI60" i="40"/>
  <c r="AI61" i="40"/>
  <c r="AI62" i="40"/>
  <c r="AI63" i="40"/>
  <c r="AI64" i="40"/>
  <c r="CC54" i="43" s="1"/>
  <c r="CC54" i="45" s="1"/>
  <c r="AI65" i="40"/>
  <c r="AI66" i="40"/>
  <c r="AI67" i="40"/>
  <c r="AI68" i="40"/>
  <c r="CC55" i="43" s="1"/>
  <c r="CC55" i="45" s="1"/>
  <c r="AI69" i="40"/>
  <c r="AI70" i="40"/>
  <c r="AI71" i="40"/>
  <c r="AI72" i="40"/>
  <c r="AI73" i="40"/>
  <c r="CC56" i="43" s="1"/>
  <c r="CC56" i="45" s="1"/>
  <c r="AI74" i="40"/>
  <c r="AI75" i="40"/>
  <c r="AI76" i="40"/>
  <c r="AI77" i="40"/>
  <c r="AI78" i="40"/>
  <c r="CC57" i="43" s="1"/>
  <c r="CC57" i="45" s="1"/>
  <c r="AI79" i="40"/>
  <c r="AI80" i="40"/>
  <c r="AI81" i="40"/>
  <c r="AI82" i="40"/>
  <c r="AI83" i="40"/>
  <c r="CC58" i="43" s="1"/>
  <c r="CC58" i="45" s="1"/>
  <c r="AI84" i="40"/>
  <c r="AI85" i="40"/>
  <c r="AI86" i="40"/>
  <c r="AI87" i="40"/>
  <c r="CC59" i="43" s="1"/>
  <c r="CC59" i="45" s="1"/>
  <c r="AI88" i="40"/>
  <c r="AI89" i="40"/>
  <c r="AI90" i="40"/>
  <c r="AI91" i="40"/>
  <c r="AI92" i="40"/>
  <c r="CC60" i="43" s="1"/>
  <c r="CC60" i="45" s="1"/>
  <c r="AI93" i="40"/>
  <c r="AI94" i="40"/>
  <c r="AI95" i="40"/>
  <c r="AI96" i="40"/>
  <c r="AI97" i="40"/>
  <c r="CC61" i="43" s="1"/>
  <c r="CC61" i="45" s="1"/>
  <c r="AI98" i="40"/>
  <c r="AI99" i="40"/>
  <c r="AI100" i="40"/>
  <c r="AI101" i="40"/>
  <c r="AI102" i="40"/>
  <c r="CC62" i="43" s="1"/>
  <c r="CC62" i="45" s="1"/>
  <c r="AI103" i="40"/>
  <c r="AI104" i="40"/>
  <c r="AI105" i="40"/>
  <c r="AI106" i="40"/>
  <c r="CC63" i="43" s="1"/>
  <c r="CC63" i="45" s="1"/>
  <c r="AI107" i="40"/>
  <c r="AI108" i="40"/>
  <c r="AI109" i="40"/>
  <c r="AI110" i="40"/>
  <c r="AI111" i="40"/>
  <c r="CC64" i="43" s="1"/>
  <c r="CC64" i="45" s="1"/>
  <c r="AI112" i="40"/>
  <c r="AI113" i="40"/>
  <c r="AI114" i="40"/>
  <c r="AI115" i="40"/>
  <c r="AI116" i="40"/>
  <c r="CC65" i="43" s="1"/>
  <c r="CC65" i="45" s="1"/>
  <c r="AI117" i="40"/>
  <c r="AI118" i="40"/>
  <c r="AI119" i="40"/>
  <c r="AI120" i="40"/>
  <c r="AI121" i="40"/>
  <c r="CC66" i="43" s="1"/>
  <c r="CC66" i="45" s="1"/>
  <c r="AI122" i="40"/>
  <c r="AI123" i="40"/>
  <c r="AI124" i="40"/>
  <c r="AI125" i="40"/>
  <c r="CC67" i="43" s="1"/>
  <c r="CC67" i="45" s="1"/>
  <c r="AI126" i="40"/>
  <c r="AI127" i="40"/>
  <c r="AI128" i="40"/>
  <c r="AI129" i="40"/>
  <c r="AI130" i="40"/>
  <c r="CC68" i="43" s="1"/>
  <c r="CC68" i="45" s="1"/>
  <c r="AI131" i="40"/>
  <c r="AI132" i="40"/>
  <c r="AI133" i="40"/>
  <c r="AI134" i="40"/>
  <c r="AI135" i="40"/>
  <c r="CC69" i="43" s="1"/>
  <c r="CC69" i="45" s="1"/>
  <c r="AI136" i="40"/>
  <c r="AI137" i="40"/>
  <c r="AI138" i="40"/>
  <c r="AI139" i="40"/>
  <c r="AI140" i="40"/>
  <c r="CC70" i="43" s="1"/>
  <c r="CC70" i="45" s="1"/>
  <c r="AI141" i="40"/>
  <c r="AI142" i="40"/>
  <c r="AI143" i="40"/>
  <c r="AI144" i="40"/>
  <c r="AI145" i="40"/>
  <c r="CC71" i="43" s="1"/>
  <c r="CC71" i="45" s="1"/>
  <c r="AI45" i="40"/>
  <c r="CC50" i="43" s="1"/>
  <c r="CC50" i="45" s="1"/>
  <c r="Z43" i="38"/>
  <c r="C9" i="40"/>
  <c r="A46" i="40"/>
  <c r="A47" i="40"/>
  <c r="A48" i="40"/>
  <c r="A49" i="40"/>
  <c r="A50" i="40"/>
  <c r="A51" i="40"/>
  <c r="A52" i="40"/>
  <c r="F52" i="40" s="1"/>
  <c r="A53" i="40"/>
  <c r="F53" i="40" s="1"/>
  <c r="A54" i="40"/>
  <c r="A55" i="40"/>
  <c r="A56" i="40"/>
  <c r="A57" i="40"/>
  <c r="A58" i="40"/>
  <c r="A59" i="40"/>
  <c r="A60" i="40"/>
  <c r="A61" i="40"/>
  <c r="F61" i="40" s="1"/>
  <c r="A62" i="40"/>
  <c r="A63" i="40"/>
  <c r="A64" i="40"/>
  <c r="A65" i="40"/>
  <c r="A66" i="40"/>
  <c r="A67" i="40"/>
  <c r="A68" i="40"/>
  <c r="F68" i="40" s="1"/>
  <c r="AZ55" i="43" s="1"/>
  <c r="AZ55" i="45" s="1"/>
  <c r="A69" i="40"/>
  <c r="F69" i="40" s="1"/>
  <c r="A70" i="40"/>
  <c r="A71" i="40"/>
  <c r="A72" i="40"/>
  <c r="A73" i="40"/>
  <c r="A74" i="40"/>
  <c r="A75" i="40"/>
  <c r="A76" i="40"/>
  <c r="A77" i="40"/>
  <c r="F77" i="40" s="1"/>
  <c r="A78" i="40"/>
  <c r="A79" i="40"/>
  <c r="A80" i="40"/>
  <c r="A81" i="40"/>
  <c r="A82" i="40"/>
  <c r="A83" i="40"/>
  <c r="A84" i="40"/>
  <c r="F84" i="40" s="1"/>
  <c r="A85" i="40"/>
  <c r="A86" i="40"/>
  <c r="A87" i="40"/>
  <c r="A88" i="40"/>
  <c r="A89" i="40"/>
  <c r="A90" i="40"/>
  <c r="A91" i="40"/>
  <c r="A92" i="40"/>
  <c r="A93" i="40"/>
  <c r="F93" i="40" s="1"/>
  <c r="A94" i="40"/>
  <c r="A95" i="40"/>
  <c r="A96" i="40"/>
  <c r="A97" i="40"/>
  <c r="A98" i="40"/>
  <c r="A99" i="40"/>
  <c r="A100" i="40"/>
  <c r="A101" i="40"/>
  <c r="F101" i="40" s="1"/>
  <c r="A102" i="40"/>
  <c r="A103" i="40"/>
  <c r="A104" i="40"/>
  <c r="A105" i="40"/>
  <c r="A106" i="40"/>
  <c r="A107" i="40"/>
  <c r="A108" i="40"/>
  <c r="A109" i="40"/>
  <c r="F109" i="40" s="1"/>
  <c r="A110" i="40"/>
  <c r="A111" i="40"/>
  <c r="A112" i="40"/>
  <c r="A113" i="40"/>
  <c r="A114" i="40"/>
  <c r="A115" i="40"/>
  <c r="A116" i="40"/>
  <c r="F116" i="40" s="1"/>
  <c r="AZ65" i="43" s="1"/>
  <c r="AZ65" i="45" s="1"/>
  <c r="A117" i="40"/>
  <c r="A118" i="40"/>
  <c r="A119" i="40"/>
  <c r="A120" i="40"/>
  <c r="A121" i="40"/>
  <c r="A122" i="40"/>
  <c r="A123" i="40"/>
  <c r="A124" i="40"/>
  <c r="A125" i="40"/>
  <c r="A126" i="40"/>
  <c r="A127" i="40"/>
  <c r="A128" i="40"/>
  <c r="A129" i="40"/>
  <c r="A130" i="40"/>
  <c r="A131" i="40"/>
  <c r="A132" i="40"/>
  <c r="F132" i="40" s="1"/>
  <c r="A133" i="40"/>
  <c r="A134" i="40"/>
  <c r="A135" i="40"/>
  <c r="A136" i="40"/>
  <c r="A137" i="40"/>
  <c r="A138" i="40"/>
  <c r="A139" i="40"/>
  <c r="A140" i="40"/>
  <c r="A141" i="40"/>
  <c r="A142" i="40"/>
  <c r="A143" i="40"/>
  <c r="A144" i="40"/>
  <c r="A145" i="40"/>
  <c r="A45" i="40"/>
  <c r="F45" i="40" s="1"/>
  <c r="AZ50" i="43" s="1"/>
  <c r="AZ50" i="45" s="1"/>
  <c r="S43" i="38"/>
  <c r="T43" i="38"/>
  <c r="R43" i="38"/>
  <c r="AB43" i="38"/>
  <c r="A21" i="38"/>
  <c r="A21" i="14"/>
  <c r="B144" i="38"/>
  <c r="L144" i="38" s="1"/>
  <c r="B143" i="38"/>
  <c r="L143" i="38" s="1"/>
  <c r="B142" i="38"/>
  <c r="L142" i="38" s="1"/>
  <c r="B141" i="38"/>
  <c r="B140" i="38"/>
  <c r="L140" i="38" s="1"/>
  <c r="B139" i="38"/>
  <c r="B138" i="38"/>
  <c r="B137" i="38"/>
  <c r="L137" i="38" s="1"/>
  <c r="B136" i="38"/>
  <c r="L136" i="38" s="1"/>
  <c r="B135" i="38"/>
  <c r="L135" i="38" s="1"/>
  <c r="B134" i="38"/>
  <c r="L134" i="38" s="1"/>
  <c r="B133" i="38"/>
  <c r="L133" i="38" s="1"/>
  <c r="B132" i="38"/>
  <c r="L132" i="38" s="1"/>
  <c r="B131" i="38"/>
  <c r="L131" i="38" s="1"/>
  <c r="B130" i="38"/>
  <c r="B129" i="38"/>
  <c r="L129" i="38" s="1"/>
  <c r="B128" i="38"/>
  <c r="B127" i="38"/>
  <c r="B126" i="38"/>
  <c r="L126" i="38" s="1"/>
  <c r="B125" i="38"/>
  <c r="L125" i="38" s="1"/>
  <c r="B124" i="38"/>
  <c r="L124" i="38" s="1"/>
  <c r="B123" i="38"/>
  <c r="B122" i="38"/>
  <c r="B121" i="38"/>
  <c r="L121" i="38" s="1"/>
  <c r="B120" i="38"/>
  <c r="B119" i="38"/>
  <c r="B118" i="38"/>
  <c r="L118" i="38" s="1"/>
  <c r="B117" i="38"/>
  <c r="B116" i="38"/>
  <c r="B115" i="38"/>
  <c r="L115" i="38" s="1"/>
  <c r="B114" i="38"/>
  <c r="B113" i="38"/>
  <c r="L113" i="38" s="1"/>
  <c r="B112" i="38"/>
  <c r="L112" i="38" s="1"/>
  <c r="B111" i="38"/>
  <c r="B110" i="38"/>
  <c r="L110" i="38" s="1"/>
  <c r="B109" i="38"/>
  <c r="B108" i="38"/>
  <c r="L108" i="38" s="1"/>
  <c r="B107" i="38"/>
  <c r="B106" i="38"/>
  <c r="B105" i="38"/>
  <c r="L105" i="38" s="1"/>
  <c r="B104" i="38"/>
  <c r="L104" i="38" s="1"/>
  <c r="B103" i="38"/>
  <c r="B102" i="38"/>
  <c r="B101" i="38"/>
  <c r="L101" i="38" s="1"/>
  <c r="B100" i="38"/>
  <c r="B99" i="38"/>
  <c r="B98" i="38"/>
  <c r="L98" i="38" s="1"/>
  <c r="B97" i="38"/>
  <c r="B96" i="38"/>
  <c r="B95" i="38"/>
  <c r="B94" i="38"/>
  <c r="B93" i="38"/>
  <c r="B92" i="38"/>
  <c r="B91" i="38"/>
  <c r="L91" i="38" s="1"/>
  <c r="B90" i="38"/>
  <c r="B89" i="38"/>
  <c r="L89" i="38" s="1"/>
  <c r="B88" i="38"/>
  <c r="L88" i="38" s="1"/>
  <c r="B87" i="38"/>
  <c r="L87" i="38" s="1"/>
  <c r="B86" i="38"/>
  <c r="L86" i="38" s="1"/>
  <c r="B85" i="38"/>
  <c r="L85" i="38" s="1"/>
  <c r="B84" i="38"/>
  <c r="L84" i="38" s="1"/>
  <c r="B83" i="38"/>
  <c r="B82" i="38"/>
  <c r="B81" i="38"/>
  <c r="B80" i="38"/>
  <c r="L80" i="38" s="1"/>
  <c r="B79" i="38"/>
  <c r="L79" i="38" s="1"/>
  <c r="B78" i="38"/>
  <c r="L78" i="38" s="1"/>
  <c r="B77" i="38"/>
  <c r="L77" i="38" s="1"/>
  <c r="B76" i="38"/>
  <c r="L76" i="38" s="1"/>
  <c r="B75" i="38"/>
  <c r="L75" i="38" s="1"/>
  <c r="B74" i="38"/>
  <c r="L74" i="38" s="1"/>
  <c r="B73" i="38"/>
  <c r="L73" i="38" s="1"/>
  <c r="B72" i="38"/>
  <c r="B71" i="38"/>
  <c r="L71" i="38" s="1"/>
  <c r="B70" i="38"/>
  <c r="L70" i="38" s="1"/>
  <c r="B69" i="38"/>
  <c r="B68" i="38"/>
  <c r="B67" i="38"/>
  <c r="L67" i="38" s="1"/>
  <c r="B66" i="38"/>
  <c r="L66" i="38" s="1"/>
  <c r="B65" i="38"/>
  <c r="L65" i="38" s="1"/>
  <c r="B64" i="38"/>
  <c r="B63" i="38"/>
  <c r="L63" i="38" s="1"/>
  <c r="B62" i="38"/>
  <c r="L62" i="38" s="1"/>
  <c r="B61" i="38"/>
  <c r="L61" i="38" s="1"/>
  <c r="B60" i="38"/>
  <c r="B59" i="38"/>
  <c r="L59" i="38" s="1"/>
  <c r="B58" i="38"/>
  <c r="L58" i="38" s="1"/>
  <c r="B57" i="38"/>
  <c r="L57" i="38" s="1"/>
  <c r="B56" i="38"/>
  <c r="B55" i="38"/>
  <c r="B54" i="38"/>
  <c r="L54" i="38" s="1"/>
  <c r="B53" i="38"/>
  <c r="L53" i="38" s="1"/>
  <c r="B52" i="38"/>
  <c r="B51" i="38"/>
  <c r="L51" i="38" s="1"/>
  <c r="B50" i="38"/>
  <c r="L50" i="38" s="1"/>
  <c r="B49" i="38"/>
  <c r="B48" i="38"/>
  <c r="L48" i="38" s="1"/>
  <c r="B47" i="38"/>
  <c r="L47" i="38" s="1"/>
  <c r="B46" i="38"/>
  <c r="L46" i="38" s="1"/>
  <c r="B45" i="38"/>
  <c r="O44" i="38"/>
  <c r="N44" i="38"/>
  <c r="B44" i="38"/>
  <c r="L44" i="38" s="1"/>
  <c r="AL43" i="38"/>
  <c r="AK43" i="38"/>
  <c r="AJ43" i="38"/>
  <c r="AI43" i="38"/>
  <c r="AH43" i="38"/>
  <c r="AG43" i="38"/>
  <c r="AF43" i="38"/>
  <c r="AE43" i="38"/>
  <c r="AD43" i="38"/>
  <c r="AC43" i="38"/>
  <c r="AA43" i="38"/>
  <c r="Y43" i="38"/>
  <c r="X43" i="38"/>
  <c r="W43" i="38"/>
  <c r="V43" i="38"/>
  <c r="U43" i="38"/>
  <c r="E38" i="38"/>
  <c r="E37" i="38"/>
  <c r="E34" i="38"/>
  <c r="D34" i="38"/>
  <c r="C34" i="38"/>
  <c r="B34" i="38"/>
  <c r="E33" i="38"/>
  <c r="D33" i="38"/>
  <c r="C33" i="38"/>
  <c r="B33" i="38"/>
  <c r="A33" i="38"/>
  <c r="E32" i="38"/>
  <c r="D32" i="38"/>
  <c r="C32" i="38"/>
  <c r="B32" i="38"/>
  <c r="E31" i="38"/>
  <c r="D31" i="38"/>
  <c r="C31" i="38"/>
  <c r="B31" i="38"/>
  <c r="E30" i="38"/>
  <c r="D30" i="38"/>
  <c r="C30" i="38"/>
  <c r="B30" i="38"/>
  <c r="A30" i="38"/>
  <c r="E29" i="38"/>
  <c r="D29" i="38"/>
  <c r="C29" i="38"/>
  <c r="B29" i="38"/>
  <c r="E28" i="38"/>
  <c r="D28" i="38"/>
  <c r="C28" i="38"/>
  <c r="B28" i="38"/>
  <c r="E27" i="38"/>
  <c r="D27" i="38"/>
  <c r="C27" i="38"/>
  <c r="B27" i="38"/>
  <c r="E26" i="38"/>
  <c r="D26" i="38"/>
  <c r="C26" i="38"/>
  <c r="B26" i="38"/>
  <c r="E25" i="38"/>
  <c r="D25" i="38"/>
  <c r="C25" i="38"/>
  <c r="B25" i="38"/>
  <c r="A25" i="38"/>
  <c r="E24" i="38"/>
  <c r="D24" i="38"/>
  <c r="C24" i="38"/>
  <c r="B24" i="38"/>
  <c r="E23" i="38"/>
  <c r="D23" i="38"/>
  <c r="C23" i="38"/>
  <c r="B23" i="38"/>
  <c r="A23" i="38"/>
  <c r="E22" i="38"/>
  <c r="D22" i="38"/>
  <c r="C22" i="38"/>
  <c r="B22" i="38"/>
  <c r="E21" i="38"/>
  <c r="D21" i="38"/>
  <c r="C21" i="38"/>
  <c r="B21" i="38"/>
  <c r="E20" i="38"/>
  <c r="D20" i="38"/>
  <c r="C20" i="38"/>
  <c r="B20" i="38"/>
  <c r="E19" i="38"/>
  <c r="D19" i="38"/>
  <c r="C19" i="38"/>
  <c r="B19" i="38"/>
  <c r="A19" i="38"/>
  <c r="E18" i="38"/>
  <c r="D18" i="38"/>
  <c r="C18" i="38"/>
  <c r="B18" i="38"/>
  <c r="E17" i="38"/>
  <c r="D17" i="38"/>
  <c r="C17" i="38"/>
  <c r="B17" i="38"/>
  <c r="A17" i="38"/>
  <c r="E16" i="38"/>
  <c r="D16" i="38"/>
  <c r="C16" i="38"/>
  <c r="B16" i="38"/>
  <c r="E15" i="38"/>
  <c r="D15" i="38"/>
  <c r="C15" i="38"/>
  <c r="B15" i="38"/>
  <c r="E14" i="38"/>
  <c r="D14" i="38"/>
  <c r="C14" i="38"/>
  <c r="B14" i="38"/>
  <c r="E13" i="38"/>
  <c r="D13" i="38"/>
  <c r="C13" i="38"/>
  <c r="B13" i="38"/>
  <c r="A12" i="38"/>
  <c r="D11" i="38"/>
  <c r="C11" i="38"/>
  <c r="B11" i="38"/>
  <c r="E42" i="14"/>
  <c r="P40" i="1"/>
  <c r="J66" i="1"/>
  <c r="J69" i="1"/>
  <c r="J70" i="1"/>
  <c r="J72" i="1"/>
  <c r="Q20" i="1"/>
  <c r="Q19" i="1"/>
  <c r="Q18" i="1"/>
  <c r="B15" i="15"/>
  <c r="C15" i="15"/>
  <c r="D15" i="15"/>
  <c r="E15" i="15"/>
  <c r="B16" i="15"/>
  <c r="C16" i="15"/>
  <c r="D16" i="15"/>
  <c r="E16" i="15"/>
  <c r="C14" i="15"/>
  <c r="D14" i="15"/>
  <c r="E14" i="15"/>
  <c r="B14" i="15"/>
  <c r="A12" i="15"/>
  <c r="B15" i="14"/>
  <c r="B16" i="14"/>
  <c r="B14" i="14"/>
  <c r="E14" i="14"/>
  <c r="E15" i="14"/>
  <c r="E16" i="14"/>
  <c r="A23" i="15"/>
  <c r="D17" i="15"/>
  <c r="E17" i="15"/>
  <c r="C17" i="15"/>
  <c r="F131" i="40" l="1"/>
  <c r="F99" i="40"/>
  <c r="F83" i="40"/>
  <c r="AZ58" i="43" s="1"/>
  <c r="AZ58" i="45" s="1"/>
  <c r="F67" i="40"/>
  <c r="F51" i="40"/>
  <c r="F138" i="40"/>
  <c r="F122" i="40"/>
  <c r="F114" i="40"/>
  <c r="F106" i="40"/>
  <c r="AZ63" i="43" s="1"/>
  <c r="AZ63" i="45" s="1"/>
  <c r="F98" i="40"/>
  <c r="F90" i="40"/>
  <c r="F82" i="40"/>
  <c r="F74" i="40"/>
  <c r="F66" i="40"/>
  <c r="F58" i="40"/>
  <c r="F137" i="40"/>
  <c r="F129" i="40"/>
  <c r="F121" i="40"/>
  <c r="AZ66" i="43" s="1"/>
  <c r="AZ66" i="45" s="1"/>
  <c r="F113" i="40"/>
  <c r="F97" i="40"/>
  <c r="AZ61" i="43" s="1"/>
  <c r="AZ61" i="45" s="1"/>
  <c r="F89" i="40"/>
  <c r="F81" i="40"/>
  <c r="F73" i="40"/>
  <c r="AZ56" i="43" s="1"/>
  <c r="AZ56" i="45" s="1"/>
  <c r="F65" i="40"/>
  <c r="F57" i="40"/>
  <c r="F49" i="40"/>
  <c r="AZ51" i="43" s="1"/>
  <c r="AZ51" i="45" s="1"/>
  <c r="F143" i="40"/>
  <c r="F127" i="40"/>
  <c r="F111" i="40"/>
  <c r="AZ64" i="43" s="1"/>
  <c r="AZ64" i="45" s="1"/>
  <c r="F79" i="40"/>
  <c r="F63" i="40"/>
  <c r="F47" i="40"/>
  <c r="F142" i="40"/>
  <c r="F126" i="40"/>
  <c r="F94" i="40"/>
  <c r="F78" i="40"/>
  <c r="AZ57" i="43" s="1"/>
  <c r="AZ57" i="45" s="1"/>
  <c r="F62" i="40"/>
  <c r="F46" i="40"/>
  <c r="CI58" i="43"/>
  <c r="CI58" i="45" s="1"/>
  <c r="CI50" i="43"/>
  <c r="CI50" i="45" s="1"/>
  <c r="CI54" i="43"/>
  <c r="CI54" i="45" s="1"/>
  <c r="CI69" i="43"/>
  <c r="CI69" i="45" s="1"/>
  <c r="CI64" i="43"/>
  <c r="CI64" i="45" s="1"/>
  <c r="CI59" i="43"/>
  <c r="CI59" i="45" s="1"/>
  <c r="CI62" i="43"/>
  <c r="CI62" i="45" s="1"/>
  <c r="CI57" i="43"/>
  <c r="CI57" i="45" s="1"/>
  <c r="CI52" i="43"/>
  <c r="CI52" i="45" s="1"/>
  <c r="CI67" i="43"/>
  <c r="CI67" i="45" s="1"/>
  <c r="CI70" i="43"/>
  <c r="CI70" i="45" s="1"/>
  <c r="CI65" i="43"/>
  <c r="CI65" i="45" s="1"/>
  <c r="CI68" i="43"/>
  <c r="CI68" i="45" s="1"/>
  <c r="CI63" i="43"/>
  <c r="CI63" i="45" s="1"/>
  <c r="CI60" i="43"/>
  <c r="CI60" i="45" s="1"/>
  <c r="CI55" i="43"/>
  <c r="CI55" i="45" s="1"/>
  <c r="CI53" i="43"/>
  <c r="CI53" i="45" s="1"/>
  <c r="CI71" i="43"/>
  <c r="CI71" i="45" s="1"/>
  <c r="CI66" i="43"/>
  <c r="CI66" i="45" s="1"/>
  <c r="CI61" i="43"/>
  <c r="CI61" i="45" s="1"/>
  <c r="CI56" i="43"/>
  <c r="CI56" i="45" s="1"/>
  <c r="CI51" i="43"/>
  <c r="CI51" i="45" s="1"/>
  <c r="BY56" i="43"/>
  <c r="BY56" i="45" s="1"/>
  <c r="BX50" i="43"/>
  <c r="BX50" i="45" s="1"/>
  <c r="BY50" i="43"/>
  <c r="BY50" i="45" s="1"/>
  <c r="L56" i="43"/>
  <c r="L58" i="43"/>
  <c r="L59" i="43"/>
  <c r="AE136" i="40"/>
  <c r="AE112" i="40"/>
  <c r="AE71" i="40"/>
  <c r="AE134" i="40"/>
  <c r="AD106" i="40"/>
  <c r="AD61" i="40"/>
  <c r="AE128" i="40"/>
  <c r="AE105" i="40"/>
  <c r="AD56" i="40"/>
  <c r="AE127" i="40"/>
  <c r="AE94" i="40"/>
  <c r="AE53" i="40"/>
  <c r="AE123" i="40"/>
  <c r="AE88" i="40"/>
  <c r="AE47" i="40"/>
  <c r="AE144" i="40"/>
  <c r="AE116" i="40"/>
  <c r="AE74" i="40"/>
  <c r="AE124" i="40"/>
  <c r="AE103" i="40"/>
  <c r="AE60" i="40"/>
  <c r="AD134" i="40"/>
  <c r="AD102" i="40"/>
  <c r="AD88" i="40"/>
  <c r="AE143" i="40"/>
  <c r="AE131" i="40"/>
  <c r="AE121" i="40"/>
  <c r="AE111" i="40"/>
  <c r="AE97" i="40"/>
  <c r="AD84" i="40"/>
  <c r="AD70" i="40"/>
  <c r="AD52" i="40"/>
  <c r="AE142" i="40"/>
  <c r="AE130" i="40"/>
  <c r="AE120" i="40"/>
  <c r="AE108" i="40"/>
  <c r="AD97" i="40"/>
  <c r="AE83" i="40"/>
  <c r="AE66" i="40"/>
  <c r="AE51" i="40"/>
  <c r="AE138" i="40"/>
  <c r="AD129" i="40"/>
  <c r="AD120" i="40"/>
  <c r="AE106" i="40"/>
  <c r="AE95" i="40"/>
  <c r="AE82" i="40"/>
  <c r="AD65" i="40"/>
  <c r="AE48" i="40"/>
  <c r="AD93" i="40"/>
  <c r="AE135" i="40"/>
  <c r="AD125" i="40"/>
  <c r="AD116" i="40"/>
  <c r="AE104" i="40"/>
  <c r="AE89" i="40"/>
  <c r="AD74" i="40"/>
  <c r="AE58" i="40"/>
  <c r="F141" i="40"/>
  <c r="F133" i="40"/>
  <c r="F125" i="40"/>
  <c r="AZ67" i="43" s="1"/>
  <c r="AZ67" i="45" s="1"/>
  <c r="F117" i="40"/>
  <c r="F85" i="40"/>
  <c r="F140" i="40"/>
  <c r="AZ70" i="43" s="1"/>
  <c r="AZ70" i="45" s="1"/>
  <c r="F124" i="40"/>
  <c r="F108" i="40"/>
  <c r="F100" i="40"/>
  <c r="F92" i="40"/>
  <c r="AZ60" i="43" s="1"/>
  <c r="AZ60" i="45" s="1"/>
  <c r="F76" i="40"/>
  <c r="F60" i="40"/>
  <c r="F139" i="40"/>
  <c r="F123" i="40"/>
  <c r="F115" i="40"/>
  <c r="F107" i="40"/>
  <c r="F91" i="40"/>
  <c r="F75" i="40"/>
  <c r="F59" i="40"/>
  <c r="AZ53" i="43" s="1"/>
  <c r="AZ53" i="45" s="1"/>
  <c r="CJ50" i="43"/>
  <c r="CJ50" i="45" s="1"/>
  <c r="F130" i="40"/>
  <c r="AZ68" i="43" s="1"/>
  <c r="AZ68" i="45" s="1"/>
  <c r="F50" i="40"/>
  <c r="AE141" i="40"/>
  <c r="AE125" i="40"/>
  <c r="AE119" i="40"/>
  <c r="AE110" i="40"/>
  <c r="AE102" i="40"/>
  <c r="AE91" i="40"/>
  <c r="AE81" i="40"/>
  <c r="AE68" i="40"/>
  <c r="AE57" i="40"/>
  <c r="F145" i="40"/>
  <c r="AZ71" i="43" s="1"/>
  <c r="AZ71" i="45" s="1"/>
  <c r="F105" i="40"/>
  <c r="AE140" i="40"/>
  <c r="AE132" i="40"/>
  <c r="AE118" i="40"/>
  <c r="AE109" i="40"/>
  <c r="AE90" i="40"/>
  <c r="AE80" i="40"/>
  <c r="AE67" i="40"/>
  <c r="F144" i="40"/>
  <c r="F136" i="40"/>
  <c r="F128" i="40"/>
  <c r="F120" i="40"/>
  <c r="F112" i="40"/>
  <c r="F104" i="40"/>
  <c r="F96" i="40"/>
  <c r="F88" i="40"/>
  <c r="F80" i="40"/>
  <c r="F72" i="40"/>
  <c r="F64" i="40"/>
  <c r="AZ54" i="43" s="1"/>
  <c r="AZ54" i="45" s="1"/>
  <c r="F56" i="40"/>
  <c r="F48" i="40"/>
  <c r="AE49" i="40"/>
  <c r="AE54" i="40"/>
  <c r="AE61" i="40"/>
  <c r="AE69" i="40"/>
  <c r="AE76" i="40"/>
  <c r="AE84" i="40"/>
  <c r="AE92" i="40"/>
  <c r="AE98" i="40"/>
  <c r="AE114" i="40"/>
  <c r="AE55" i="40"/>
  <c r="AE62" i="40"/>
  <c r="AE77" i="40"/>
  <c r="AE85" i="40"/>
  <c r="AE100" i="40"/>
  <c r="AE46" i="40"/>
  <c r="AE63" i="40"/>
  <c r="AE70" i="40"/>
  <c r="AE78" i="40"/>
  <c r="AE87" i="40"/>
  <c r="AE93" i="40"/>
  <c r="AE101" i="40"/>
  <c r="AE107" i="40"/>
  <c r="F135" i="40"/>
  <c r="AZ69" i="43" s="1"/>
  <c r="AZ69" i="45" s="1"/>
  <c r="F119" i="40"/>
  <c r="F103" i="40"/>
  <c r="F95" i="40"/>
  <c r="F87" i="40"/>
  <c r="AZ59" i="43" s="1"/>
  <c r="AZ59" i="45" s="1"/>
  <c r="F71" i="40"/>
  <c r="F55" i="40"/>
  <c r="F134" i="40"/>
  <c r="F118" i="40"/>
  <c r="F110" i="40"/>
  <c r="F102" i="40"/>
  <c r="AZ62" i="43" s="1"/>
  <c r="AZ62" i="45" s="1"/>
  <c r="F86" i="40"/>
  <c r="F70" i="40"/>
  <c r="F54" i="40"/>
  <c r="AZ52" i="43" s="1"/>
  <c r="AZ52" i="45" s="1"/>
  <c r="AE145" i="40"/>
  <c r="AE137" i="40"/>
  <c r="AE129" i="40"/>
  <c r="AE122" i="40"/>
  <c r="AE96" i="40"/>
  <c r="AE64" i="40"/>
  <c r="AE139" i="40"/>
  <c r="AE133" i="40"/>
  <c r="AE126" i="40"/>
  <c r="AE113" i="40"/>
  <c r="AE99" i="40"/>
  <c r="AE86" i="40"/>
  <c r="AE79" i="40"/>
  <c r="AE72" i="40"/>
  <c r="AE65" i="40"/>
  <c r="AE59" i="40"/>
  <c r="AE52" i="40"/>
  <c r="AE50" i="40"/>
  <c r="AD142" i="40"/>
  <c r="AD133" i="40"/>
  <c r="AD124" i="40"/>
  <c r="AD110" i="40"/>
  <c r="AD101" i="40"/>
  <c r="AD92" i="40"/>
  <c r="AD78" i="40"/>
  <c r="AD69" i="40"/>
  <c r="AD60" i="40"/>
  <c r="AD46" i="40"/>
  <c r="AD137" i="40"/>
  <c r="AD128" i="40"/>
  <c r="AD114" i="40"/>
  <c r="AD105" i="40"/>
  <c r="AD96" i="40"/>
  <c r="AD82" i="40"/>
  <c r="AD73" i="40"/>
  <c r="AD64" i="40"/>
  <c r="AD50" i="40"/>
  <c r="AD141" i="40"/>
  <c r="AD132" i="40"/>
  <c r="AD118" i="40"/>
  <c r="AD109" i="40"/>
  <c r="AD100" i="40"/>
  <c r="AD86" i="40"/>
  <c r="AD77" i="40"/>
  <c r="AD68" i="40"/>
  <c r="AD54" i="40"/>
  <c r="AD145" i="40"/>
  <c r="AD136" i="40"/>
  <c r="AD122" i="40"/>
  <c r="AD113" i="40"/>
  <c r="AD104" i="40"/>
  <c r="AD90" i="40"/>
  <c r="AD81" i="40"/>
  <c r="AD72" i="40"/>
  <c r="AD58" i="40"/>
  <c r="AD49" i="40"/>
  <c r="AD140" i="40"/>
  <c r="AD126" i="40"/>
  <c r="AD117" i="40"/>
  <c r="AD108" i="40"/>
  <c r="AD94" i="40"/>
  <c r="AD85" i="40"/>
  <c r="AD76" i="40"/>
  <c r="AD62" i="40"/>
  <c r="AD53" i="40"/>
  <c r="AD144" i="40"/>
  <c r="AD130" i="40"/>
  <c r="AD121" i="40"/>
  <c r="AD112" i="40"/>
  <c r="AD98" i="40"/>
  <c r="AD89" i="40"/>
  <c r="AD80" i="40"/>
  <c r="AD66" i="40"/>
  <c r="AD57" i="40"/>
  <c r="AD48" i="40"/>
  <c r="AD143" i="40"/>
  <c r="AD139" i="40"/>
  <c r="AD135" i="40"/>
  <c r="AD131" i="40"/>
  <c r="AD127" i="40"/>
  <c r="AD123" i="40"/>
  <c r="AD119" i="40"/>
  <c r="AD115" i="40"/>
  <c r="AD111" i="40"/>
  <c r="AD107" i="40"/>
  <c r="AD103" i="40"/>
  <c r="AD99" i="40"/>
  <c r="AD95" i="40"/>
  <c r="AD91" i="40"/>
  <c r="AD87" i="40"/>
  <c r="AD83" i="40"/>
  <c r="AD79" i="40"/>
  <c r="AD75" i="40"/>
  <c r="AD71" i="40"/>
  <c r="AD67" i="40"/>
  <c r="AD63" i="40"/>
  <c r="AD59" i="40"/>
  <c r="AD55" i="40"/>
  <c r="AD51" i="40"/>
  <c r="AD47" i="40"/>
  <c r="CJ70" i="43"/>
  <c r="CJ70" i="45" s="1"/>
  <c r="CJ66" i="43"/>
  <c r="CJ66" i="45" s="1"/>
  <c r="CJ65" i="43"/>
  <c r="CJ65" i="45" s="1"/>
  <c r="CJ61" i="43"/>
  <c r="CJ61" i="45" s="1"/>
  <c r="CJ60" i="43"/>
  <c r="CJ60" i="45" s="1"/>
  <c r="CJ56" i="43"/>
  <c r="CJ56" i="45" s="1"/>
  <c r="CJ55" i="43"/>
  <c r="CJ55" i="45" s="1"/>
  <c r="CJ51" i="43"/>
  <c r="CJ51" i="45" s="1"/>
  <c r="CK54" i="43"/>
  <c r="CK54" i="45" s="1"/>
  <c r="CK69" i="43"/>
  <c r="CK69" i="45" s="1"/>
  <c r="CK64" i="43"/>
  <c r="CK64" i="45" s="1"/>
  <c r="CK59" i="43"/>
  <c r="CK59" i="45" s="1"/>
  <c r="CK50" i="43"/>
  <c r="CK50" i="45" s="1"/>
  <c r="CJ68" i="43"/>
  <c r="CJ68" i="45" s="1"/>
  <c r="CJ63" i="43"/>
  <c r="CJ63" i="45" s="1"/>
  <c r="CK62" i="43"/>
  <c r="CK62" i="45" s="1"/>
  <c r="CK57" i="43"/>
  <c r="CK57" i="45" s="1"/>
  <c r="CK52" i="43"/>
  <c r="CK52" i="45" s="1"/>
  <c r="CK67" i="43"/>
  <c r="CK67" i="45" s="1"/>
  <c r="CJ54" i="43"/>
  <c r="CJ54" i="45" s="1"/>
  <c r="CK70" i="43"/>
  <c r="CK70" i="45" s="1"/>
  <c r="CK65" i="43"/>
  <c r="CK65" i="45" s="1"/>
  <c r="CK60" i="43"/>
  <c r="CK60" i="45" s="1"/>
  <c r="CK55" i="43"/>
  <c r="CK55" i="45" s="1"/>
  <c r="CJ69" i="43"/>
  <c r="CJ69" i="45" s="1"/>
  <c r="CJ64" i="43"/>
  <c r="CJ64" i="45" s="1"/>
  <c r="CJ59" i="43"/>
  <c r="CJ59" i="45" s="1"/>
  <c r="CK58" i="43"/>
  <c r="CK58" i="45" s="1"/>
  <c r="CK53" i="43"/>
  <c r="CK53" i="45" s="1"/>
  <c r="CJ62" i="43"/>
  <c r="CJ62" i="45" s="1"/>
  <c r="CJ57" i="43"/>
  <c r="CJ57" i="45" s="1"/>
  <c r="CJ52" i="43"/>
  <c r="CJ52" i="45" s="1"/>
  <c r="CK68" i="43"/>
  <c r="CK68" i="45" s="1"/>
  <c r="CK63" i="43"/>
  <c r="CK63" i="45" s="1"/>
  <c r="CJ67" i="43"/>
  <c r="CJ67" i="45" s="1"/>
  <c r="CK71" i="43"/>
  <c r="CK71" i="45" s="1"/>
  <c r="CK66" i="43"/>
  <c r="CK66" i="45" s="1"/>
  <c r="CK61" i="43"/>
  <c r="CK61" i="45" s="1"/>
  <c r="CK56" i="43"/>
  <c r="CK56" i="45" s="1"/>
  <c r="D98" i="38"/>
  <c r="N98" i="38" s="1"/>
  <c r="D103" i="38"/>
  <c r="N103" i="38" s="1"/>
  <c r="D54" i="38"/>
  <c r="N54" i="38" s="1"/>
  <c r="D55" i="38"/>
  <c r="N55" i="38" s="1"/>
  <c r="D119" i="38"/>
  <c r="D127" i="38"/>
  <c r="D64" i="38"/>
  <c r="N64" i="38" s="1"/>
  <c r="D66" i="38"/>
  <c r="N66" i="38" s="1"/>
  <c r="D141" i="38"/>
  <c r="N141" i="38" s="1"/>
  <c r="D75" i="38"/>
  <c r="N75" i="38" s="1"/>
  <c r="D114" i="38"/>
  <c r="N114" i="38" s="1"/>
  <c r="D111" i="38"/>
  <c r="N111" i="38" s="1"/>
  <c r="L114" i="38"/>
  <c r="D121" i="38"/>
  <c r="D144" i="38"/>
  <c r="D67" i="38"/>
  <c r="D125" i="38"/>
  <c r="D134" i="38"/>
  <c r="N134" i="38" s="1"/>
  <c r="D74" i="38"/>
  <c r="D80" i="38"/>
  <c r="N80" i="38" s="1"/>
  <c r="D142" i="38"/>
  <c r="N142" i="38" s="1"/>
  <c r="D46" i="38"/>
  <c r="N46" i="38" s="1"/>
  <c r="D105" i="38"/>
  <c r="N105" i="38" s="1"/>
  <c r="D49" i="38"/>
  <c r="D57" i="38"/>
  <c r="N57" i="38" s="1"/>
  <c r="D56" i="38"/>
  <c r="N56" i="38" s="1"/>
  <c r="D71" i="38"/>
  <c r="N71" i="38" s="1"/>
  <c r="D79" i="38"/>
  <c r="D45" i="38"/>
  <c r="D72" i="38"/>
  <c r="D77" i="38"/>
  <c r="D97" i="38"/>
  <c r="N97" i="38" s="1"/>
  <c r="D104" i="38"/>
  <c r="N104" i="38" s="1"/>
  <c r="L103" i="38"/>
  <c r="D123" i="38"/>
  <c r="D133" i="38"/>
  <c r="N133" i="38" s="1"/>
  <c r="L141" i="38"/>
  <c r="L45" i="38"/>
  <c r="L97" i="38"/>
  <c r="D110" i="38"/>
  <c r="N110" i="38" s="1"/>
  <c r="L55" i="38"/>
  <c r="D78" i="38"/>
  <c r="N78" i="38" s="1"/>
  <c r="D120" i="38"/>
  <c r="N120" i="38" s="1"/>
  <c r="D63" i="38"/>
  <c r="N63" i="38" s="1"/>
  <c r="D89" i="38"/>
  <c r="N89" i="38" s="1"/>
  <c r="D96" i="38"/>
  <c r="D136" i="38"/>
  <c r="N136" i="38" s="1"/>
  <c r="D47" i="38"/>
  <c r="D50" i="38"/>
  <c r="D51" i="38"/>
  <c r="D48" i="38"/>
  <c r="L52" i="38"/>
  <c r="D53" i="38"/>
  <c r="D52" i="38"/>
  <c r="L49" i="38"/>
  <c r="D58" i="38"/>
  <c r="D59" i="38"/>
  <c r="D61" i="38"/>
  <c r="D76" i="38"/>
  <c r="D84" i="38"/>
  <c r="D83" i="38"/>
  <c r="L83" i="38"/>
  <c r="D62" i="38"/>
  <c r="L64" i="38"/>
  <c r="D68" i="38"/>
  <c r="L68" i="38"/>
  <c r="L72" i="38"/>
  <c r="D81" i="38"/>
  <c r="L81" i="38"/>
  <c r="L56" i="38"/>
  <c r="L92" i="38"/>
  <c r="D92" i="38"/>
  <c r="D87" i="38"/>
  <c r="D88" i="38"/>
  <c r="D86" i="38"/>
  <c r="D85" i="38"/>
  <c r="D90" i="38"/>
  <c r="L90" i="38"/>
  <c r="L69" i="38"/>
  <c r="D70" i="38"/>
  <c r="D69" i="38"/>
  <c r="D60" i="38"/>
  <c r="L60" i="38"/>
  <c r="D65" i="38"/>
  <c r="D73" i="38"/>
  <c r="D94" i="38"/>
  <c r="L94" i="38"/>
  <c r="D82" i="38"/>
  <c r="L82" i="38"/>
  <c r="D91" i="38"/>
  <c r="D93" i="38"/>
  <c r="L93" i="38"/>
  <c r="D106" i="38"/>
  <c r="L106" i="38"/>
  <c r="D102" i="38"/>
  <c r="L102" i="38"/>
  <c r="D95" i="38"/>
  <c r="L95" i="38"/>
  <c r="L96" i="38"/>
  <c r="D99" i="38"/>
  <c r="L99" i="38"/>
  <c r="D109" i="38"/>
  <c r="D101" i="38"/>
  <c r="L100" i="38"/>
  <c r="D108" i="38"/>
  <c r="D100" i="38"/>
  <c r="L107" i="38"/>
  <c r="D107" i="38"/>
  <c r="D112" i="38"/>
  <c r="L111" i="38"/>
  <c r="L109" i="38"/>
  <c r="D115" i="38"/>
  <c r="D113" i="38"/>
  <c r="D118" i="38"/>
  <c r="D117" i="38"/>
  <c r="L117" i="38"/>
  <c r="D130" i="38"/>
  <c r="L130" i="38"/>
  <c r="D116" i="38"/>
  <c r="L116" i="38"/>
  <c r="L119" i="38"/>
  <c r="D122" i="38"/>
  <c r="L122" i="38"/>
  <c r="D124" i="38"/>
  <c r="L120" i="38"/>
  <c r="D126" i="38"/>
  <c r="L123" i="38"/>
  <c r="D131" i="38"/>
  <c r="D139" i="38"/>
  <c r="L128" i="38"/>
  <c r="D129" i="38"/>
  <c r="D128" i="38"/>
  <c r="D138" i="38"/>
  <c r="L138" i="38"/>
  <c r="L127" i="38"/>
  <c r="D135" i="38"/>
  <c r="D143" i="38"/>
  <c r="D132" i="38"/>
  <c r="D140" i="38"/>
  <c r="D137" i="38"/>
  <c r="L139" i="38"/>
  <c r="J160" i="14"/>
  <c r="J59" i="14"/>
  <c r="I160" i="14"/>
  <c r="I59" i="14"/>
  <c r="H160" i="14"/>
  <c r="H59" i="14"/>
  <c r="G160" i="14"/>
  <c r="G59" i="14"/>
  <c r="F160" i="14"/>
  <c r="F59" i="14"/>
  <c r="A17" i="14"/>
  <c r="D11" i="6"/>
  <c r="D10" i="6"/>
  <c r="E71" i="34"/>
  <c r="E64" i="34"/>
  <c r="E39" i="34"/>
  <c r="C69" i="34"/>
  <c r="E69" i="34" s="1"/>
  <c r="E68" i="34"/>
  <c r="E67" i="34"/>
  <c r="C63" i="34"/>
  <c r="E63" i="34" s="1"/>
  <c r="E62" i="34"/>
  <c r="E60" i="34"/>
  <c r="C52" i="34"/>
  <c r="E53" i="34"/>
  <c r="J67" i="1" s="1"/>
  <c r="C8" i="40" s="1"/>
  <c r="E51" i="34"/>
  <c r="R77" i="6" l="1"/>
  <c r="T77" i="6" s="1"/>
  <c r="R22" i="6"/>
  <c r="T22" i="6" s="1"/>
  <c r="R86" i="6"/>
  <c r="R31" i="6"/>
  <c r="T31" i="6" s="1"/>
  <c r="R95" i="6"/>
  <c r="T95" i="6" s="1"/>
  <c r="R41" i="6"/>
  <c r="T41" i="6" s="1"/>
  <c r="R105" i="6"/>
  <c r="T105" i="6" s="1"/>
  <c r="R58" i="6"/>
  <c r="T58" i="6" s="1"/>
  <c r="R27" i="6"/>
  <c r="T27" i="6" s="1"/>
  <c r="R91" i="6"/>
  <c r="T91" i="6" s="1"/>
  <c r="R60" i="6"/>
  <c r="T60" i="6" s="1"/>
  <c r="R24" i="6"/>
  <c r="T24" i="6" s="1"/>
  <c r="R29" i="6"/>
  <c r="R38" i="6"/>
  <c r="T38" i="6" s="1"/>
  <c r="R102" i="6"/>
  <c r="T102" i="6" s="1"/>
  <c r="R111" i="6"/>
  <c r="T111" i="6" s="1"/>
  <c r="R20" i="6"/>
  <c r="T20" i="6" s="1"/>
  <c r="R43" i="6"/>
  <c r="T43" i="6" s="1"/>
  <c r="R76" i="6"/>
  <c r="T76" i="6" s="1"/>
  <c r="R104" i="6"/>
  <c r="T104" i="6" s="1"/>
  <c r="R89" i="6"/>
  <c r="R75" i="6"/>
  <c r="T75" i="6" s="1"/>
  <c r="R33" i="6"/>
  <c r="T33" i="6" s="1"/>
  <c r="R116" i="6"/>
  <c r="T116" i="6" s="1"/>
  <c r="R21" i="6"/>
  <c r="T21" i="6" s="1"/>
  <c r="R85" i="6"/>
  <c r="T85" i="6" s="1"/>
  <c r="R30" i="6"/>
  <c r="T30" i="6" s="1"/>
  <c r="R94" i="6"/>
  <c r="T94" i="6" s="1"/>
  <c r="R39" i="6"/>
  <c r="T39" i="6" s="1"/>
  <c r="R103" i="6"/>
  <c r="T103" i="6" s="1"/>
  <c r="R49" i="6"/>
  <c r="T49" i="6" s="1"/>
  <c r="R113" i="6"/>
  <c r="T113" i="6" s="1"/>
  <c r="R66" i="6"/>
  <c r="T66" i="6" s="1"/>
  <c r="R35" i="6"/>
  <c r="T35" i="6" s="1"/>
  <c r="R99" i="6"/>
  <c r="T99" i="6" s="1"/>
  <c r="R68" i="6"/>
  <c r="T68" i="6" s="1"/>
  <c r="R64" i="6"/>
  <c r="T64" i="6" s="1"/>
  <c r="R93" i="6"/>
  <c r="T93" i="6" s="1"/>
  <c r="R47" i="6"/>
  <c r="T47" i="6" s="1"/>
  <c r="R57" i="6"/>
  <c r="T57" i="6" s="1"/>
  <c r="R74" i="6"/>
  <c r="T74" i="6" s="1"/>
  <c r="R107" i="6"/>
  <c r="T107" i="6" s="1"/>
  <c r="R72" i="6"/>
  <c r="T72" i="6" s="1"/>
  <c r="R61" i="6"/>
  <c r="T61" i="6" s="1"/>
  <c r="R42" i="6"/>
  <c r="T42" i="6" s="1"/>
  <c r="R78" i="6"/>
  <c r="T78" i="6" s="1"/>
  <c r="R114" i="6"/>
  <c r="T114" i="6" s="1"/>
  <c r="R37" i="6"/>
  <c r="T37" i="6" s="1"/>
  <c r="R101" i="6"/>
  <c r="T101" i="6" s="1"/>
  <c r="R46" i="6"/>
  <c r="T46" i="6" s="1"/>
  <c r="R110" i="6"/>
  <c r="T110" i="6" s="1"/>
  <c r="R55" i="6"/>
  <c r="T55" i="6" s="1"/>
  <c r="R119" i="6"/>
  <c r="T119" i="6" s="1"/>
  <c r="R65" i="6"/>
  <c r="T65" i="6" s="1"/>
  <c r="R56" i="6"/>
  <c r="T56" i="6" s="1"/>
  <c r="R82" i="6"/>
  <c r="T82" i="6" s="1"/>
  <c r="R51" i="6"/>
  <c r="T51" i="6" s="1"/>
  <c r="R115" i="6"/>
  <c r="T115" i="6" s="1"/>
  <c r="R84" i="6"/>
  <c r="T84" i="6" s="1"/>
  <c r="R80" i="6"/>
  <c r="T80" i="6" s="1"/>
  <c r="R117" i="6"/>
  <c r="T117" i="6" s="1"/>
  <c r="R71" i="6"/>
  <c r="T71" i="6" s="1"/>
  <c r="R34" i="6"/>
  <c r="T34" i="6" s="1"/>
  <c r="R67" i="6"/>
  <c r="T67" i="6" s="1"/>
  <c r="R100" i="6"/>
  <c r="T100" i="6" s="1"/>
  <c r="R48" i="6"/>
  <c r="T48" i="6" s="1"/>
  <c r="R79" i="6"/>
  <c r="T79" i="6" s="1"/>
  <c r="R106" i="6"/>
  <c r="T106" i="6" s="1"/>
  <c r="R108" i="6"/>
  <c r="T108" i="6" s="1"/>
  <c r="R120" i="6"/>
  <c r="T120" i="6" s="1"/>
  <c r="R87" i="6"/>
  <c r="T87" i="6" s="1"/>
  <c r="R83" i="6"/>
  <c r="T83" i="6" s="1"/>
  <c r="R45" i="6"/>
  <c r="T45" i="6" s="1"/>
  <c r="R109" i="6"/>
  <c r="T109" i="6" s="1"/>
  <c r="R54" i="6"/>
  <c r="T54" i="6" s="1"/>
  <c r="R118" i="6"/>
  <c r="T118" i="6" s="1"/>
  <c r="R63" i="6"/>
  <c r="R32" i="6"/>
  <c r="T32" i="6" s="1"/>
  <c r="R73" i="6"/>
  <c r="T73" i="6" s="1"/>
  <c r="R26" i="6"/>
  <c r="T26" i="6" s="1"/>
  <c r="R90" i="6"/>
  <c r="T90" i="6" s="1"/>
  <c r="R59" i="6"/>
  <c r="T59" i="6" s="1"/>
  <c r="R28" i="6"/>
  <c r="T28" i="6" s="1"/>
  <c r="R92" i="6"/>
  <c r="T92" i="6" s="1"/>
  <c r="R88" i="6"/>
  <c r="R53" i="6"/>
  <c r="T53" i="6" s="1"/>
  <c r="R62" i="6"/>
  <c r="T62" i="6" s="1"/>
  <c r="R40" i="6"/>
  <c r="T40" i="6" s="1"/>
  <c r="R96" i="6"/>
  <c r="T96" i="6" s="1"/>
  <c r="R81" i="6"/>
  <c r="T81" i="6" s="1"/>
  <c r="R98" i="6"/>
  <c r="T98" i="6" s="1"/>
  <c r="R36" i="6"/>
  <c r="R112" i="6"/>
  <c r="T112" i="6" s="1"/>
  <c r="R70" i="6"/>
  <c r="T70" i="6" s="1"/>
  <c r="R25" i="6"/>
  <c r="T25" i="6" s="1"/>
  <c r="R44" i="6"/>
  <c r="T44" i="6" s="1"/>
  <c r="R69" i="6"/>
  <c r="T69" i="6" s="1"/>
  <c r="R23" i="6"/>
  <c r="T23" i="6" s="1"/>
  <c r="R97" i="6"/>
  <c r="T97" i="6" s="1"/>
  <c r="R52" i="6"/>
  <c r="T52" i="6" s="1"/>
  <c r="R50" i="6"/>
  <c r="T50" i="6" s="1"/>
  <c r="C54" i="34"/>
  <c r="BY65" i="43"/>
  <c r="BY65" i="45" s="1"/>
  <c r="BY53" i="43"/>
  <c r="BY53" i="45" s="1"/>
  <c r="BX71" i="43"/>
  <c r="BX71" i="45" s="1"/>
  <c r="BY60" i="43"/>
  <c r="BY60" i="45" s="1"/>
  <c r="BX69" i="43"/>
  <c r="BX69" i="45" s="1"/>
  <c r="BX52" i="43"/>
  <c r="BX52" i="45" s="1"/>
  <c r="BY54" i="43"/>
  <c r="BY54" i="45" s="1"/>
  <c r="BY69" i="43"/>
  <c r="BY69" i="45" s="1"/>
  <c r="BX64" i="43"/>
  <c r="BX64" i="45" s="1"/>
  <c r="BX66" i="43"/>
  <c r="BX66" i="45" s="1"/>
  <c r="BX54" i="43"/>
  <c r="BX54" i="45" s="1"/>
  <c r="BY62" i="43"/>
  <c r="BY62" i="45" s="1"/>
  <c r="BX60" i="43"/>
  <c r="BX60" i="45" s="1"/>
  <c r="BY55" i="43"/>
  <c r="BY55" i="45" s="1"/>
  <c r="BX67" i="43"/>
  <c r="BX67" i="45" s="1"/>
  <c r="BY66" i="43"/>
  <c r="BY66" i="45" s="1"/>
  <c r="BY68" i="43"/>
  <c r="BY68" i="45" s="1"/>
  <c r="BX55" i="43"/>
  <c r="BX55" i="45" s="1"/>
  <c r="BX58" i="43"/>
  <c r="BX58" i="45" s="1"/>
  <c r="BX68" i="43"/>
  <c r="BX68" i="45" s="1"/>
  <c r="BX56" i="43"/>
  <c r="BX56" i="45" s="1"/>
  <c r="BY59" i="43"/>
  <c r="BY59" i="45" s="1"/>
  <c r="BY70" i="43"/>
  <c r="BY70" i="45" s="1"/>
  <c r="BX62" i="43"/>
  <c r="BX62" i="45" s="1"/>
  <c r="BX59" i="43"/>
  <c r="BX59" i="45" s="1"/>
  <c r="BY57" i="43"/>
  <c r="BY57" i="45" s="1"/>
  <c r="BY52" i="43"/>
  <c r="BY52" i="45" s="1"/>
  <c r="BY58" i="43"/>
  <c r="BY58" i="45" s="1"/>
  <c r="BX53" i="43"/>
  <c r="BX53" i="45" s="1"/>
  <c r="BX70" i="43"/>
  <c r="BX70" i="45" s="1"/>
  <c r="BX57" i="43"/>
  <c r="BX57" i="45" s="1"/>
  <c r="BY71" i="43"/>
  <c r="BY71" i="45" s="1"/>
  <c r="BY51" i="43"/>
  <c r="BY51" i="45" s="1"/>
  <c r="BY67" i="43"/>
  <c r="BY67" i="45" s="1"/>
  <c r="BX61" i="43"/>
  <c r="BX61" i="45" s="1"/>
  <c r="BY61" i="43"/>
  <c r="BY61" i="45" s="1"/>
  <c r="BX63" i="43"/>
  <c r="BX63" i="45" s="1"/>
  <c r="BX51" i="43"/>
  <c r="BX51" i="45" s="1"/>
  <c r="BX65" i="43"/>
  <c r="BX65" i="45" s="1"/>
  <c r="BY63" i="43"/>
  <c r="BY63" i="45" s="1"/>
  <c r="BY64" i="43"/>
  <c r="BY64" i="45" s="1"/>
  <c r="T63" i="6"/>
  <c r="T36" i="6"/>
  <c r="T89" i="6"/>
  <c r="T29" i="6"/>
  <c r="T86" i="6"/>
  <c r="T88" i="6"/>
  <c r="N127" i="38"/>
  <c r="N119" i="38"/>
  <c r="N144" i="38"/>
  <c r="N96" i="38"/>
  <c r="N121" i="38"/>
  <c r="N67" i="38"/>
  <c r="N125" i="38"/>
  <c r="N49" i="38"/>
  <c r="N45" i="38"/>
  <c r="N123" i="38"/>
  <c r="N79" i="38"/>
  <c r="N74" i="38"/>
  <c r="J146" i="15"/>
  <c r="J144" i="38"/>
  <c r="G45" i="15"/>
  <c r="G43" i="38"/>
  <c r="G146" i="15"/>
  <c r="G144" i="38"/>
  <c r="I45" i="15"/>
  <c r="I43" i="38"/>
  <c r="F146" i="15"/>
  <c r="F144" i="38"/>
  <c r="H45" i="15"/>
  <c r="H43" i="38"/>
  <c r="F45" i="15"/>
  <c r="F43" i="38"/>
  <c r="H146" i="15"/>
  <c r="H144" i="38"/>
  <c r="I146" i="15"/>
  <c r="I144" i="38"/>
  <c r="J45" i="15"/>
  <c r="J43" i="38"/>
  <c r="N77" i="38"/>
  <c r="N72" i="38"/>
  <c r="N138" i="38"/>
  <c r="N139" i="38"/>
  <c r="N131" i="38"/>
  <c r="N95" i="38"/>
  <c r="N135" i="38"/>
  <c r="N112" i="38"/>
  <c r="N94" i="38"/>
  <c r="N69" i="38"/>
  <c r="N86" i="38"/>
  <c r="N88" i="38"/>
  <c r="N52" i="38"/>
  <c r="N50" i="38"/>
  <c r="N143" i="38"/>
  <c r="N126" i="38"/>
  <c r="N101" i="38"/>
  <c r="N93" i="38"/>
  <c r="N70" i="38"/>
  <c r="N87" i="38"/>
  <c r="N62" i="38"/>
  <c r="N53" i="38"/>
  <c r="N132" i="38"/>
  <c r="N137" i="38"/>
  <c r="N122" i="38"/>
  <c r="N115" i="38"/>
  <c r="N109" i="38"/>
  <c r="N73" i="38"/>
  <c r="N76" i="38"/>
  <c r="N113" i="38"/>
  <c r="N140" i="38"/>
  <c r="N116" i="38"/>
  <c r="N107" i="38"/>
  <c r="N100" i="38"/>
  <c r="N91" i="38"/>
  <c r="N92" i="38"/>
  <c r="N61" i="38"/>
  <c r="N99" i="38"/>
  <c r="N129" i="38"/>
  <c r="N124" i="38"/>
  <c r="N117" i="38"/>
  <c r="N108" i="38"/>
  <c r="N102" i="38"/>
  <c r="N82" i="38"/>
  <c r="N60" i="38"/>
  <c r="N83" i="38"/>
  <c r="N59" i="38"/>
  <c r="N48" i="38"/>
  <c r="N130" i="38"/>
  <c r="N118" i="38"/>
  <c r="N90" i="38"/>
  <c r="N68" i="38"/>
  <c r="N84" i="38"/>
  <c r="N58" i="38"/>
  <c r="N51" i="38"/>
  <c r="N128" i="38"/>
  <c r="N106" i="38"/>
  <c r="N65" i="38"/>
  <c r="N85" i="38"/>
  <c r="N81" i="38"/>
  <c r="N47" i="38"/>
  <c r="I70" i="1"/>
  <c r="I66" i="1"/>
  <c r="B9" i="40" s="1"/>
  <c r="I72" i="1"/>
  <c r="I69" i="1"/>
  <c r="J68" i="1"/>
  <c r="C10" i="40" s="1"/>
  <c r="J73" i="1"/>
  <c r="J71" i="1"/>
  <c r="P35" i="1"/>
  <c r="P43" i="1" s="1"/>
  <c r="P34" i="1"/>
  <c r="P42" i="1" s="1"/>
  <c r="P33" i="1"/>
  <c r="P41" i="1" s="1"/>
  <c r="D21" i="16"/>
  <c r="D57" i="16"/>
  <c r="D56" i="16"/>
  <c r="D54" i="16"/>
  <c r="D24" i="16"/>
  <c r="D23" i="16"/>
  <c r="D22" i="16"/>
  <c r="D9" i="16"/>
  <c r="D8" i="16"/>
  <c r="D7" i="16"/>
  <c r="D55" i="16"/>
  <c r="E13" i="14"/>
  <c r="D8" i="6"/>
  <c r="C70" i="34"/>
  <c r="E70" i="34" s="1"/>
  <c r="E61" i="34"/>
  <c r="E52" i="34"/>
  <c r="E10" i="1" l="1"/>
  <c r="I67" i="1" s="1"/>
  <c r="I67" i="46"/>
  <c r="E54" i="34"/>
  <c r="P36" i="1"/>
  <c r="B8" i="40" l="1"/>
  <c r="I71" i="1"/>
  <c r="I73" i="1"/>
  <c r="I68" i="1"/>
  <c r="B10" i="40" s="1"/>
  <c r="C65" i="34"/>
  <c r="C72" i="34"/>
  <c r="E65" i="34"/>
  <c r="I73" i="46"/>
  <c r="I68" i="46"/>
  <c r="I71" i="46"/>
  <c r="C142" i="38"/>
  <c r="C138" i="38"/>
  <c r="C134" i="38"/>
  <c r="C130" i="38"/>
  <c r="C126" i="38"/>
  <c r="C122" i="38"/>
  <c r="C118" i="38"/>
  <c r="C114" i="38"/>
  <c r="C110" i="38"/>
  <c r="C106" i="38"/>
  <c r="C102" i="38"/>
  <c r="C98" i="38"/>
  <c r="C94" i="38"/>
  <c r="C90" i="38"/>
  <c r="C86" i="38"/>
  <c r="C82" i="38"/>
  <c r="C78" i="38"/>
  <c r="C74" i="38"/>
  <c r="C70" i="38"/>
  <c r="C66" i="38"/>
  <c r="C62" i="38"/>
  <c r="C58" i="38"/>
  <c r="C54" i="38"/>
  <c r="C50" i="38"/>
  <c r="C46" i="38"/>
  <c r="C141" i="38"/>
  <c r="C137" i="38"/>
  <c r="C133" i="38"/>
  <c r="C129" i="38"/>
  <c r="C125" i="38"/>
  <c r="C121" i="38"/>
  <c r="C117" i="38"/>
  <c r="C113" i="38"/>
  <c r="C109" i="38"/>
  <c r="C105" i="38"/>
  <c r="C101" i="38"/>
  <c r="C97" i="38"/>
  <c r="C93" i="38"/>
  <c r="C89" i="38"/>
  <c r="C85" i="38"/>
  <c r="C81" i="38"/>
  <c r="C77" i="38"/>
  <c r="C73" i="38"/>
  <c r="C69" i="38"/>
  <c r="C65" i="38"/>
  <c r="C61" i="38"/>
  <c r="C57" i="38"/>
  <c r="C53" i="38"/>
  <c r="C49" i="38"/>
  <c r="C45" i="38"/>
  <c r="C144" i="38"/>
  <c r="C140" i="38"/>
  <c r="C136" i="38"/>
  <c r="C132" i="38"/>
  <c r="C128" i="38"/>
  <c r="C124" i="38"/>
  <c r="C120" i="38"/>
  <c r="C116" i="38"/>
  <c r="C112" i="38"/>
  <c r="C108" i="38"/>
  <c r="C104" i="38"/>
  <c r="C100" i="38"/>
  <c r="C96" i="38"/>
  <c r="C92" i="38"/>
  <c r="C88" i="38"/>
  <c r="C84" i="38"/>
  <c r="C80" i="38"/>
  <c r="C76" i="38"/>
  <c r="C72" i="38"/>
  <c r="C68" i="38"/>
  <c r="C64" i="38"/>
  <c r="C60" i="38"/>
  <c r="C56" i="38"/>
  <c r="C52" i="38"/>
  <c r="C48" i="38"/>
  <c r="C143" i="38"/>
  <c r="C139" i="38"/>
  <c r="C135" i="38"/>
  <c r="C131" i="38"/>
  <c r="C127" i="38"/>
  <c r="C123" i="38"/>
  <c r="C119" i="38"/>
  <c r="C115" i="38"/>
  <c r="C111" i="38"/>
  <c r="C107" i="38"/>
  <c r="C103" i="38"/>
  <c r="C99" i="38"/>
  <c r="C95" i="38"/>
  <c r="C91" i="38"/>
  <c r="C87" i="38"/>
  <c r="C83" i="38"/>
  <c r="C79" i="38"/>
  <c r="C75" i="38"/>
  <c r="C71" i="38"/>
  <c r="C67" i="38"/>
  <c r="C63" i="38"/>
  <c r="C59" i="38"/>
  <c r="C55" i="38"/>
  <c r="C51" i="38"/>
  <c r="C47" i="38"/>
  <c r="C44" i="38"/>
  <c r="C20" i="6"/>
  <c r="AL45" i="40" s="1"/>
  <c r="E72" i="34"/>
  <c r="P3" i="1"/>
  <c r="Q3" i="1"/>
  <c r="R3" i="1"/>
  <c r="S3" i="1"/>
  <c r="T3" i="1"/>
  <c r="U3" i="1"/>
  <c r="V3" i="1"/>
  <c r="W3" i="1"/>
  <c r="X3" i="1"/>
  <c r="P4" i="1"/>
  <c r="Q4" i="1"/>
  <c r="R4" i="1"/>
  <c r="S4" i="1"/>
  <c r="T4" i="1"/>
  <c r="U4" i="1"/>
  <c r="Q5" i="1"/>
  <c r="R6" i="1"/>
  <c r="R7" i="1"/>
  <c r="Q8" i="1"/>
  <c r="R9" i="1"/>
  <c r="R10" i="1"/>
  <c r="P11" i="1"/>
  <c r="Q11" i="1"/>
  <c r="R11" i="1"/>
  <c r="S11" i="1"/>
  <c r="T11" i="1"/>
  <c r="U11" i="1"/>
  <c r="Q12" i="1"/>
  <c r="Q13" i="1"/>
  <c r="Q14" i="1"/>
  <c r="R15" i="1"/>
  <c r="R16" i="1"/>
  <c r="P17" i="1"/>
  <c r="Q17" i="1"/>
  <c r="R17" i="1"/>
  <c r="S17" i="1"/>
  <c r="T17" i="1"/>
  <c r="U17" i="1"/>
  <c r="Q21" i="1"/>
  <c r="P22" i="1"/>
  <c r="P23" i="1"/>
  <c r="Q23" i="1"/>
  <c r="R23" i="1"/>
  <c r="S23" i="1"/>
  <c r="T23" i="1"/>
  <c r="U23" i="1"/>
  <c r="W23" i="1"/>
  <c r="C46" i="40" l="1"/>
  <c r="C68" i="40"/>
  <c r="AW55" i="43" s="1"/>
  <c r="AW55" i="45" s="1"/>
  <c r="C119" i="40"/>
  <c r="C69" i="40"/>
  <c r="C120" i="40"/>
  <c r="C61" i="40"/>
  <c r="C48" i="40"/>
  <c r="C105" i="40"/>
  <c r="C80" i="40"/>
  <c r="C135" i="40"/>
  <c r="AW69" i="43" s="1"/>
  <c r="AW69" i="45" s="1"/>
  <c r="C96" i="40"/>
  <c r="C143" i="40"/>
  <c r="C125" i="40"/>
  <c r="AW67" i="43" s="1"/>
  <c r="AW67" i="45" s="1"/>
  <c r="C131" i="40"/>
  <c r="C79" i="40"/>
  <c r="C85" i="40"/>
  <c r="C93" i="40"/>
  <c r="C51" i="40"/>
  <c r="C58" i="40"/>
  <c r="C107" i="40"/>
  <c r="C136" i="40"/>
  <c r="C54" i="40"/>
  <c r="AW52" i="43" s="1"/>
  <c r="AW52" i="45" s="1"/>
  <c r="C76" i="40"/>
  <c r="C109" i="40"/>
  <c r="C77" i="40"/>
  <c r="C141" i="40"/>
  <c r="C90" i="40"/>
  <c r="C89" i="40"/>
  <c r="C117" i="40"/>
  <c r="C97" i="40"/>
  <c r="AW61" i="43" s="1"/>
  <c r="AW61" i="45" s="1"/>
  <c r="C123" i="40"/>
  <c r="C59" i="40"/>
  <c r="AW53" i="43" s="1"/>
  <c r="AW53" i="45" s="1"/>
  <c r="C55" i="40"/>
  <c r="C86" i="40"/>
  <c r="C56" i="40"/>
  <c r="C116" i="40"/>
  <c r="AW65" i="43" s="1"/>
  <c r="AW65" i="45" s="1"/>
  <c r="C103" i="40"/>
  <c r="C104" i="40"/>
  <c r="C91" i="40"/>
  <c r="C140" i="40"/>
  <c r="AW70" i="43" s="1"/>
  <c r="AW70" i="45" s="1"/>
  <c r="C87" i="40"/>
  <c r="AW59" i="43" s="1"/>
  <c r="AW59" i="45" s="1"/>
  <c r="C134" i="40"/>
  <c r="C74" i="40"/>
  <c r="C45" i="40"/>
  <c r="AW50" i="43" s="1"/>
  <c r="AW50" i="45" s="1"/>
  <c r="C122" i="40"/>
  <c r="C73" i="40"/>
  <c r="AW56" i="43" s="1"/>
  <c r="AW56" i="45" s="1"/>
  <c r="C71" i="40"/>
  <c r="C129" i="40"/>
  <c r="C137" i="40"/>
  <c r="C110" i="40"/>
  <c r="C92" i="40"/>
  <c r="AW60" i="43" s="1"/>
  <c r="AW60" i="45" s="1"/>
  <c r="C53" i="40"/>
  <c r="C62" i="40"/>
  <c r="C130" i="40"/>
  <c r="AW68" i="43" s="1"/>
  <c r="AW68" i="45" s="1"/>
  <c r="C108" i="40"/>
  <c r="C100" i="40"/>
  <c r="C99" i="40"/>
  <c r="C128" i="40"/>
  <c r="C66" i="40"/>
  <c r="C114" i="40"/>
  <c r="C106" i="40"/>
  <c r="AW63" i="43" s="1"/>
  <c r="AW63" i="45" s="1"/>
  <c r="C118" i="40"/>
  <c r="C139" i="40"/>
  <c r="C112" i="40"/>
  <c r="C145" i="40"/>
  <c r="AW71" i="43" s="1"/>
  <c r="AW71" i="45" s="1"/>
  <c r="C88" i="40"/>
  <c r="C47" i="40"/>
  <c r="C142" i="40"/>
  <c r="C138" i="40"/>
  <c r="C57" i="40"/>
  <c r="C124" i="40"/>
  <c r="C111" i="40"/>
  <c r="AW64" i="43" s="1"/>
  <c r="AW64" i="45" s="1"/>
  <c r="C52" i="40"/>
  <c r="C78" i="40"/>
  <c r="AW57" i="43" s="1"/>
  <c r="AW57" i="45" s="1"/>
  <c r="C95" i="40"/>
  <c r="C67" i="40"/>
  <c r="C63" i="40"/>
  <c r="C133" i="40"/>
  <c r="C84" i="40"/>
  <c r="C101" i="40"/>
  <c r="C60" i="40"/>
  <c r="C94" i="40"/>
  <c r="C70" i="40"/>
  <c r="C102" i="40"/>
  <c r="AW62" i="43" s="1"/>
  <c r="AW62" i="45" s="1"/>
  <c r="C127" i="40"/>
  <c r="C126" i="40"/>
  <c r="C72" i="40"/>
  <c r="C115" i="40"/>
  <c r="C65" i="40"/>
  <c r="C83" i="40"/>
  <c r="AW58" i="43" s="1"/>
  <c r="AW58" i="45" s="1"/>
  <c r="C113" i="40"/>
  <c r="C75" i="40"/>
  <c r="C98" i="40"/>
  <c r="C49" i="40"/>
  <c r="AW51" i="43" s="1"/>
  <c r="AW51" i="45" s="1"/>
  <c r="C81" i="40"/>
  <c r="C82" i="40"/>
  <c r="C132" i="40"/>
  <c r="C64" i="40"/>
  <c r="AW54" i="43" s="1"/>
  <c r="AW54" i="45" s="1"/>
  <c r="C121" i="40"/>
  <c r="AW66" i="43" s="1"/>
  <c r="AW66" i="45" s="1"/>
  <c r="C50" i="40"/>
  <c r="C144" i="40"/>
  <c r="M59" i="38"/>
  <c r="BE59" i="38"/>
  <c r="E60" i="38"/>
  <c r="O60" i="38" s="1"/>
  <c r="M91" i="38"/>
  <c r="BE91" i="38"/>
  <c r="E92" i="38"/>
  <c r="O92" i="38" s="1"/>
  <c r="M123" i="38"/>
  <c r="BE123" i="38"/>
  <c r="E124" i="38"/>
  <c r="O124" i="38" s="1"/>
  <c r="M56" i="38"/>
  <c r="BE56" i="38"/>
  <c r="E57" i="38"/>
  <c r="O57" i="38" s="1"/>
  <c r="M88" i="38"/>
  <c r="BE88" i="38"/>
  <c r="E89" i="38"/>
  <c r="O89" i="38" s="1"/>
  <c r="M120" i="38"/>
  <c r="BE120" i="38"/>
  <c r="E121" i="38"/>
  <c r="O121" i="38" s="1"/>
  <c r="M49" i="38"/>
  <c r="BE49" i="38"/>
  <c r="E50" i="38"/>
  <c r="O50" i="38" s="1"/>
  <c r="M81" i="38"/>
  <c r="BE81" i="38"/>
  <c r="E82" i="38"/>
  <c r="O82" i="38" s="1"/>
  <c r="M113" i="38"/>
  <c r="BE113" i="38"/>
  <c r="E114" i="38"/>
  <c r="O114" i="38" s="1"/>
  <c r="M46" i="38"/>
  <c r="BE46" i="38"/>
  <c r="E47" i="38"/>
  <c r="O47" i="38" s="1"/>
  <c r="M78" i="38"/>
  <c r="BE78" i="38"/>
  <c r="E79" i="38"/>
  <c r="O79" i="38" s="1"/>
  <c r="M110" i="38"/>
  <c r="BE110" i="38"/>
  <c r="E111" i="38"/>
  <c r="O111" i="38" s="1"/>
  <c r="M142" i="38"/>
  <c r="BE142" i="38"/>
  <c r="E143" i="38"/>
  <c r="O143" i="38" s="1"/>
  <c r="M63" i="38"/>
  <c r="BE63" i="38"/>
  <c r="E64" i="38"/>
  <c r="O64" i="38" s="1"/>
  <c r="M95" i="38"/>
  <c r="BE95" i="38"/>
  <c r="E96" i="38"/>
  <c r="O96" i="38" s="1"/>
  <c r="M127" i="38"/>
  <c r="BE127" i="38"/>
  <c r="E128" i="38"/>
  <c r="O128" i="38" s="1"/>
  <c r="M60" i="38"/>
  <c r="BE60" i="38"/>
  <c r="E61" i="38"/>
  <c r="O61" i="38" s="1"/>
  <c r="M92" i="38"/>
  <c r="BE92" i="38"/>
  <c r="E93" i="38"/>
  <c r="O93" i="38" s="1"/>
  <c r="M124" i="38"/>
  <c r="BE124" i="38"/>
  <c r="E125" i="38"/>
  <c r="O125" i="38" s="1"/>
  <c r="M53" i="38"/>
  <c r="BE53" i="38"/>
  <c r="E54" i="38"/>
  <c r="O54" i="38" s="1"/>
  <c r="M85" i="38"/>
  <c r="BE85" i="38"/>
  <c r="E86" i="38"/>
  <c r="O86" i="38" s="1"/>
  <c r="M117" i="38"/>
  <c r="BE117" i="38"/>
  <c r="E118" i="38"/>
  <c r="O118" i="38" s="1"/>
  <c r="M50" i="38"/>
  <c r="BE50" i="38"/>
  <c r="E51" i="38"/>
  <c r="O51" i="38" s="1"/>
  <c r="M82" i="38"/>
  <c r="BE82" i="38"/>
  <c r="E83" i="38"/>
  <c r="O83" i="38" s="1"/>
  <c r="M114" i="38"/>
  <c r="BE114" i="38"/>
  <c r="E115" i="38"/>
  <c r="O115" i="38" s="1"/>
  <c r="M67" i="38"/>
  <c r="BE67" i="38"/>
  <c r="E68" i="38"/>
  <c r="O68" i="38" s="1"/>
  <c r="M99" i="38"/>
  <c r="BE99" i="38"/>
  <c r="E100" i="38"/>
  <c r="O100" i="38" s="1"/>
  <c r="M131" i="38"/>
  <c r="BE131" i="38"/>
  <c r="E132" i="38"/>
  <c r="O132" i="38" s="1"/>
  <c r="M64" i="38"/>
  <c r="BE64" i="38"/>
  <c r="E65" i="38"/>
  <c r="O65" i="38" s="1"/>
  <c r="M96" i="38"/>
  <c r="BE96" i="38"/>
  <c r="E97" i="38"/>
  <c r="O97" i="38" s="1"/>
  <c r="M128" i="38"/>
  <c r="BE128" i="38"/>
  <c r="E129" i="38"/>
  <c r="O129" i="38" s="1"/>
  <c r="M57" i="38"/>
  <c r="BE57" i="38"/>
  <c r="E58" i="38"/>
  <c r="O58" i="38" s="1"/>
  <c r="M89" i="38"/>
  <c r="BE89" i="38"/>
  <c r="E90" i="38"/>
  <c r="O90" i="38" s="1"/>
  <c r="M121" i="38"/>
  <c r="BE121" i="38"/>
  <c r="E122" i="38"/>
  <c r="O122" i="38" s="1"/>
  <c r="M54" i="38"/>
  <c r="BE54" i="38"/>
  <c r="E55" i="38"/>
  <c r="O55" i="38" s="1"/>
  <c r="M86" i="38"/>
  <c r="BE86" i="38"/>
  <c r="E87" i="38"/>
  <c r="O87" i="38" s="1"/>
  <c r="M118" i="38"/>
  <c r="BE118" i="38"/>
  <c r="E119" i="38"/>
  <c r="O119" i="38" s="1"/>
  <c r="AF45" i="40"/>
  <c r="BZ50" i="43" s="1"/>
  <c r="BZ50" i="45" s="1"/>
  <c r="CF50" i="43"/>
  <c r="CF50" i="45" s="1"/>
  <c r="AG45" i="40"/>
  <c r="CA50" i="43" s="1"/>
  <c r="CA50" i="45" s="1"/>
  <c r="M71" i="38"/>
  <c r="BE71" i="38"/>
  <c r="E72" i="38"/>
  <c r="O72" i="38" s="1"/>
  <c r="M103" i="38"/>
  <c r="BE103" i="38"/>
  <c r="E104" i="38"/>
  <c r="O104" i="38" s="1"/>
  <c r="M135" i="38"/>
  <c r="BE135" i="38"/>
  <c r="E136" i="38"/>
  <c r="O136" i="38" s="1"/>
  <c r="M68" i="38"/>
  <c r="BE68" i="38"/>
  <c r="E69" i="38"/>
  <c r="O69" i="38" s="1"/>
  <c r="M100" i="38"/>
  <c r="BE100" i="38"/>
  <c r="E101" i="38"/>
  <c r="O101" i="38" s="1"/>
  <c r="M132" i="38"/>
  <c r="BE132" i="38"/>
  <c r="E133" i="38"/>
  <c r="O133" i="38" s="1"/>
  <c r="M61" i="38"/>
  <c r="BE61" i="38"/>
  <c r="E62" i="38"/>
  <c r="O62" i="38" s="1"/>
  <c r="M93" i="38"/>
  <c r="BE93" i="38"/>
  <c r="E94" i="38"/>
  <c r="O94" i="38" s="1"/>
  <c r="M125" i="38"/>
  <c r="BE125" i="38"/>
  <c r="E126" i="38"/>
  <c r="O126" i="38" s="1"/>
  <c r="M58" i="38"/>
  <c r="BE58" i="38"/>
  <c r="E59" i="38"/>
  <c r="O59" i="38" s="1"/>
  <c r="M90" i="38"/>
  <c r="BE90" i="38"/>
  <c r="E91" i="38"/>
  <c r="O91" i="38" s="1"/>
  <c r="M122" i="38"/>
  <c r="BE122" i="38"/>
  <c r="E123" i="38"/>
  <c r="O123" i="38" s="1"/>
  <c r="M44" i="38"/>
  <c r="BE44" i="38"/>
  <c r="E45" i="38"/>
  <c r="O45" i="38" s="1"/>
  <c r="M75" i="38"/>
  <c r="BE75" i="38"/>
  <c r="E76" i="38"/>
  <c r="O76" i="38" s="1"/>
  <c r="M107" i="38"/>
  <c r="BE107" i="38"/>
  <c r="E108" i="38"/>
  <c r="O108" i="38" s="1"/>
  <c r="M139" i="38"/>
  <c r="BE139" i="38"/>
  <c r="E140" i="38"/>
  <c r="O140" i="38" s="1"/>
  <c r="M72" i="38"/>
  <c r="BE72" i="38"/>
  <c r="E73" i="38"/>
  <c r="O73" i="38" s="1"/>
  <c r="M104" i="38"/>
  <c r="BE104" i="38"/>
  <c r="E105" i="38"/>
  <c r="O105" i="38" s="1"/>
  <c r="M136" i="38"/>
  <c r="BE136" i="38"/>
  <c r="E137" i="38"/>
  <c r="O137" i="38" s="1"/>
  <c r="M65" i="38"/>
  <c r="BE65" i="38"/>
  <c r="E66" i="38"/>
  <c r="O66" i="38" s="1"/>
  <c r="M97" i="38"/>
  <c r="BE97" i="38"/>
  <c r="E98" i="38"/>
  <c r="O98" i="38" s="1"/>
  <c r="M129" i="38"/>
  <c r="BE129" i="38"/>
  <c r="E130" i="38"/>
  <c r="O130" i="38" s="1"/>
  <c r="M62" i="38"/>
  <c r="BE62" i="38"/>
  <c r="E63" i="38"/>
  <c r="O63" i="38" s="1"/>
  <c r="M94" i="38"/>
  <c r="BE94" i="38"/>
  <c r="E95" i="38"/>
  <c r="O95" i="38" s="1"/>
  <c r="M126" i="38"/>
  <c r="BE126" i="38"/>
  <c r="E127" i="38"/>
  <c r="O127" i="38" s="1"/>
  <c r="M47" i="38"/>
  <c r="BE47" i="38"/>
  <c r="E48" i="38"/>
  <c r="O48" i="38" s="1"/>
  <c r="M79" i="38"/>
  <c r="BE79" i="38"/>
  <c r="E80" i="38"/>
  <c r="O80" i="38" s="1"/>
  <c r="M111" i="38"/>
  <c r="BE111" i="38"/>
  <c r="E112" i="38"/>
  <c r="O112" i="38" s="1"/>
  <c r="M143" i="38"/>
  <c r="BE143" i="38"/>
  <c r="E144" i="38"/>
  <c r="O144" i="38" s="1"/>
  <c r="M76" i="38"/>
  <c r="BE76" i="38"/>
  <c r="E77" i="38"/>
  <c r="O77" i="38" s="1"/>
  <c r="M108" i="38"/>
  <c r="BE108" i="38"/>
  <c r="E109" i="38"/>
  <c r="O109" i="38" s="1"/>
  <c r="M140" i="38"/>
  <c r="BE140" i="38"/>
  <c r="E141" i="38"/>
  <c r="O141" i="38" s="1"/>
  <c r="M69" i="38"/>
  <c r="BE69" i="38"/>
  <c r="E70" i="38"/>
  <c r="O70" i="38" s="1"/>
  <c r="M101" i="38"/>
  <c r="BE101" i="38"/>
  <c r="E102" i="38"/>
  <c r="O102" i="38" s="1"/>
  <c r="M133" i="38"/>
  <c r="BE133" i="38"/>
  <c r="E134" i="38"/>
  <c r="O134" i="38" s="1"/>
  <c r="M66" i="38"/>
  <c r="BE66" i="38"/>
  <c r="E67" i="38"/>
  <c r="O67" i="38" s="1"/>
  <c r="M98" i="38"/>
  <c r="BE98" i="38"/>
  <c r="E99" i="38"/>
  <c r="O99" i="38" s="1"/>
  <c r="M130" i="38"/>
  <c r="BE130" i="38"/>
  <c r="E131" i="38"/>
  <c r="O131" i="38" s="1"/>
  <c r="M51" i="38"/>
  <c r="BE51" i="38"/>
  <c r="E52" i="38"/>
  <c r="O52" i="38" s="1"/>
  <c r="M83" i="38"/>
  <c r="BE83" i="38"/>
  <c r="E84" i="38"/>
  <c r="O84" i="38" s="1"/>
  <c r="M115" i="38"/>
  <c r="BE115" i="38"/>
  <c r="E116" i="38"/>
  <c r="O116" i="38" s="1"/>
  <c r="M48" i="38"/>
  <c r="BE48" i="38"/>
  <c r="E49" i="38"/>
  <c r="O49" i="38" s="1"/>
  <c r="M80" i="38"/>
  <c r="BE80" i="38"/>
  <c r="E81" i="38"/>
  <c r="O81" i="38" s="1"/>
  <c r="M112" i="38"/>
  <c r="BE112" i="38"/>
  <c r="E113" i="38"/>
  <c r="O113" i="38" s="1"/>
  <c r="M144" i="38"/>
  <c r="BE144" i="38"/>
  <c r="M73" i="38"/>
  <c r="BE73" i="38"/>
  <c r="E74" i="38"/>
  <c r="O74" i="38" s="1"/>
  <c r="M105" i="38"/>
  <c r="BE105" i="38"/>
  <c r="E106" i="38"/>
  <c r="O106" i="38" s="1"/>
  <c r="M137" i="38"/>
  <c r="BE137" i="38"/>
  <c r="E138" i="38"/>
  <c r="O138" i="38" s="1"/>
  <c r="M70" i="38"/>
  <c r="BE70" i="38"/>
  <c r="E71" i="38"/>
  <c r="O71" i="38" s="1"/>
  <c r="M102" i="38"/>
  <c r="BE102" i="38"/>
  <c r="E103" i="38"/>
  <c r="O103" i="38" s="1"/>
  <c r="M134" i="38"/>
  <c r="BE134" i="38"/>
  <c r="E135" i="38"/>
  <c r="O135" i="38" s="1"/>
  <c r="M55" i="38"/>
  <c r="BE55" i="38"/>
  <c r="E56" i="38"/>
  <c r="O56" i="38" s="1"/>
  <c r="M87" i="38"/>
  <c r="BE87" i="38"/>
  <c r="E88" i="38"/>
  <c r="O88" i="38" s="1"/>
  <c r="M119" i="38"/>
  <c r="BE119" i="38"/>
  <c r="E120" i="38"/>
  <c r="O120" i="38" s="1"/>
  <c r="M52" i="38"/>
  <c r="BE52" i="38"/>
  <c r="E53" i="38"/>
  <c r="O53" i="38" s="1"/>
  <c r="M84" i="38"/>
  <c r="BE84" i="38"/>
  <c r="E85" i="38"/>
  <c r="O85" i="38" s="1"/>
  <c r="M116" i="38"/>
  <c r="BE116" i="38"/>
  <c r="E117" i="38"/>
  <c r="O117" i="38" s="1"/>
  <c r="M45" i="38"/>
  <c r="BE45" i="38"/>
  <c r="E46" i="38"/>
  <c r="O46" i="38" s="1"/>
  <c r="M77" i="38"/>
  <c r="BE77" i="38"/>
  <c r="E78" i="38"/>
  <c r="O78" i="38" s="1"/>
  <c r="M109" i="38"/>
  <c r="BE109" i="38"/>
  <c r="E110" i="38"/>
  <c r="O110" i="38" s="1"/>
  <c r="M141" i="38"/>
  <c r="BE141" i="38"/>
  <c r="E142" i="38"/>
  <c r="O142" i="38" s="1"/>
  <c r="M74" i="38"/>
  <c r="BE74" i="38"/>
  <c r="E75" i="38"/>
  <c r="O75" i="38" s="1"/>
  <c r="M106" i="38"/>
  <c r="BE106" i="38"/>
  <c r="E107" i="38"/>
  <c r="O107" i="38" s="1"/>
  <c r="M138" i="38"/>
  <c r="BE138" i="38"/>
  <c r="E139" i="38"/>
  <c r="O139" i="38" s="1"/>
  <c r="B13" i="16"/>
  <c r="C13" i="16"/>
  <c r="D13" i="16"/>
  <c r="E13" i="16"/>
  <c r="F13" i="16"/>
  <c r="G13" i="16"/>
  <c r="H13" i="16"/>
  <c r="B14" i="16"/>
  <c r="C14" i="16"/>
  <c r="B15" i="16"/>
  <c r="B16" i="16"/>
  <c r="B17" i="16"/>
  <c r="B40" i="16"/>
  <c r="C40" i="16"/>
  <c r="D40" i="16"/>
  <c r="E40" i="16"/>
  <c r="B41" i="16"/>
  <c r="C41" i="16"/>
  <c r="B42" i="16"/>
  <c r="B43" i="16"/>
  <c r="B44" i="16"/>
  <c r="B45" i="16"/>
  <c r="B46" i="16"/>
  <c r="B47" i="16"/>
  <c r="B48" i="16"/>
  <c r="B49" i="16"/>
  <c r="B50" i="16"/>
  <c r="Q77" i="38" l="1"/>
  <c r="P77" i="38"/>
  <c r="Q134" i="38"/>
  <c r="P134" i="38"/>
  <c r="BH137" i="38"/>
  <c r="BG137" i="38"/>
  <c r="BF137" i="38"/>
  <c r="BF144" i="38"/>
  <c r="BH144" i="38"/>
  <c r="BG144" i="38"/>
  <c r="Q83" i="38"/>
  <c r="P83" i="38"/>
  <c r="BF98" i="38"/>
  <c r="BG98" i="38"/>
  <c r="BH98" i="38"/>
  <c r="Q140" i="38"/>
  <c r="P140" i="38"/>
  <c r="BH143" i="38"/>
  <c r="BG143" i="38"/>
  <c r="BF143" i="38"/>
  <c r="Q94" i="38"/>
  <c r="P94" i="38"/>
  <c r="BH97" i="38"/>
  <c r="BG97" i="38"/>
  <c r="BF97" i="38"/>
  <c r="P139" i="38"/>
  <c r="Q139" i="38"/>
  <c r="BH44" i="38"/>
  <c r="BG44" i="38"/>
  <c r="BS44" i="38" s="1"/>
  <c r="BF44" i="38"/>
  <c r="P93" i="38"/>
  <c r="Q93" i="38"/>
  <c r="BG100" i="38"/>
  <c r="BH100" i="38"/>
  <c r="BF100" i="38"/>
  <c r="BH54" i="38"/>
  <c r="BG54" i="38"/>
  <c r="BF54" i="38"/>
  <c r="Q96" i="38"/>
  <c r="P96" i="38"/>
  <c r="BG99" i="38"/>
  <c r="BH99" i="38"/>
  <c r="BF99" i="38"/>
  <c r="Q117" i="38"/>
  <c r="P117" i="38"/>
  <c r="BF124" i="38"/>
  <c r="BG124" i="38"/>
  <c r="BH124" i="38"/>
  <c r="Q63" i="38"/>
  <c r="P63" i="38"/>
  <c r="BH78" i="38"/>
  <c r="BG78" i="38"/>
  <c r="BF78" i="38"/>
  <c r="P120" i="38"/>
  <c r="Q120" i="38"/>
  <c r="BF123" i="38"/>
  <c r="BH123" i="38"/>
  <c r="BG123" i="38"/>
  <c r="P137" i="38"/>
  <c r="Q137" i="38"/>
  <c r="P144" i="38"/>
  <c r="Q144" i="38"/>
  <c r="BH48" i="38"/>
  <c r="BF48" i="38"/>
  <c r="BG48" i="38"/>
  <c r="P98" i="38"/>
  <c r="Q98" i="38"/>
  <c r="BF101" i="38"/>
  <c r="BH101" i="38"/>
  <c r="BG101" i="38"/>
  <c r="Q143" i="38"/>
  <c r="P143" i="38"/>
  <c r="BH47" i="38"/>
  <c r="BF47" i="38"/>
  <c r="BG47" i="38"/>
  <c r="P97" i="38"/>
  <c r="Q97" i="38"/>
  <c r="BH104" i="38"/>
  <c r="BG104" i="38"/>
  <c r="BF104" i="38"/>
  <c r="P44" i="38"/>
  <c r="Q44" i="38"/>
  <c r="BG58" i="38"/>
  <c r="BH58" i="38"/>
  <c r="BF58" i="38"/>
  <c r="Q100" i="38"/>
  <c r="P100" i="38"/>
  <c r="BH103" i="38"/>
  <c r="BF103" i="38"/>
  <c r="BG103" i="38"/>
  <c r="Q54" i="38"/>
  <c r="P54" i="38"/>
  <c r="BH57" i="38"/>
  <c r="BG57" i="38"/>
  <c r="BF57" i="38"/>
  <c r="P99" i="38"/>
  <c r="Q99" i="38"/>
  <c r="BH82" i="38"/>
  <c r="BG82" i="38"/>
  <c r="BF82" i="38"/>
  <c r="Q124" i="38"/>
  <c r="P124" i="38"/>
  <c r="BF127" i="38"/>
  <c r="BH127" i="38"/>
  <c r="BG127" i="38"/>
  <c r="P78" i="38"/>
  <c r="Q78" i="38"/>
  <c r="BF81" i="38"/>
  <c r="BH81" i="38"/>
  <c r="BG81" i="38"/>
  <c r="Q123" i="38"/>
  <c r="P123" i="38"/>
  <c r="BF138" i="38"/>
  <c r="BH138" i="38"/>
  <c r="BG138" i="38"/>
  <c r="P141" i="38"/>
  <c r="Q141" i="38"/>
  <c r="BH45" i="38"/>
  <c r="BG45" i="38"/>
  <c r="BF45" i="38"/>
  <c r="P87" i="38"/>
  <c r="Q87" i="38"/>
  <c r="BH102" i="38"/>
  <c r="BG102" i="38"/>
  <c r="BF102" i="38"/>
  <c r="Q48" i="38"/>
  <c r="P48" i="38"/>
  <c r="BG51" i="38"/>
  <c r="BH51" i="38"/>
  <c r="BF51" i="38"/>
  <c r="Q101" i="38"/>
  <c r="P101" i="38"/>
  <c r="BF108" i="38"/>
  <c r="BG108" i="38"/>
  <c r="BH108" i="38"/>
  <c r="Q47" i="38"/>
  <c r="P47" i="38"/>
  <c r="BH62" i="38"/>
  <c r="BG62" i="38"/>
  <c r="BF62" i="38"/>
  <c r="Q104" i="38"/>
  <c r="P104" i="38"/>
  <c r="BG107" i="38"/>
  <c r="BH107" i="38"/>
  <c r="BF107" i="38"/>
  <c r="Q58" i="38"/>
  <c r="P58" i="38"/>
  <c r="BG61" i="38"/>
  <c r="BH61" i="38"/>
  <c r="BF61" i="38"/>
  <c r="P103" i="38"/>
  <c r="Q103" i="38"/>
  <c r="BH118" i="38"/>
  <c r="BF118" i="38"/>
  <c r="BG118" i="38"/>
  <c r="Q57" i="38"/>
  <c r="P57" i="38"/>
  <c r="BH64" i="38"/>
  <c r="BF64" i="38"/>
  <c r="BG64" i="38"/>
  <c r="P82" i="38"/>
  <c r="Q82" i="38"/>
  <c r="BH85" i="38"/>
  <c r="BF85" i="38"/>
  <c r="BG85" i="38"/>
  <c r="Q127" i="38"/>
  <c r="P127" i="38"/>
  <c r="BG142" i="38"/>
  <c r="BH142" i="38"/>
  <c r="BF142" i="38"/>
  <c r="P81" i="38"/>
  <c r="Q81" i="38"/>
  <c r="BF88" i="38"/>
  <c r="BG88" i="38"/>
  <c r="BH88" i="38"/>
  <c r="BH87" i="38"/>
  <c r="BF87" i="38"/>
  <c r="BG87" i="38"/>
  <c r="BG106" i="38"/>
  <c r="BH106" i="38"/>
  <c r="BF106" i="38"/>
  <c r="P45" i="38"/>
  <c r="Q45" i="38"/>
  <c r="BH52" i="38"/>
  <c r="BF52" i="38"/>
  <c r="BG52" i="38"/>
  <c r="Q102" i="38"/>
  <c r="P102" i="38"/>
  <c r="BH105" i="38"/>
  <c r="BG105" i="38"/>
  <c r="BF105" i="38"/>
  <c r="BH112" i="38"/>
  <c r="BG112" i="38"/>
  <c r="BF112" i="38"/>
  <c r="P51" i="38"/>
  <c r="Q51" i="38"/>
  <c r="BH66" i="38"/>
  <c r="BG66" i="38"/>
  <c r="BF66" i="38"/>
  <c r="Q108" i="38"/>
  <c r="P108" i="38"/>
  <c r="BH111" i="38"/>
  <c r="BF111" i="38"/>
  <c r="BG111" i="38"/>
  <c r="Q62" i="38"/>
  <c r="P62" i="38"/>
  <c r="BF65" i="38"/>
  <c r="BH65" i="38"/>
  <c r="BG65" i="38"/>
  <c r="P107" i="38"/>
  <c r="Q107" i="38"/>
  <c r="BH122" i="38"/>
  <c r="BG122" i="38"/>
  <c r="BF122" i="38"/>
  <c r="P61" i="38"/>
  <c r="Q61" i="38"/>
  <c r="BH68" i="38"/>
  <c r="BF68" i="38"/>
  <c r="BG68" i="38"/>
  <c r="P118" i="38"/>
  <c r="Q118" i="38"/>
  <c r="BH121" i="38"/>
  <c r="BG121" i="38"/>
  <c r="BF121" i="38"/>
  <c r="P64" i="38"/>
  <c r="Q64" i="38"/>
  <c r="BH67" i="38"/>
  <c r="BG67" i="38"/>
  <c r="BF67" i="38"/>
  <c r="P85" i="38"/>
  <c r="Q85" i="38"/>
  <c r="BH92" i="38"/>
  <c r="BG92" i="38"/>
  <c r="BF92" i="38"/>
  <c r="P142" i="38"/>
  <c r="Q142" i="38"/>
  <c r="BH46" i="38"/>
  <c r="BG46" i="38"/>
  <c r="BF46" i="38"/>
  <c r="P88" i="38"/>
  <c r="Q88" i="38"/>
  <c r="BF91" i="38"/>
  <c r="BH91" i="38"/>
  <c r="BG91" i="38"/>
  <c r="Q138" i="38"/>
  <c r="P138" i="38"/>
  <c r="P106" i="38"/>
  <c r="Q106" i="38"/>
  <c r="BH109" i="38"/>
  <c r="BG109" i="38"/>
  <c r="BF109" i="38"/>
  <c r="P52" i="38"/>
  <c r="Q52" i="38"/>
  <c r="BH55" i="38"/>
  <c r="BG55" i="38"/>
  <c r="BF55" i="38"/>
  <c r="Q105" i="38"/>
  <c r="P105" i="38"/>
  <c r="P112" i="38"/>
  <c r="Q112" i="38"/>
  <c r="BG115" i="38"/>
  <c r="BH115" i="38"/>
  <c r="BF115" i="38"/>
  <c r="P66" i="38"/>
  <c r="Q66" i="38"/>
  <c r="BF69" i="38"/>
  <c r="BH69" i="38"/>
  <c r="BG69" i="38"/>
  <c r="Q111" i="38"/>
  <c r="P111" i="38"/>
  <c r="BH126" i="38"/>
  <c r="BF126" i="38"/>
  <c r="BG126" i="38"/>
  <c r="P65" i="38"/>
  <c r="Q65" i="38"/>
  <c r="BH72" i="38"/>
  <c r="BG72" i="38"/>
  <c r="BF72" i="38"/>
  <c r="Q122" i="38"/>
  <c r="P122" i="38"/>
  <c r="BH125" i="38"/>
  <c r="BG125" i="38"/>
  <c r="BF125" i="38"/>
  <c r="P68" i="38"/>
  <c r="Q68" i="38"/>
  <c r="BG71" i="38"/>
  <c r="BH71" i="38"/>
  <c r="BF71" i="38"/>
  <c r="P121" i="38"/>
  <c r="Q121" i="38"/>
  <c r="BF128" i="38"/>
  <c r="BH128" i="38"/>
  <c r="BG128" i="38"/>
  <c r="Q67" i="38"/>
  <c r="P67" i="38"/>
  <c r="BG50" i="38"/>
  <c r="BH50" i="38"/>
  <c r="BF50" i="38"/>
  <c r="P92" i="38"/>
  <c r="Q92" i="38"/>
  <c r="BH95" i="38"/>
  <c r="BF95" i="38"/>
  <c r="BG95" i="38"/>
  <c r="Q46" i="38"/>
  <c r="P46" i="38"/>
  <c r="BH49" i="38"/>
  <c r="BG49" i="38"/>
  <c r="BF49" i="38"/>
  <c r="P91" i="38"/>
  <c r="Q91" i="38"/>
  <c r="Q109" i="38"/>
  <c r="P109" i="38"/>
  <c r="BG116" i="38"/>
  <c r="BH116" i="38"/>
  <c r="BF116" i="38"/>
  <c r="Q55" i="38"/>
  <c r="P55" i="38"/>
  <c r="BH70" i="38"/>
  <c r="BG70" i="38"/>
  <c r="BF70" i="38"/>
  <c r="Q115" i="38"/>
  <c r="P115" i="38"/>
  <c r="BF130" i="38"/>
  <c r="BH130" i="38"/>
  <c r="BG130" i="38"/>
  <c r="P69" i="38"/>
  <c r="Q69" i="38"/>
  <c r="BF76" i="38"/>
  <c r="BH76" i="38"/>
  <c r="BG76" i="38"/>
  <c r="P126" i="38"/>
  <c r="Q126" i="38"/>
  <c r="BH129" i="38"/>
  <c r="BG129" i="38"/>
  <c r="BF129" i="38"/>
  <c r="P72" i="38"/>
  <c r="Q72" i="38"/>
  <c r="BH75" i="38"/>
  <c r="BF75" i="38"/>
  <c r="BG75" i="38"/>
  <c r="Q125" i="38"/>
  <c r="P125" i="38"/>
  <c r="BH132" i="38"/>
  <c r="BG132" i="38"/>
  <c r="BF132" i="38"/>
  <c r="P71" i="38"/>
  <c r="Q71" i="38"/>
  <c r="BH86" i="38"/>
  <c r="BF86" i="38"/>
  <c r="BG86" i="38"/>
  <c r="Q128" i="38"/>
  <c r="P128" i="38"/>
  <c r="BH131" i="38"/>
  <c r="BF131" i="38"/>
  <c r="BG131" i="38"/>
  <c r="Q50" i="38"/>
  <c r="P50" i="38"/>
  <c r="BH53" i="38"/>
  <c r="BF53" i="38"/>
  <c r="BG53" i="38"/>
  <c r="Q95" i="38"/>
  <c r="P95" i="38"/>
  <c r="BH110" i="38"/>
  <c r="BG110" i="38"/>
  <c r="BF110" i="38"/>
  <c r="P49" i="38"/>
  <c r="Q49" i="38"/>
  <c r="BF56" i="38"/>
  <c r="BG56" i="38"/>
  <c r="BH56" i="38"/>
  <c r="Q84" i="38"/>
  <c r="P84" i="38"/>
  <c r="BH74" i="38"/>
  <c r="BF74" i="38"/>
  <c r="BG74" i="38"/>
  <c r="Q116" i="38"/>
  <c r="P116" i="38"/>
  <c r="BG119" i="38"/>
  <c r="BF119" i="38"/>
  <c r="BH119" i="38"/>
  <c r="P70" i="38"/>
  <c r="Q70" i="38"/>
  <c r="BG73" i="38"/>
  <c r="BF73" i="38"/>
  <c r="BH73" i="38"/>
  <c r="BH80" i="38"/>
  <c r="BG80" i="38"/>
  <c r="BF80" i="38"/>
  <c r="Q130" i="38"/>
  <c r="P130" i="38"/>
  <c r="BG133" i="38"/>
  <c r="BH133" i="38"/>
  <c r="BF133" i="38"/>
  <c r="Q76" i="38"/>
  <c r="P76" i="38"/>
  <c r="BH79" i="38"/>
  <c r="BG79" i="38"/>
  <c r="BF79" i="38"/>
  <c r="P129" i="38"/>
  <c r="Q129" i="38"/>
  <c r="BF136" i="38"/>
  <c r="BH136" i="38"/>
  <c r="BG136" i="38"/>
  <c r="P75" i="38"/>
  <c r="Q75" i="38"/>
  <c r="BG90" i="38"/>
  <c r="BH90" i="38"/>
  <c r="BF90" i="38"/>
  <c r="P132" i="38"/>
  <c r="Q132" i="38"/>
  <c r="BH135" i="38"/>
  <c r="BF135" i="38"/>
  <c r="BG135" i="38"/>
  <c r="P86" i="38"/>
  <c r="Q86" i="38"/>
  <c r="BG89" i="38"/>
  <c r="BH89" i="38"/>
  <c r="BF89" i="38"/>
  <c r="Q131" i="38"/>
  <c r="P131" i="38"/>
  <c r="BF114" i="38"/>
  <c r="BH114" i="38"/>
  <c r="BG114" i="38"/>
  <c r="P53" i="38"/>
  <c r="Q53" i="38"/>
  <c r="BH60" i="38"/>
  <c r="BF60" i="38"/>
  <c r="BG60" i="38"/>
  <c r="Q110" i="38"/>
  <c r="P110" i="38"/>
  <c r="BH113" i="38"/>
  <c r="BG113" i="38"/>
  <c r="BF113" i="38"/>
  <c r="P56" i="38"/>
  <c r="Q56" i="38"/>
  <c r="BG59" i="38"/>
  <c r="BH59" i="38"/>
  <c r="BF59" i="38"/>
  <c r="BH84" i="38"/>
  <c r="BG84" i="38"/>
  <c r="BF84" i="38"/>
  <c r="BG141" i="38"/>
  <c r="BH141" i="38"/>
  <c r="BF141" i="38"/>
  <c r="P74" i="38"/>
  <c r="Q74" i="38"/>
  <c r="BH77" i="38"/>
  <c r="BG77" i="38"/>
  <c r="BF77" i="38"/>
  <c r="P119" i="38"/>
  <c r="Q119" i="38"/>
  <c r="BH134" i="38"/>
  <c r="BG134" i="38"/>
  <c r="BF134" i="38"/>
  <c r="Q73" i="38"/>
  <c r="P73" i="38"/>
  <c r="P80" i="38"/>
  <c r="Q80" i="38"/>
  <c r="BG83" i="38"/>
  <c r="BH83" i="38"/>
  <c r="BF83" i="38"/>
  <c r="Q133" i="38"/>
  <c r="P133" i="38"/>
  <c r="BG140" i="38"/>
  <c r="BH140" i="38"/>
  <c r="BF140" i="38"/>
  <c r="Q79" i="38"/>
  <c r="P79" i="38"/>
  <c r="BH94" i="38"/>
  <c r="BF94" i="38"/>
  <c r="BG94" i="38"/>
  <c r="P136" i="38"/>
  <c r="Q136" i="38"/>
  <c r="BG139" i="38"/>
  <c r="BH139" i="38"/>
  <c r="BF139" i="38"/>
  <c r="Q90" i="38"/>
  <c r="P90" i="38"/>
  <c r="BG93" i="38"/>
  <c r="BH93" i="38"/>
  <c r="BF93" i="38"/>
  <c r="P135" i="38"/>
  <c r="Q135" i="38"/>
  <c r="Q89" i="38"/>
  <c r="P89" i="38"/>
  <c r="BH96" i="38"/>
  <c r="BF96" i="38"/>
  <c r="BG96" i="38"/>
  <c r="Q114" i="38"/>
  <c r="P114" i="38"/>
  <c r="BG117" i="38"/>
  <c r="BF117" i="38"/>
  <c r="BH117" i="38"/>
  <c r="Q60" i="38"/>
  <c r="P60" i="38"/>
  <c r="BH63" i="38"/>
  <c r="BG63" i="38"/>
  <c r="BF63" i="38"/>
  <c r="Q113" i="38"/>
  <c r="P113" i="38"/>
  <c r="BG120" i="38"/>
  <c r="BH120" i="38"/>
  <c r="BF120" i="38"/>
  <c r="Q59" i="38"/>
  <c r="P59" i="38"/>
  <c r="AY45" i="15"/>
  <c r="AZ45" i="15"/>
  <c r="BA45" i="15"/>
  <c r="AW45" i="15"/>
  <c r="AX45" i="15"/>
  <c r="AU45" i="15"/>
  <c r="AV45" i="15"/>
  <c r="AJ45" i="15"/>
  <c r="AK45" i="15"/>
  <c r="AL45" i="15"/>
  <c r="AF45" i="15"/>
  <c r="AG45" i="15"/>
  <c r="AH45" i="15"/>
  <c r="AI45" i="15"/>
  <c r="E40" i="15"/>
  <c r="E39" i="15"/>
  <c r="U45" i="15"/>
  <c r="V45" i="15"/>
  <c r="O46" i="15"/>
  <c r="N46" i="15"/>
  <c r="E36" i="15"/>
  <c r="D36" i="15"/>
  <c r="C36" i="15"/>
  <c r="B36" i="15"/>
  <c r="E35" i="15"/>
  <c r="D35" i="15"/>
  <c r="C35" i="15"/>
  <c r="B35" i="15"/>
  <c r="A35" i="15"/>
  <c r="E34" i="15"/>
  <c r="D34" i="15"/>
  <c r="C34" i="15"/>
  <c r="B34" i="15"/>
  <c r="E33" i="15"/>
  <c r="D33" i="15"/>
  <c r="C33" i="15"/>
  <c r="B33" i="15"/>
  <c r="E32" i="15"/>
  <c r="D32" i="15"/>
  <c r="C32" i="15"/>
  <c r="B32" i="15"/>
  <c r="A32" i="15"/>
  <c r="E31" i="15"/>
  <c r="D31" i="15"/>
  <c r="C31" i="15"/>
  <c r="B31" i="15"/>
  <c r="E30" i="15"/>
  <c r="D30" i="15"/>
  <c r="C30" i="15"/>
  <c r="B30" i="15"/>
  <c r="E29" i="15"/>
  <c r="D29" i="15"/>
  <c r="C29" i="15"/>
  <c r="B29" i="15"/>
  <c r="E28" i="15"/>
  <c r="D28" i="15"/>
  <c r="C28" i="15"/>
  <c r="B28" i="15"/>
  <c r="E27" i="15"/>
  <c r="D27" i="15"/>
  <c r="C27" i="15"/>
  <c r="B27" i="15"/>
  <c r="A27" i="15"/>
  <c r="E26" i="15"/>
  <c r="D26" i="15"/>
  <c r="C26" i="15"/>
  <c r="B26" i="15"/>
  <c r="E25" i="15"/>
  <c r="D25" i="15"/>
  <c r="C25" i="15"/>
  <c r="B25" i="15"/>
  <c r="A25" i="15"/>
  <c r="E24" i="15"/>
  <c r="D24" i="15"/>
  <c r="C24" i="15"/>
  <c r="B24" i="15"/>
  <c r="E23" i="15"/>
  <c r="D23" i="15"/>
  <c r="C23" i="15"/>
  <c r="B23" i="15"/>
  <c r="D22" i="15"/>
  <c r="C22" i="15"/>
  <c r="B22" i="15"/>
  <c r="D21" i="15"/>
  <c r="C21" i="15"/>
  <c r="B21" i="15"/>
  <c r="A21" i="15"/>
  <c r="E18" i="15"/>
  <c r="D18" i="15"/>
  <c r="C18" i="15"/>
  <c r="B18" i="15"/>
  <c r="B17" i="15"/>
  <c r="A17" i="15"/>
  <c r="D13" i="15"/>
  <c r="C13" i="15"/>
  <c r="B13" i="15"/>
  <c r="D11" i="15"/>
  <c r="C11" i="15"/>
  <c r="B11" i="15"/>
  <c r="BI63" i="38" l="1"/>
  <c r="BN63" i="38" s="1"/>
  <c r="BS63" i="38"/>
  <c r="BI93" i="38"/>
  <c r="BN93" i="38" s="1"/>
  <c r="BS93" i="38"/>
  <c r="BI133" i="38"/>
  <c r="BU133" i="38" s="1"/>
  <c r="BS133" i="38"/>
  <c r="BI92" i="38"/>
  <c r="BN92" i="38" s="1"/>
  <c r="BO92" i="38" s="1"/>
  <c r="BS92" i="38"/>
  <c r="BI65" i="38"/>
  <c r="BN65" i="38" s="1"/>
  <c r="BO65" i="38" s="1"/>
  <c r="BS65" i="38"/>
  <c r="BI112" i="38"/>
  <c r="BU112" i="38" s="1"/>
  <c r="BS112" i="38"/>
  <c r="BS52" i="38"/>
  <c r="BI52" i="38"/>
  <c r="BN52" i="38" s="1"/>
  <c r="BO52" i="38" s="1"/>
  <c r="BI87" i="38"/>
  <c r="BU87" i="38" s="1"/>
  <c r="BS87" i="38"/>
  <c r="BI107" i="38"/>
  <c r="BU107" i="38" s="1"/>
  <c r="BS107" i="38"/>
  <c r="BS127" i="38"/>
  <c r="BI127" i="38"/>
  <c r="BN127" i="38" s="1"/>
  <c r="BI103" i="38"/>
  <c r="BU103" i="38" s="1"/>
  <c r="BS103" i="38"/>
  <c r="BS124" i="38"/>
  <c r="BI124" i="38"/>
  <c r="BN124" i="38" s="1"/>
  <c r="BO124" i="38" s="1"/>
  <c r="BS77" i="38"/>
  <c r="BI77" i="38"/>
  <c r="BU77" i="38" s="1"/>
  <c r="BS84" i="38"/>
  <c r="BI84" i="38"/>
  <c r="BN84" i="38" s="1"/>
  <c r="BO84" i="38" s="1"/>
  <c r="BI113" i="38"/>
  <c r="BN113" i="38" s="1"/>
  <c r="BS113" i="38"/>
  <c r="BT113" i="38" s="1"/>
  <c r="BI90" i="38"/>
  <c r="BU90" i="38" s="1"/>
  <c r="BS90" i="38"/>
  <c r="BI132" i="38"/>
  <c r="BN132" i="38" s="1"/>
  <c r="BO132" i="38" s="1"/>
  <c r="BS132" i="38"/>
  <c r="BI71" i="38"/>
  <c r="BU71" i="38" s="1"/>
  <c r="BS71" i="38"/>
  <c r="BN71" i="38"/>
  <c r="BO71" i="38" s="1"/>
  <c r="BS126" i="38"/>
  <c r="BI126" i="38"/>
  <c r="BU126" i="38" s="1"/>
  <c r="BI88" i="38"/>
  <c r="BN88" i="38" s="1"/>
  <c r="BS88" i="38"/>
  <c r="BI108" i="38"/>
  <c r="BU108" i="38" s="1"/>
  <c r="BS108" i="38"/>
  <c r="BU127" i="38"/>
  <c r="BS48" i="38"/>
  <c r="BI48" i="38"/>
  <c r="BN48" i="38" s="1"/>
  <c r="BI97" i="38"/>
  <c r="BN97" i="38" s="1"/>
  <c r="BS97" i="38"/>
  <c r="BI98" i="38"/>
  <c r="BU98" i="38" s="1"/>
  <c r="BS98" i="38"/>
  <c r="BI120" i="38"/>
  <c r="BU120" i="38" s="1"/>
  <c r="BS120" i="38"/>
  <c r="BI96" i="38"/>
  <c r="BU96" i="38" s="1"/>
  <c r="BS96" i="38"/>
  <c r="BI114" i="38"/>
  <c r="BU114" i="38" s="1"/>
  <c r="BS114" i="38"/>
  <c r="BI53" i="38"/>
  <c r="BU53" i="38" s="1"/>
  <c r="BS53" i="38"/>
  <c r="BS70" i="38"/>
  <c r="BI70" i="38"/>
  <c r="BS115" i="38"/>
  <c r="BI115" i="38"/>
  <c r="BU115" i="38" s="1"/>
  <c r="BI55" i="38"/>
  <c r="BN55" i="38" s="1"/>
  <c r="BO55" i="38" s="1"/>
  <c r="BS55" i="38"/>
  <c r="BI121" i="38"/>
  <c r="BU121" i="38" s="1"/>
  <c r="BS121" i="38"/>
  <c r="BI64" i="38"/>
  <c r="BU64" i="38" s="1"/>
  <c r="BS64" i="38"/>
  <c r="BI45" i="38"/>
  <c r="BN45" i="38" s="1"/>
  <c r="BS45" i="38"/>
  <c r="BI104" i="38"/>
  <c r="BS104" i="38"/>
  <c r="BI117" i="38"/>
  <c r="BN117" i="38" s="1"/>
  <c r="BS117" i="38"/>
  <c r="BI94" i="38"/>
  <c r="BU94" i="38" s="1"/>
  <c r="BS94" i="38"/>
  <c r="BS59" i="38"/>
  <c r="BI59" i="38"/>
  <c r="BU59" i="38" s="1"/>
  <c r="BS74" i="38"/>
  <c r="BI74" i="38"/>
  <c r="BN74" i="38" s="1"/>
  <c r="BS129" i="38"/>
  <c r="BI129" i="38"/>
  <c r="BU129" i="38" s="1"/>
  <c r="BS95" i="38"/>
  <c r="BI95" i="38"/>
  <c r="BN95" i="38" s="1"/>
  <c r="BI46" i="38"/>
  <c r="BN46" i="38" s="1"/>
  <c r="BS46" i="38"/>
  <c r="BI66" i="38"/>
  <c r="BS66" i="38"/>
  <c r="BI105" i="38"/>
  <c r="BS105" i="38"/>
  <c r="BS61" i="38"/>
  <c r="BI61" i="38"/>
  <c r="BN61" i="38" s="1"/>
  <c r="BI81" i="38"/>
  <c r="BU81" i="38" s="1"/>
  <c r="BS81" i="38"/>
  <c r="BI57" i="38"/>
  <c r="BU57" i="38" s="1"/>
  <c r="BS57" i="38"/>
  <c r="BI101" i="38"/>
  <c r="BU101" i="38" s="1"/>
  <c r="BS101" i="38"/>
  <c r="BI137" i="38"/>
  <c r="BN137" i="38" s="1"/>
  <c r="BS137" i="38"/>
  <c r="BI119" i="38"/>
  <c r="BN119" i="38" s="1"/>
  <c r="BS119" i="38"/>
  <c r="BI130" i="38"/>
  <c r="BN130" i="38" s="1"/>
  <c r="BO130" i="38" s="1"/>
  <c r="BS130" i="38"/>
  <c r="BI128" i="38"/>
  <c r="BN128" i="38" s="1"/>
  <c r="BS128" i="38"/>
  <c r="BI72" i="38"/>
  <c r="BN72" i="38" s="1"/>
  <c r="BS72" i="38"/>
  <c r="BS122" i="38"/>
  <c r="BI122" i="38"/>
  <c r="BN122" i="38" s="1"/>
  <c r="BI106" i="38"/>
  <c r="BN106" i="38" s="1"/>
  <c r="BO106" i="38" s="1"/>
  <c r="BS106" i="38"/>
  <c r="BS58" i="38"/>
  <c r="BI58" i="38"/>
  <c r="BN58" i="38" s="1"/>
  <c r="BS54" i="38"/>
  <c r="BI54" i="38"/>
  <c r="BU54" i="38" s="1"/>
  <c r="BI44" i="38"/>
  <c r="BT44" i="38" s="1"/>
  <c r="BI83" i="38"/>
  <c r="BU83" i="38" s="1"/>
  <c r="BS83" i="38"/>
  <c r="BS79" i="38"/>
  <c r="BI79" i="38"/>
  <c r="BU79" i="38" s="1"/>
  <c r="BS139" i="38"/>
  <c r="BI139" i="38"/>
  <c r="BU139" i="38" s="1"/>
  <c r="BS141" i="38"/>
  <c r="BI141" i="38"/>
  <c r="BN141" i="38" s="1"/>
  <c r="BO141" i="38" s="1"/>
  <c r="BS135" i="38"/>
  <c r="BI135" i="38"/>
  <c r="BN135" i="38" s="1"/>
  <c r="BO135" i="38" s="1"/>
  <c r="BS110" i="38"/>
  <c r="BI110" i="38"/>
  <c r="BU110" i="38" s="1"/>
  <c r="BI69" i="38"/>
  <c r="BU69" i="38" s="1"/>
  <c r="BS69" i="38"/>
  <c r="BI91" i="38"/>
  <c r="BU91" i="38" s="1"/>
  <c r="BS91" i="38"/>
  <c r="BI67" i="38"/>
  <c r="BU67" i="38" s="1"/>
  <c r="BS67" i="38"/>
  <c r="BI85" i="38"/>
  <c r="BN85" i="38" s="1"/>
  <c r="BS85" i="38"/>
  <c r="BI102" i="38"/>
  <c r="BN102" i="38" s="1"/>
  <c r="BS102" i="38"/>
  <c r="BI78" i="38"/>
  <c r="BN78" i="38" s="1"/>
  <c r="BS78" i="38"/>
  <c r="BI134" i="38"/>
  <c r="BN134" i="38" s="1"/>
  <c r="BS134" i="38"/>
  <c r="BI86" i="38"/>
  <c r="BN86" i="38" s="1"/>
  <c r="BS86" i="38"/>
  <c r="BS60" i="38"/>
  <c r="BI60" i="38"/>
  <c r="BU60" i="38" s="1"/>
  <c r="BI136" i="38"/>
  <c r="BN136" i="38" s="1"/>
  <c r="BO136" i="38" s="1"/>
  <c r="BS136" i="38"/>
  <c r="BI80" i="38"/>
  <c r="BN80" i="38" s="1"/>
  <c r="BO80" i="38" s="1"/>
  <c r="BS80" i="38"/>
  <c r="BI56" i="38"/>
  <c r="BN56" i="38" s="1"/>
  <c r="BO56" i="38" s="1"/>
  <c r="BS56" i="38"/>
  <c r="BS75" i="38"/>
  <c r="BI75" i="38"/>
  <c r="BS116" i="38"/>
  <c r="BI116" i="38"/>
  <c r="BI49" i="38"/>
  <c r="BN49" i="38" s="1"/>
  <c r="BS49" i="38"/>
  <c r="BS111" i="38"/>
  <c r="BI111" i="38"/>
  <c r="BU111" i="38" s="1"/>
  <c r="BI62" i="38"/>
  <c r="BN62" i="38" s="1"/>
  <c r="BS62" i="38"/>
  <c r="BI138" i="38"/>
  <c r="BN138" i="38" s="1"/>
  <c r="BO138" i="38" s="1"/>
  <c r="BS138" i="38"/>
  <c r="BI82" i="38"/>
  <c r="BS82" i="38"/>
  <c r="BS99" i="38"/>
  <c r="BI99" i="38"/>
  <c r="BI100" i="38"/>
  <c r="BN100" i="38" s="1"/>
  <c r="BS100" i="38"/>
  <c r="BI143" i="38"/>
  <c r="BN143" i="38" s="1"/>
  <c r="BS143" i="38"/>
  <c r="BI140" i="38"/>
  <c r="BN140" i="38" s="1"/>
  <c r="BS140" i="38"/>
  <c r="BU113" i="38"/>
  <c r="BO113" i="38"/>
  <c r="BI89" i="38"/>
  <c r="BU89" i="38" s="1"/>
  <c r="BS89" i="38"/>
  <c r="BI73" i="38"/>
  <c r="BN73" i="38" s="1"/>
  <c r="BO73" i="38" s="1"/>
  <c r="BS73" i="38"/>
  <c r="BS131" i="38"/>
  <c r="BI131" i="38"/>
  <c r="BN131" i="38" s="1"/>
  <c r="BS76" i="38"/>
  <c r="BI76" i="38"/>
  <c r="BU76" i="38" s="1"/>
  <c r="BI50" i="38"/>
  <c r="BN50" i="38" s="1"/>
  <c r="BO50" i="38" s="1"/>
  <c r="BS50" i="38"/>
  <c r="BI125" i="38"/>
  <c r="BU125" i="38" s="1"/>
  <c r="BS125" i="38"/>
  <c r="BI109" i="38"/>
  <c r="BU109" i="38" s="1"/>
  <c r="BS109" i="38"/>
  <c r="BS68" i="38"/>
  <c r="BI68" i="38"/>
  <c r="BN68" i="38" s="1"/>
  <c r="BO68" i="38" s="1"/>
  <c r="BI142" i="38"/>
  <c r="BU142" i="38" s="1"/>
  <c r="BS142" i="38"/>
  <c r="BI118" i="38"/>
  <c r="BU118" i="38" s="1"/>
  <c r="BS118" i="38"/>
  <c r="BS51" i="38"/>
  <c r="BI51" i="38"/>
  <c r="BN51" i="38" s="1"/>
  <c r="BI47" i="38"/>
  <c r="BN47" i="38" s="1"/>
  <c r="BS47" i="38"/>
  <c r="BI123" i="38"/>
  <c r="BU123" i="38" s="1"/>
  <c r="BS123" i="38"/>
  <c r="BI144" i="38"/>
  <c r="BS144" i="38"/>
  <c r="B13" i="14"/>
  <c r="C13" i="14"/>
  <c r="D13" i="14"/>
  <c r="BU52" i="38" l="1"/>
  <c r="BT132" i="38"/>
  <c r="BN77" i="38"/>
  <c r="BO77" i="38" s="1"/>
  <c r="BT65" i="38"/>
  <c r="BU93" i="38"/>
  <c r="BO88" i="38"/>
  <c r="BU88" i="38"/>
  <c r="BT77" i="38"/>
  <c r="BT88" i="38"/>
  <c r="BT52" i="38"/>
  <c r="BU136" i="38"/>
  <c r="BO63" i="38"/>
  <c r="BU97" i="38"/>
  <c r="BU63" i="38"/>
  <c r="BO97" i="38"/>
  <c r="BT133" i="38"/>
  <c r="BT101" i="38"/>
  <c r="BU84" i="38"/>
  <c r="BU92" i="38"/>
  <c r="BU119" i="38"/>
  <c r="BO119" i="38"/>
  <c r="BT57" i="38"/>
  <c r="BU124" i="38"/>
  <c r="BT69" i="38"/>
  <c r="BN123" i="38"/>
  <c r="BO123" i="38" s="1"/>
  <c r="BN121" i="38"/>
  <c r="BO121" i="38" s="1"/>
  <c r="BO140" i="38"/>
  <c r="BU117" i="38"/>
  <c r="BT92" i="38"/>
  <c r="BT105" i="38"/>
  <c r="BT70" i="38"/>
  <c r="BT98" i="38"/>
  <c r="BT66" i="38"/>
  <c r="BN53" i="38"/>
  <c r="BO53" i="38" s="1"/>
  <c r="BO93" i="38"/>
  <c r="BN83" i="38"/>
  <c r="BO83" i="38" s="1"/>
  <c r="BT106" i="38"/>
  <c r="BN101" i="38"/>
  <c r="BO101" i="38" s="1"/>
  <c r="BT114" i="38"/>
  <c r="BT93" i="38"/>
  <c r="BT82" i="38"/>
  <c r="BT97" i="38"/>
  <c r="BT63" i="38"/>
  <c r="BT124" i="38"/>
  <c r="BT99" i="38"/>
  <c r="BT75" i="38"/>
  <c r="BT136" i="38"/>
  <c r="BN110" i="38"/>
  <c r="BO110" i="38" s="1"/>
  <c r="BN94" i="38"/>
  <c r="BO94" i="38" s="1"/>
  <c r="BN125" i="38"/>
  <c r="BO125" i="38" s="1"/>
  <c r="BT125" i="38"/>
  <c r="BU131" i="38"/>
  <c r="BN60" i="38"/>
  <c r="BO60" i="38" s="1"/>
  <c r="BU61" i="38"/>
  <c r="BN90" i="38"/>
  <c r="BO90" i="38" s="1"/>
  <c r="BT107" i="38"/>
  <c r="BT135" i="38"/>
  <c r="BT144" i="38"/>
  <c r="BT138" i="38"/>
  <c r="BO95" i="38"/>
  <c r="BU132" i="38"/>
  <c r="BO117" i="38"/>
  <c r="BN59" i="38"/>
  <c r="BO59" i="38" s="1"/>
  <c r="BT54" i="38"/>
  <c r="BO61" i="38"/>
  <c r="BN126" i="38"/>
  <c r="BO126" i="38" s="1"/>
  <c r="BT87" i="38"/>
  <c r="BT112" i="38"/>
  <c r="BN144" i="38"/>
  <c r="BO144" i="38" s="1"/>
  <c r="BT96" i="38"/>
  <c r="BO47" i="38"/>
  <c r="BT60" i="38"/>
  <c r="BO85" i="38"/>
  <c r="BN81" i="38"/>
  <c r="BO81" i="38" s="1"/>
  <c r="BT47" i="38"/>
  <c r="BT116" i="38"/>
  <c r="BT80" i="38"/>
  <c r="BU140" i="38"/>
  <c r="BN67" i="38"/>
  <c r="BO67" i="38" s="1"/>
  <c r="BT130" i="38"/>
  <c r="BT85" i="38"/>
  <c r="BT59" i="38"/>
  <c r="BU72" i="38"/>
  <c r="BN114" i="38"/>
  <c r="BO114" i="38" s="1"/>
  <c r="BU137" i="38"/>
  <c r="BN107" i="38"/>
  <c r="BO107" i="38" s="1"/>
  <c r="BU68" i="38"/>
  <c r="BT103" i="38"/>
  <c r="BT68" i="38"/>
  <c r="BN75" i="38"/>
  <c r="BO75" i="38" s="1"/>
  <c r="BT78" i="38"/>
  <c r="BN54" i="38"/>
  <c r="BO54" i="38" s="1"/>
  <c r="BT108" i="38"/>
  <c r="BN70" i="38"/>
  <c r="BO70" i="38" s="1"/>
  <c r="BO48" i="38"/>
  <c r="BN142" i="38"/>
  <c r="BO142" i="38" s="1"/>
  <c r="BU99" i="38"/>
  <c r="BN109" i="38"/>
  <c r="BO109" i="38" s="1"/>
  <c r="BN91" i="38"/>
  <c r="BO91" i="38" s="1"/>
  <c r="BN96" i="38"/>
  <c r="BO96" i="38" s="1"/>
  <c r="BN103" i="38"/>
  <c r="BO103" i="38" s="1"/>
  <c r="BN87" i="38"/>
  <c r="BO87" i="38" s="1"/>
  <c r="BU138" i="38"/>
  <c r="BT84" i="38"/>
  <c r="BU135" i="38"/>
  <c r="BN99" i="38"/>
  <c r="BO99" i="38" s="1"/>
  <c r="BT91" i="38"/>
  <c r="BT117" i="38"/>
  <c r="BU65" i="38"/>
  <c r="BN82" i="38"/>
  <c r="BO82" i="38" s="1"/>
  <c r="BT50" i="38"/>
  <c r="BT140" i="38"/>
  <c r="BU130" i="38"/>
  <c r="BT119" i="38"/>
  <c r="BU141" i="38"/>
  <c r="BN44" i="38"/>
  <c r="BO44" i="38" s="1"/>
  <c r="BU85" i="38"/>
  <c r="BN66" i="38"/>
  <c r="BO66" i="38" s="1"/>
  <c r="BN129" i="38"/>
  <c r="BO129" i="38" s="1"/>
  <c r="BT61" i="38"/>
  <c r="BU122" i="38"/>
  <c r="BT79" i="38"/>
  <c r="BT134" i="38"/>
  <c r="BT137" i="38"/>
  <c r="BU66" i="38"/>
  <c r="BT53" i="38"/>
  <c r="BT104" i="38"/>
  <c r="BU45" i="38"/>
  <c r="BT71" i="38"/>
  <c r="BN133" i="38"/>
  <c r="BO133" i="38" s="1"/>
  <c r="BU50" i="38"/>
  <c r="BN139" i="38"/>
  <c r="BO139" i="38" s="1"/>
  <c r="BO58" i="38"/>
  <c r="BT72" i="38"/>
  <c r="BT94" i="38"/>
  <c r="BO137" i="38"/>
  <c r="BT64" i="38"/>
  <c r="BU104" i="38"/>
  <c r="BO45" i="38"/>
  <c r="BT121" i="38"/>
  <c r="BU70" i="38"/>
  <c r="BT118" i="38"/>
  <c r="BU100" i="38"/>
  <c r="BU82" i="38"/>
  <c r="BU58" i="38"/>
  <c r="BO102" i="38"/>
  <c r="BN118" i="38"/>
  <c r="BO118" i="38" s="1"/>
  <c r="BN89" i="38"/>
  <c r="BO89" i="38" s="1"/>
  <c r="BO131" i="38"/>
  <c r="BT100" i="38"/>
  <c r="BT128" i="38"/>
  <c r="BU75" i="38"/>
  <c r="BU49" i="38"/>
  <c r="BU80" i="38"/>
  <c r="BO78" i="38"/>
  <c r="BT58" i="38"/>
  <c r="BT102" i="38"/>
  <c r="BT67" i="38"/>
  <c r="BO86" i="38"/>
  <c r="BN104" i="38"/>
  <c r="BO104" i="38" s="1"/>
  <c r="BN64" i="38"/>
  <c r="BO64" i="38" s="1"/>
  <c r="BO72" i="38"/>
  <c r="BN98" i="38"/>
  <c r="BO98" i="38" s="1"/>
  <c r="BO127" i="38"/>
  <c r="BT46" i="38"/>
  <c r="BT123" i="38"/>
  <c r="BN112" i="38"/>
  <c r="BO112" i="38" s="1"/>
  <c r="BT76" i="38"/>
  <c r="BT90" i="38"/>
  <c r="BT142" i="38"/>
  <c r="BN116" i="38"/>
  <c r="BO116" i="38" s="1"/>
  <c r="BT131" i="38"/>
  <c r="BT89" i="38"/>
  <c r="BO100" i="38"/>
  <c r="BT109" i="38"/>
  <c r="BU128" i="38"/>
  <c r="BN79" i="38"/>
  <c r="BO79" i="38" s="1"/>
  <c r="BT139" i="38"/>
  <c r="BT81" i="38"/>
  <c r="BT49" i="38"/>
  <c r="BU78" i="38"/>
  <c r="BN57" i="38"/>
  <c r="BO57" i="38" s="1"/>
  <c r="BU102" i="38"/>
  <c r="BU106" i="38"/>
  <c r="BU86" i="38"/>
  <c r="BU44" i="38"/>
  <c r="BT95" i="38"/>
  <c r="BT127" i="38"/>
  <c r="BU105" i="38"/>
  <c r="BU46" i="38"/>
  <c r="BT48" i="38"/>
  <c r="BU56" i="38"/>
  <c r="BT51" i="38"/>
  <c r="BT111" i="38"/>
  <c r="BN69" i="38"/>
  <c r="BO69" i="38" s="1"/>
  <c r="BO128" i="38"/>
  <c r="BT143" i="38"/>
  <c r="BU62" i="38"/>
  <c r="BO49" i="38"/>
  <c r="BN105" i="38"/>
  <c r="BO105" i="38" s="1"/>
  <c r="BT86" i="38"/>
  <c r="BM40" i="38"/>
  <c r="BU74" i="38"/>
  <c r="BN120" i="38"/>
  <c r="BO120" i="38" s="1"/>
  <c r="BO46" i="38"/>
  <c r="BT129" i="38"/>
  <c r="BT120" i="38"/>
  <c r="BT55" i="38"/>
  <c r="BT56" i="38"/>
  <c r="BN76" i="38"/>
  <c r="BO76" i="38" s="1"/>
  <c r="BU47" i="38"/>
  <c r="BO51" i="38"/>
  <c r="BN111" i="38"/>
  <c r="BO111" i="38" s="1"/>
  <c r="BU116" i="38"/>
  <c r="BO143" i="38"/>
  <c r="BT62" i="38"/>
  <c r="BT110" i="38"/>
  <c r="BT83" i="38"/>
  <c r="BO122" i="38"/>
  <c r="BN115" i="38"/>
  <c r="BO115" i="38" s="1"/>
  <c r="BU95" i="38"/>
  <c r="BT74" i="38"/>
  <c r="BU134" i="38"/>
  <c r="BN108" i="38"/>
  <c r="BO108" i="38" s="1"/>
  <c r="BT115" i="38"/>
  <c r="BU144" i="38"/>
  <c r="BU48" i="38"/>
  <c r="BU55" i="38"/>
  <c r="BU73" i="38"/>
  <c r="BU51" i="38"/>
  <c r="BT141" i="38"/>
  <c r="BU143" i="38"/>
  <c r="BO62" i="38"/>
  <c r="BT122" i="38"/>
  <c r="BO74" i="38"/>
  <c r="BO134" i="38"/>
  <c r="BT45" i="38"/>
  <c r="BT126" i="38"/>
  <c r="BT73" i="38"/>
  <c r="E21" i="14"/>
  <c r="E22" i="15"/>
  <c r="E21" i="15"/>
  <c r="Q11" i="20" l="1"/>
  <c r="Q12" i="20"/>
  <c r="Q13" i="20"/>
  <c r="Q14" i="20"/>
  <c r="Q10" i="20"/>
  <c r="F98" i="20"/>
  <c r="H98" i="20" s="1"/>
  <c r="I98" i="20" s="1"/>
  <c r="F97" i="20"/>
  <c r="H97" i="20" s="1"/>
  <c r="I97" i="20" s="1"/>
  <c r="F96" i="20"/>
  <c r="H96" i="20" s="1"/>
  <c r="I96" i="20" s="1"/>
  <c r="F95" i="20"/>
  <c r="H95" i="20" s="1"/>
  <c r="I95" i="20" s="1"/>
  <c r="F94" i="20"/>
  <c r="H94" i="20" s="1"/>
  <c r="I94" i="20" s="1"/>
  <c r="F93" i="20"/>
  <c r="H93" i="20" s="1"/>
  <c r="I93" i="20" s="1"/>
  <c r="F92" i="20"/>
  <c r="H92" i="20" s="1"/>
  <c r="I92" i="20" s="1"/>
  <c r="F91" i="20"/>
  <c r="H91" i="20" s="1"/>
  <c r="I91" i="20" s="1"/>
  <c r="F90" i="20"/>
  <c r="H90" i="20" s="1"/>
  <c r="I90" i="20" s="1"/>
  <c r="F89" i="20"/>
  <c r="H89" i="20" s="1"/>
  <c r="I89" i="20" s="1"/>
  <c r="F88" i="20"/>
  <c r="H88" i="20" s="1"/>
  <c r="I88" i="20" s="1"/>
  <c r="F87" i="20"/>
  <c r="H87" i="20" s="1"/>
  <c r="I87" i="20" s="1"/>
  <c r="F86" i="20"/>
  <c r="H86" i="20" s="1"/>
  <c r="I86" i="20" s="1"/>
  <c r="F85" i="20"/>
  <c r="H85" i="20" s="1"/>
  <c r="I85" i="20" s="1"/>
  <c r="F84" i="20"/>
  <c r="H84" i="20" s="1"/>
  <c r="I84" i="20" s="1"/>
  <c r="F83" i="20"/>
  <c r="H83" i="20" s="1"/>
  <c r="I83" i="20" s="1"/>
  <c r="F79" i="20"/>
  <c r="H79" i="20" s="1"/>
  <c r="I79" i="20" s="1"/>
  <c r="F78" i="20"/>
  <c r="H78" i="20" s="1"/>
  <c r="I78" i="20" s="1"/>
  <c r="F77" i="20"/>
  <c r="H77" i="20" s="1"/>
  <c r="I77" i="20" s="1"/>
  <c r="F76" i="20"/>
  <c r="H76" i="20" s="1"/>
  <c r="I76" i="20" s="1"/>
  <c r="F75" i="20"/>
  <c r="H75" i="20" s="1"/>
  <c r="I75" i="20" s="1"/>
  <c r="F74" i="20"/>
  <c r="H74" i="20" s="1"/>
  <c r="I74" i="20" s="1"/>
  <c r="F73" i="20"/>
  <c r="H73" i="20" s="1"/>
  <c r="I73" i="20" s="1"/>
  <c r="F72" i="20"/>
  <c r="H72" i="20" s="1"/>
  <c r="I72" i="20" s="1"/>
  <c r="F71" i="20"/>
  <c r="H71" i="20" s="1"/>
  <c r="I71" i="20" s="1"/>
  <c r="F70" i="20"/>
  <c r="H70" i="20" s="1"/>
  <c r="I70" i="20" s="1"/>
  <c r="F69" i="20"/>
  <c r="H69" i="20" s="1"/>
  <c r="I69" i="20" s="1"/>
  <c r="F68" i="20"/>
  <c r="H68" i="20" s="1"/>
  <c r="I68" i="20" s="1"/>
  <c r="F67" i="20"/>
  <c r="H67" i="20" s="1"/>
  <c r="I67" i="20" s="1"/>
  <c r="F66" i="20"/>
  <c r="H66" i="20" s="1"/>
  <c r="I66" i="20" s="1"/>
  <c r="F65" i="20"/>
  <c r="H65" i="20" s="1"/>
  <c r="I65" i="20" s="1"/>
  <c r="F64" i="20"/>
  <c r="H64" i="20" s="1"/>
  <c r="I64" i="20" s="1"/>
  <c r="F59" i="20"/>
  <c r="H59" i="20" s="1"/>
  <c r="F60" i="20"/>
  <c r="H60" i="20" s="1"/>
  <c r="F53" i="20"/>
  <c r="H53" i="20" s="1"/>
  <c r="F54" i="20"/>
  <c r="H54" i="20" s="1"/>
  <c r="F55" i="20"/>
  <c r="H55" i="20" s="1"/>
  <c r="I55" i="20" s="1"/>
  <c r="F56" i="20"/>
  <c r="H56" i="20" s="1"/>
  <c r="F57" i="20"/>
  <c r="H57" i="20" s="1"/>
  <c r="F58" i="20"/>
  <c r="H58" i="20" s="1"/>
  <c r="F46" i="20"/>
  <c r="H46" i="20" s="1"/>
  <c r="F47" i="20"/>
  <c r="H47" i="20" s="1"/>
  <c r="F48" i="20"/>
  <c r="F49" i="20"/>
  <c r="H49" i="20" s="1"/>
  <c r="I49" i="20" s="1"/>
  <c r="F50" i="20"/>
  <c r="F51" i="20"/>
  <c r="F52" i="20"/>
  <c r="H52" i="20" s="1"/>
  <c r="F45" i="20"/>
  <c r="H45" i="20" s="1"/>
  <c r="K73" i="20" l="1"/>
  <c r="L73" i="20" s="1"/>
  <c r="K71" i="20"/>
  <c r="L71" i="20" s="1"/>
  <c r="K92" i="20"/>
  <c r="L92" i="20" s="1"/>
  <c r="K74" i="20"/>
  <c r="L74" i="20" s="1"/>
  <c r="I56" i="20"/>
  <c r="K70" i="20"/>
  <c r="L70" i="20" s="1"/>
  <c r="K91" i="20"/>
  <c r="L91" i="20" s="1"/>
  <c r="K93" i="20"/>
  <c r="L93" i="20" s="1"/>
  <c r="K69" i="20"/>
  <c r="L69" i="20" s="1"/>
  <c r="K90" i="20"/>
  <c r="L90" i="20" s="1"/>
  <c r="K72" i="20"/>
  <c r="L72" i="20" s="1"/>
  <c r="I54" i="20"/>
  <c r="K64" i="20"/>
  <c r="L64" i="20" s="1"/>
  <c r="K68" i="20"/>
  <c r="L68" i="20" s="1"/>
  <c r="K89" i="20"/>
  <c r="L89" i="20" s="1"/>
  <c r="K79" i="20"/>
  <c r="L79" i="20" s="1"/>
  <c r="K67" i="20"/>
  <c r="L67" i="20" s="1"/>
  <c r="K83" i="20"/>
  <c r="L83" i="20" s="1"/>
  <c r="K88" i="20"/>
  <c r="L88" i="20" s="1"/>
  <c r="K95" i="20"/>
  <c r="L95" i="20" s="1"/>
  <c r="H51" i="20"/>
  <c r="I51" i="20" s="1"/>
  <c r="K78" i="20"/>
  <c r="L78" i="20" s="1"/>
  <c r="K66" i="20"/>
  <c r="L66" i="20" s="1"/>
  <c r="K87" i="20"/>
  <c r="L87" i="20" s="1"/>
  <c r="I47" i="20"/>
  <c r="H50" i="20"/>
  <c r="I50" i="20" s="1"/>
  <c r="K77" i="20"/>
  <c r="L77" i="20" s="1"/>
  <c r="K65" i="20"/>
  <c r="L65" i="20" s="1"/>
  <c r="K98" i="20"/>
  <c r="L98" i="20" s="1"/>
  <c r="K86" i="20"/>
  <c r="L86" i="20" s="1"/>
  <c r="I46" i="20"/>
  <c r="K76" i="20"/>
  <c r="L76" i="20" s="1"/>
  <c r="K97" i="20"/>
  <c r="L97" i="20" s="1"/>
  <c r="K85" i="20"/>
  <c r="L85" i="20" s="1"/>
  <c r="I57" i="20"/>
  <c r="K94" i="20"/>
  <c r="L94" i="20" s="1"/>
  <c r="H48" i="20"/>
  <c r="K52" i="20" s="1"/>
  <c r="L52" i="20" s="1"/>
  <c r="K75" i="20"/>
  <c r="L75" i="20" s="1"/>
  <c r="K96" i="20"/>
  <c r="L96" i="20" s="1"/>
  <c r="K84" i="20"/>
  <c r="L84" i="20" s="1"/>
  <c r="I53" i="20"/>
  <c r="I60" i="20"/>
  <c r="I52" i="20"/>
  <c r="I58" i="20"/>
  <c r="I59" i="20"/>
  <c r="I45" i="20"/>
  <c r="B30" i="14"/>
  <c r="C30" i="14"/>
  <c r="D30" i="14"/>
  <c r="E30" i="14"/>
  <c r="K59" i="20" l="1"/>
  <c r="L59" i="20" s="1"/>
  <c r="K47" i="20"/>
  <c r="L47" i="20" s="1"/>
  <c r="K50" i="20"/>
  <c r="L50" i="20" s="1"/>
  <c r="K58" i="20"/>
  <c r="L58" i="20" s="1"/>
  <c r="K46" i="20"/>
  <c r="L46" i="20" s="1"/>
  <c r="K57" i="20"/>
  <c r="L57" i="20" s="1"/>
  <c r="K56" i="20"/>
  <c r="L56" i="20" s="1"/>
  <c r="K55" i="20"/>
  <c r="L55" i="20" s="1"/>
  <c r="K45" i="20"/>
  <c r="L45" i="20" s="1"/>
  <c r="K51" i="20"/>
  <c r="L51" i="20" s="1"/>
  <c r="I48" i="20"/>
  <c r="K60" i="20"/>
  <c r="L60" i="20" s="1"/>
  <c r="K54" i="20"/>
  <c r="L54" i="20" s="1"/>
  <c r="K48" i="20"/>
  <c r="L48" i="20" s="1"/>
  <c r="K53" i="20"/>
  <c r="L53" i="20" s="1"/>
  <c r="K49" i="20"/>
  <c r="L49" i="20" s="1"/>
  <c r="B34" i="14"/>
  <c r="C34" i="14"/>
  <c r="D34" i="14"/>
  <c r="E34" i="14"/>
  <c r="B40" i="14"/>
  <c r="C40" i="14"/>
  <c r="D40" i="14"/>
  <c r="E40" i="14"/>
  <c r="B41" i="14"/>
  <c r="C41" i="14"/>
  <c r="D41" i="14"/>
  <c r="E41" i="14"/>
  <c r="B42" i="14"/>
  <c r="C42" i="14"/>
  <c r="D42" i="14"/>
  <c r="O60" i="14"/>
  <c r="N60" i="14"/>
  <c r="A38" i="14"/>
  <c r="B11" i="14"/>
  <c r="C11" i="14"/>
  <c r="D11" i="14"/>
  <c r="B17" i="14"/>
  <c r="C17" i="14"/>
  <c r="D17" i="14"/>
  <c r="E17" i="14"/>
  <c r="B18" i="14"/>
  <c r="C18" i="14"/>
  <c r="D18" i="14"/>
  <c r="E18" i="14"/>
  <c r="A19" i="14"/>
  <c r="B19" i="14"/>
  <c r="C19" i="14"/>
  <c r="D19" i="14"/>
  <c r="E19" i="14"/>
  <c r="B20" i="14"/>
  <c r="C20" i="14"/>
  <c r="D20" i="14"/>
  <c r="E20" i="14"/>
  <c r="B21" i="14"/>
  <c r="C21" i="14"/>
  <c r="D21" i="14"/>
  <c r="B22" i="14"/>
  <c r="C22" i="14"/>
  <c r="D22" i="14"/>
  <c r="E22" i="14"/>
  <c r="A23" i="14"/>
  <c r="B23" i="14"/>
  <c r="C23" i="14"/>
  <c r="D23" i="14"/>
  <c r="E23" i="14"/>
  <c r="B24" i="14"/>
  <c r="C24" i="14"/>
  <c r="D24" i="14"/>
  <c r="E24" i="14"/>
  <c r="B25" i="14"/>
  <c r="C25" i="14"/>
  <c r="D25" i="14"/>
  <c r="E25" i="14"/>
  <c r="B26" i="14"/>
  <c r="C26" i="14"/>
  <c r="D26" i="14"/>
  <c r="E26" i="14"/>
  <c r="A27" i="14"/>
  <c r="B27" i="14"/>
  <c r="C27" i="14"/>
  <c r="D27" i="14"/>
  <c r="E27" i="14"/>
  <c r="B28" i="14"/>
  <c r="C28" i="14"/>
  <c r="D28" i="14"/>
  <c r="E28" i="14"/>
  <c r="B29" i="14"/>
  <c r="C29" i="14"/>
  <c r="D29" i="14"/>
  <c r="E29" i="14"/>
  <c r="B31" i="14"/>
  <c r="C31" i="14"/>
  <c r="D31" i="14"/>
  <c r="E31" i="14"/>
  <c r="B32" i="14"/>
  <c r="C32" i="14"/>
  <c r="D32" i="14"/>
  <c r="E32" i="14"/>
  <c r="A33" i="14"/>
  <c r="B33" i="14"/>
  <c r="C33" i="14"/>
  <c r="D33" i="14"/>
  <c r="E33" i="14"/>
  <c r="B35" i="14"/>
  <c r="C35" i="14"/>
  <c r="D35" i="14"/>
  <c r="E35" i="14"/>
  <c r="B36" i="14"/>
  <c r="C36" i="14"/>
  <c r="D36" i="14"/>
  <c r="E36" i="14"/>
  <c r="B37" i="14"/>
  <c r="C37" i="14"/>
  <c r="D37" i="14"/>
  <c r="E37" i="14"/>
  <c r="B38" i="14"/>
  <c r="C38" i="14"/>
  <c r="D38" i="14"/>
  <c r="E38" i="14"/>
  <c r="B39" i="14"/>
  <c r="C39" i="14"/>
  <c r="D39" i="14"/>
  <c r="E39" i="14"/>
  <c r="D6" i="6"/>
  <c r="N16" i="6" s="1"/>
  <c r="B97" i="6"/>
  <c r="D122" i="40" s="1"/>
  <c r="B81" i="6" l="1"/>
  <c r="D106" i="40" s="1"/>
  <c r="B110" i="6"/>
  <c r="D135" i="40" s="1"/>
  <c r="B87" i="6"/>
  <c r="D112" i="40" s="1"/>
  <c r="B63" i="6"/>
  <c r="D88" i="40" s="1"/>
  <c r="B123" i="14"/>
  <c r="B105" i="6"/>
  <c r="D130" i="40" s="1"/>
  <c r="B104" i="6"/>
  <c r="D129" i="40" s="1"/>
  <c r="B155" i="14"/>
  <c r="B91" i="14"/>
  <c r="B115" i="6"/>
  <c r="D140" i="40" s="1"/>
  <c r="B102" i="6"/>
  <c r="D127" i="40" s="1"/>
  <c r="B119" i="6"/>
  <c r="D144" i="40" s="1"/>
  <c r="B103" i="6"/>
  <c r="D128" i="40" s="1"/>
  <c r="B113" i="6"/>
  <c r="D138" i="40" s="1"/>
  <c r="B135" i="14"/>
  <c r="B129" i="15"/>
  <c r="B97" i="15"/>
  <c r="B81" i="15"/>
  <c r="B61" i="15"/>
  <c r="D10" i="16"/>
  <c r="D17" i="16" s="1"/>
  <c r="B144" i="15"/>
  <c r="B140" i="15"/>
  <c r="B136" i="15"/>
  <c r="B132" i="15"/>
  <c r="B128" i="15"/>
  <c r="B124" i="15"/>
  <c r="B120" i="15"/>
  <c r="B116" i="15"/>
  <c r="B112" i="15"/>
  <c r="B108" i="15"/>
  <c r="B104" i="15"/>
  <c r="B100" i="15"/>
  <c r="B96" i="15"/>
  <c r="B92" i="15"/>
  <c r="B88" i="15"/>
  <c r="B84" i="15"/>
  <c r="B80" i="15"/>
  <c r="B76" i="15"/>
  <c r="B72" i="15"/>
  <c r="B68" i="15"/>
  <c r="B64" i="15"/>
  <c r="B60" i="15"/>
  <c r="B56" i="15"/>
  <c r="B52" i="15"/>
  <c r="B48" i="15"/>
  <c r="B145" i="15"/>
  <c r="B113" i="15"/>
  <c r="B93" i="15"/>
  <c r="B65" i="15"/>
  <c r="B46" i="15"/>
  <c r="L46" i="15" s="1"/>
  <c r="B137" i="15"/>
  <c r="B105" i="15"/>
  <c r="B69" i="15"/>
  <c r="B143" i="15"/>
  <c r="B139" i="15"/>
  <c r="B135" i="15"/>
  <c r="B131" i="15"/>
  <c r="B127" i="15"/>
  <c r="B123" i="15"/>
  <c r="B119" i="15"/>
  <c r="B115" i="15"/>
  <c r="B111" i="15"/>
  <c r="B107" i="15"/>
  <c r="B103" i="15"/>
  <c r="B99" i="15"/>
  <c r="B95" i="15"/>
  <c r="B91" i="15"/>
  <c r="B87" i="15"/>
  <c r="B83" i="15"/>
  <c r="B79" i="15"/>
  <c r="B75" i="15"/>
  <c r="B71" i="15"/>
  <c r="B67" i="15"/>
  <c r="B63" i="15"/>
  <c r="B59" i="15"/>
  <c r="B55" i="15"/>
  <c r="B51" i="15"/>
  <c r="B47" i="15"/>
  <c r="B109" i="15"/>
  <c r="B85" i="15"/>
  <c r="B57" i="15"/>
  <c r="B125" i="15"/>
  <c r="B77" i="15"/>
  <c r="B49" i="15"/>
  <c r="B146" i="15"/>
  <c r="B142" i="15"/>
  <c r="B138" i="15"/>
  <c r="B134" i="15"/>
  <c r="B130" i="15"/>
  <c r="B126" i="15"/>
  <c r="B122" i="15"/>
  <c r="B118" i="15"/>
  <c r="B114" i="15"/>
  <c r="B110" i="15"/>
  <c r="B106" i="15"/>
  <c r="B102" i="15"/>
  <c r="B98" i="15"/>
  <c r="B94" i="15"/>
  <c r="B90" i="15"/>
  <c r="B86" i="15"/>
  <c r="B82" i="15"/>
  <c r="B78" i="15"/>
  <c r="B74" i="15"/>
  <c r="B70" i="15"/>
  <c r="B66" i="15"/>
  <c r="B62" i="15"/>
  <c r="B58" i="15"/>
  <c r="B54" i="15"/>
  <c r="B50" i="15"/>
  <c r="B141" i="15"/>
  <c r="B89" i="15"/>
  <c r="B53" i="15"/>
  <c r="E13" i="15"/>
  <c r="B133" i="15"/>
  <c r="B121" i="15"/>
  <c r="B117" i="15"/>
  <c r="B101" i="15"/>
  <c r="B73" i="15"/>
  <c r="B40" i="6"/>
  <c r="D65" i="40" s="1"/>
  <c r="B112" i="6"/>
  <c r="D137" i="40" s="1"/>
  <c r="B96" i="6"/>
  <c r="B118" i="6"/>
  <c r="D143" i="40" s="1"/>
  <c r="B111" i="6"/>
  <c r="D136" i="40" s="1"/>
  <c r="B95" i="6"/>
  <c r="D120" i="40" s="1"/>
  <c r="E45" i="14"/>
  <c r="E46" i="14" s="1"/>
  <c r="HD61" i="14"/>
  <c r="HD68" i="14"/>
  <c r="HD74" i="14"/>
  <c r="GV82" i="14"/>
  <c r="HL82" i="14"/>
  <c r="GV88" i="14"/>
  <c r="HL88" i="14"/>
  <c r="GV89" i="14"/>
  <c r="HL89" i="14"/>
  <c r="HD99" i="14"/>
  <c r="HD100" i="14"/>
  <c r="HL62" i="14"/>
  <c r="GV63" i="14"/>
  <c r="HL63" i="14"/>
  <c r="GV64" i="14"/>
  <c r="HL64" i="14"/>
  <c r="GV65" i="14"/>
  <c r="HL65" i="14"/>
  <c r="HD67" i="14"/>
  <c r="HD69" i="14"/>
  <c r="HD71" i="14"/>
  <c r="HD72" i="14"/>
  <c r="HD73" i="14"/>
  <c r="GV76" i="14"/>
  <c r="HL76" i="14"/>
  <c r="GV85" i="14"/>
  <c r="HL85" i="14"/>
  <c r="GV91" i="14"/>
  <c r="HL91" i="14"/>
  <c r="HD93" i="14"/>
  <c r="HD96" i="14"/>
  <c r="GV62" i="14"/>
  <c r="HD70" i="14"/>
  <c r="GV75" i="14"/>
  <c r="HL75" i="14"/>
  <c r="GV77" i="14"/>
  <c r="HL77" i="14"/>
  <c r="GV81" i="14"/>
  <c r="HL81" i="14"/>
  <c r="HL86" i="14"/>
  <c r="GV87" i="14"/>
  <c r="HL87" i="14"/>
  <c r="GV90" i="14"/>
  <c r="HL90" i="14"/>
  <c r="HL102" i="14"/>
  <c r="GV103" i="14"/>
  <c r="HL103" i="14"/>
  <c r="GV61" i="14"/>
  <c r="HD66" i="14"/>
  <c r="GV74" i="14"/>
  <c r="GV78" i="14"/>
  <c r="HL78" i="14"/>
  <c r="GV79" i="14"/>
  <c r="HL79" i="14"/>
  <c r="GV80" i="14"/>
  <c r="HL80" i="14"/>
  <c r="HD83" i="14"/>
  <c r="HD84" i="14"/>
  <c r="GV86" i="14"/>
  <c r="GV92" i="14"/>
  <c r="HL92" i="14"/>
  <c r="HD94" i="14"/>
  <c r="HD95" i="14"/>
  <c r="GV97" i="14"/>
  <c r="HL97" i="14"/>
  <c r="GV98" i="14"/>
  <c r="HL98" i="14"/>
  <c r="GV101" i="14"/>
  <c r="HL101" i="14"/>
  <c r="GV102" i="14"/>
  <c r="HL61" i="14"/>
  <c r="GV68" i="14"/>
  <c r="HL68" i="14"/>
  <c r="HL74" i="14"/>
  <c r="HD88" i="14"/>
  <c r="HD89" i="14"/>
  <c r="GV99" i="14"/>
  <c r="HL99" i="14"/>
  <c r="GV100" i="14"/>
  <c r="HL100" i="14"/>
  <c r="HD63" i="14"/>
  <c r="HD64" i="14"/>
  <c r="HD65" i="14"/>
  <c r="GV67" i="14"/>
  <c r="HL67" i="14"/>
  <c r="GV69" i="14"/>
  <c r="HL69" i="14"/>
  <c r="HL70" i="14"/>
  <c r="GV71" i="14"/>
  <c r="HL71" i="14"/>
  <c r="GV72" i="14"/>
  <c r="HL72" i="14"/>
  <c r="GV73" i="14"/>
  <c r="HL73" i="14"/>
  <c r="HD76" i="14"/>
  <c r="HD82" i="14"/>
  <c r="HD85" i="14"/>
  <c r="HD91" i="14"/>
  <c r="GV66" i="14"/>
  <c r="HL66" i="14"/>
  <c r="HD78" i="14"/>
  <c r="HD79" i="14"/>
  <c r="HD80" i="14"/>
  <c r="GV83" i="14"/>
  <c r="HL83" i="14"/>
  <c r="GV84" i="14"/>
  <c r="HL84" i="14"/>
  <c r="HD86" i="14"/>
  <c r="HD92" i="14"/>
  <c r="GV95" i="14"/>
  <c r="HD104" i="14"/>
  <c r="HD105" i="14"/>
  <c r="HD106" i="14"/>
  <c r="HD112" i="14"/>
  <c r="GV117" i="14"/>
  <c r="HL117" i="14"/>
  <c r="HD119" i="14"/>
  <c r="HD120" i="14"/>
  <c r="GV125" i="14"/>
  <c r="HL125" i="14"/>
  <c r="GV126" i="14"/>
  <c r="HL126" i="14"/>
  <c r="GV127" i="14"/>
  <c r="HL127" i="14"/>
  <c r="GV70" i="14"/>
  <c r="HD90" i="14"/>
  <c r="HD103" i="14"/>
  <c r="HD107" i="14"/>
  <c r="HD111" i="14"/>
  <c r="HD118" i="14"/>
  <c r="GV122" i="14"/>
  <c r="HL122" i="14"/>
  <c r="GV128" i="14"/>
  <c r="HL128" i="14"/>
  <c r="GV129" i="14"/>
  <c r="HL129" i="14"/>
  <c r="HD131" i="14"/>
  <c r="HD132" i="14"/>
  <c r="HD136" i="14"/>
  <c r="HD62" i="14"/>
  <c r="GV93" i="14"/>
  <c r="GV94" i="14"/>
  <c r="HD98" i="14"/>
  <c r="HD109" i="14"/>
  <c r="HD110" i="14"/>
  <c r="GV113" i="14"/>
  <c r="HL113" i="14"/>
  <c r="GV114" i="14"/>
  <c r="HL114" i="14"/>
  <c r="GV115" i="14"/>
  <c r="HL115" i="14"/>
  <c r="HD133" i="14"/>
  <c r="HD75" i="14"/>
  <c r="HD87" i="14"/>
  <c r="HL95" i="14"/>
  <c r="GV104" i="14"/>
  <c r="HD108" i="14"/>
  <c r="HD116" i="14"/>
  <c r="GV121" i="14"/>
  <c r="HL121" i="14"/>
  <c r="HD123" i="14"/>
  <c r="HD124" i="14"/>
  <c r="HD130" i="14"/>
  <c r="GV137" i="14"/>
  <c r="HL137" i="14"/>
  <c r="GV96" i="14"/>
  <c r="HD97" i="14"/>
  <c r="HD101" i="14"/>
  <c r="HL104" i="14"/>
  <c r="GV105" i="14"/>
  <c r="HL105" i="14"/>
  <c r="GV106" i="14"/>
  <c r="HL106" i="14"/>
  <c r="GV112" i="14"/>
  <c r="HL112" i="14"/>
  <c r="HD117" i="14"/>
  <c r="GV119" i="14"/>
  <c r="HL119" i="14"/>
  <c r="GV120" i="14"/>
  <c r="HL120" i="14"/>
  <c r="HD125" i="14"/>
  <c r="HD77" i="14"/>
  <c r="HD81" i="14"/>
  <c r="HL96" i="14"/>
  <c r="GV108" i="14"/>
  <c r="HL108" i="14"/>
  <c r="GV116" i="14"/>
  <c r="HL116" i="14"/>
  <c r="HD121" i="14"/>
  <c r="GV123" i="14"/>
  <c r="HL123" i="14"/>
  <c r="GV124" i="14"/>
  <c r="HL124" i="14"/>
  <c r="HL93" i="14"/>
  <c r="GV107" i="14"/>
  <c r="GV111" i="14"/>
  <c r="HL130" i="14"/>
  <c r="HL134" i="14"/>
  <c r="GV140" i="14"/>
  <c r="HL140" i="14"/>
  <c r="GV147" i="14"/>
  <c r="HD149" i="14"/>
  <c r="HD151" i="14"/>
  <c r="GV153" i="14"/>
  <c r="HL153" i="14"/>
  <c r="GV154" i="14"/>
  <c r="HL60" i="14"/>
  <c r="GV109" i="14"/>
  <c r="HD113" i="14"/>
  <c r="HD115" i="14"/>
  <c r="GV138" i="14"/>
  <c r="HL139" i="14"/>
  <c r="HL146" i="14"/>
  <c r="HD148" i="14"/>
  <c r="HL152" i="14"/>
  <c r="HD157" i="14"/>
  <c r="HD114" i="14"/>
  <c r="HL94" i="14"/>
  <c r="HL107" i="14"/>
  <c r="HL111" i="14"/>
  <c r="GV118" i="14"/>
  <c r="HD122" i="14"/>
  <c r="GV131" i="14"/>
  <c r="GV132" i="14"/>
  <c r="HL135" i="14"/>
  <c r="HD137" i="14"/>
  <c r="GV139" i="14"/>
  <c r="HD143" i="14"/>
  <c r="HL144" i="14"/>
  <c r="HL145" i="14"/>
  <c r="GV146" i="14"/>
  <c r="HD150" i="14"/>
  <c r="GV152" i="14"/>
  <c r="HD155" i="14"/>
  <c r="HD156" i="14"/>
  <c r="HD127" i="14"/>
  <c r="GV135" i="14"/>
  <c r="HL109" i="14"/>
  <c r="GV133" i="14"/>
  <c r="GV134" i="14"/>
  <c r="HL136" i="14"/>
  <c r="HL138" i="14"/>
  <c r="HD141" i="14"/>
  <c r="HD142" i="14"/>
  <c r="GV144" i="14"/>
  <c r="GV145" i="14"/>
  <c r="GV158" i="14"/>
  <c r="HL158" i="14"/>
  <c r="GV159" i="14"/>
  <c r="HL159" i="14"/>
  <c r="GV160" i="14"/>
  <c r="HL160" i="14"/>
  <c r="GV60" i="14"/>
  <c r="HD126" i="14"/>
  <c r="HD134" i="14"/>
  <c r="HL118" i="14"/>
  <c r="GV130" i="14"/>
  <c r="HD140" i="14"/>
  <c r="HD147" i="14"/>
  <c r="GV149" i="14"/>
  <c r="HL149" i="14"/>
  <c r="GV151" i="14"/>
  <c r="HL151" i="14"/>
  <c r="HD153" i="14"/>
  <c r="HD154" i="14"/>
  <c r="HL110" i="14"/>
  <c r="HL133" i="14"/>
  <c r="HD135" i="14"/>
  <c r="HD138" i="14"/>
  <c r="GV141" i="14"/>
  <c r="HL141" i="14"/>
  <c r="GV142" i="14"/>
  <c r="HL142" i="14"/>
  <c r="HD144" i="14"/>
  <c r="HD145" i="14"/>
  <c r="HL147" i="14"/>
  <c r="HL154" i="14"/>
  <c r="HD158" i="14"/>
  <c r="HD159" i="14"/>
  <c r="HD160" i="14"/>
  <c r="GV110" i="14"/>
  <c r="HL143" i="14"/>
  <c r="HL157" i="14"/>
  <c r="HL132" i="14"/>
  <c r="HD152" i="14"/>
  <c r="HD128" i="14"/>
  <c r="GV136" i="14"/>
  <c r="HL155" i="14"/>
  <c r="GV156" i="14"/>
  <c r="GV143" i="14"/>
  <c r="GV150" i="14"/>
  <c r="HL150" i="14"/>
  <c r="HD129" i="14"/>
  <c r="HL156" i="14"/>
  <c r="HD139" i="14"/>
  <c r="HL148" i="14"/>
  <c r="GV157" i="14"/>
  <c r="HD146" i="14"/>
  <c r="HD102" i="14"/>
  <c r="HL131" i="14"/>
  <c r="GV155" i="14"/>
  <c r="GV148" i="14"/>
  <c r="HG62" i="14"/>
  <c r="HG63" i="14"/>
  <c r="HG64" i="14"/>
  <c r="HG65" i="14"/>
  <c r="GY67" i="14"/>
  <c r="HO67" i="14"/>
  <c r="GY69" i="14"/>
  <c r="HO69" i="14"/>
  <c r="HO70" i="14"/>
  <c r="GY71" i="14"/>
  <c r="HO71" i="14"/>
  <c r="GY72" i="14"/>
  <c r="HO72" i="14"/>
  <c r="GY73" i="14"/>
  <c r="HO73" i="14"/>
  <c r="HG76" i="14"/>
  <c r="HG85" i="14"/>
  <c r="HG91" i="14"/>
  <c r="GY93" i="14"/>
  <c r="HO93" i="14"/>
  <c r="GY96" i="14"/>
  <c r="HO96" i="14"/>
  <c r="GY70" i="14"/>
  <c r="HG75" i="14"/>
  <c r="HG77" i="14"/>
  <c r="HG81" i="14"/>
  <c r="HG86" i="14"/>
  <c r="HG87" i="14"/>
  <c r="HG90" i="14"/>
  <c r="GY66" i="14"/>
  <c r="HO66" i="14"/>
  <c r="HG78" i="14"/>
  <c r="HG79" i="14"/>
  <c r="HG80" i="14"/>
  <c r="HO82" i="14"/>
  <c r="GY83" i="14"/>
  <c r="HO83" i="14"/>
  <c r="GY84" i="14"/>
  <c r="HO84" i="14"/>
  <c r="HG92" i="14"/>
  <c r="GY94" i="14"/>
  <c r="HO94" i="14"/>
  <c r="GY95" i="14"/>
  <c r="HO95" i="14"/>
  <c r="HG97" i="14"/>
  <c r="HG98" i="14"/>
  <c r="HG101" i="14"/>
  <c r="HG61" i="14"/>
  <c r="HG68" i="14"/>
  <c r="HG74" i="14"/>
  <c r="GY82" i="14"/>
  <c r="GY88" i="14"/>
  <c r="HO88" i="14"/>
  <c r="GY89" i="14"/>
  <c r="HO89" i="14"/>
  <c r="HG99" i="14"/>
  <c r="HG100" i="14"/>
  <c r="HO62" i="14"/>
  <c r="GY63" i="14"/>
  <c r="HO63" i="14"/>
  <c r="GY64" i="14"/>
  <c r="HO64" i="14"/>
  <c r="GY65" i="14"/>
  <c r="HO65" i="14"/>
  <c r="HG67" i="14"/>
  <c r="HG69" i="14"/>
  <c r="HG70" i="14"/>
  <c r="HG71" i="14"/>
  <c r="HG72" i="14"/>
  <c r="HG73" i="14"/>
  <c r="GY76" i="14"/>
  <c r="HO76" i="14"/>
  <c r="GY85" i="14"/>
  <c r="HO85" i="14"/>
  <c r="HO86" i="14"/>
  <c r="HO87" i="14"/>
  <c r="GY91" i="14"/>
  <c r="HO91" i="14"/>
  <c r="HG93" i="14"/>
  <c r="HG96" i="14"/>
  <c r="GY62" i="14"/>
  <c r="GY75" i="14"/>
  <c r="HO75" i="14"/>
  <c r="GY77" i="14"/>
  <c r="HO77" i="14"/>
  <c r="HO80" i="14"/>
  <c r="GY81" i="14"/>
  <c r="HO81" i="14"/>
  <c r="GY87" i="14"/>
  <c r="GY90" i="14"/>
  <c r="HO90" i="14"/>
  <c r="HO61" i="14"/>
  <c r="GY68" i="14"/>
  <c r="HO68" i="14"/>
  <c r="HO74" i="14"/>
  <c r="HG82" i="14"/>
  <c r="HG88" i="14"/>
  <c r="HG89" i="14"/>
  <c r="GY61" i="14"/>
  <c r="HO92" i="14"/>
  <c r="GY99" i="14"/>
  <c r="GY103" i="14"/>
  <c r="GY107" i="14"/>
  <c r="HO107" i="14"/>
  <c r="HO110" i="14"/>
  <c r="GY111" i="14"/>
  <c r="HO111" i="14"/>
  <c r="GY118" i="14"/>
  <c r="HO118" i="14"/>
  <c r="HG122" i="14"/>
  <c r="HG128" i="14"/>
  <c r="HG129" i="14"/>
  <c r="GY131" i="14"/>
  <c r="HO131" i="14"/>
  <c r="GY132" i="14"/>
  <c r="HO132" i="14"/>
  <c r="GY136" i="14"/>
  <c r="GY74" i="14"/>
  <c r="GY78" i="14"/>
  <c r="GY86" i="14"/>
  <c r="GY98" i="14"/>
  <c r="HO100" i="14"/>
  <c r="HO102" i="14"/>
  <c r="HO108" i="14"/>
  <c r="GY109" i="14"/>
  <c r="HO109" i="14"/>
  <c r="GY110" i="14"/>
  <c r="HG113" i="14"/>
  <c r="HG114" i="14"/>
  <c r="HG115" i="14"/>
  <c r="GY133" i="14"/>
  <c r="HO133" i="14"/>
  <c r="GY134" i="14"/>
  <c r="HO134" i="14"/>
  <c r="GY135" i="14"/>
  <c r="HO135" i="14"/>
  <c r="HG66" i="14"/>
  <c r="HO78" i="14"/>
  <c r="HG95" i="14"/>
  <c r="GY108" i="14"/>
  <c r="GY116" i="14"/>
  <c r="HO116" i="14"/>
  <c r="HO117" i="14"/>
  <c r="HG121" i="14"/>
  <c r="GY123" i="14"/>
  <c r="HO123" i="14"/>
  <c r="GY124" i="14"/>
  <c r="HO124" i="14"/>
  <c r="GY130" i="14"/>
  <c r="HO130" i="14"/>
  <c r="GY79" i="14"/>
  <c r="HG83" i="14"/>
  <c r="GY97" i="14"/>
  <c r="HO99" i="14"/>
  <c r="GY101" i="14"/>
  <c r="HG104" i="14"/>
  <c r="HG105" i="14"/>
  <c r="HG106" i="14"/>
  <c r="HG112" i="14"/>
  <c r="GY117" i="14"/>
  <c r="HG119" i="14"/>
  <c r="HG120" i="14"/>
  <c r="GY125" i="14"/>
  <c r="HO125" i="14"/>
  <c r="GY126" i="14"/>
  <c r="HO126" i="14"/>
  <c r="GY127" i="14"/>
  <c r="HO127" i="14"/>
  <c r="HO79" i="14"/>
  <c r="HG94" i="14"/>
  <c r="HO98" i="14"/>
  <c r="GY102" i="14"/>
  <c r="HG103" i="14"/>
  <c r="HG107" i="14"/>
  <c r="HG111" i="14"/>
  <c r="HO115" i="14"/>
  <c r="HG118" i="14"/>
  <c r="GY122" i="14"/>
  <c r="HO122" i="14"/>
  <c r="HO101" i="14"/>
  <c r="HO103" i="14"/>
  <c r="HO104" i="14"/>
  <c r="GY105" i="14"/>
  <c r="HO105" i="14"/>
  <c r="GY106" i="14"/>
  <c r="HO106" i="14"/>
  <c r="GY112" i="14"/>
  <c r="HO112" i="14"/>
  <c r="HG117" i="14"/>
  <c r="GY119" i="14"/>
  <c r="HO119" i="14"/>
  <c r="GY120" i="14"/>
  <c r="GY80" i="14"/>
  <c r="GY113" i="14"/>
  <c r="GY115" i="14"/>
  <c r="HG125" i="14"/>
  <c r="HG126" i="14"/>
  <c r="HG127" i="14"/>
  <c r="HG139" i="14"/>
  <c r="HG146" i="14"/>
  <c r="GY148" i="14"/>
  <c r="HO148" i="14"/>
  <c r="HO150" i="14"/>
  <c r="HG152" i="14"/>
  <c r="GY157" i="14"/>
  <c r="HO157" i="14"/>
  <c r="HG132" i="14"/>
  <c r="HO136" i="14"/>
  <c r="GY139" i="14"/>
  <c r="HO121" i="14"/>
  <c r="HO128" i="14"/>
  <c r="HO129" i="14"/>
  <c r="HG135" i="14"/>
  <c r="GY137" i="14"/>
  <c r="GY143" i="14"/>
  <c r="HG144" i="14"/>
  <c r="HG145" i="14"/>
  <c r="HO147" i="14"/>
  <c r="GY150" i="14"/>
  <c r="GY155" i="14"/>
  <c r="HO155" i="14"/>
  <c r="GY156" i="14"/>
  <c r="HO156" i="14"/>
  <c r="GY60" i="14"/>
  <c r="HO120" i="14"/>
  <c r="HG84" i="14"/>
  <c r="HG109" i="14"/>
  <c r="HO113" i="14"/>
  <c r="HG136" i="14"/>
  <c r="HG138" i="14"/>
  <c r="GY141" i="14"/>
  <c r="HO141" i="14"/>
  <c r="GY142" i="14"/>
  <c r="HO142" i="14"/>
  <c r="HO154" i="14"/>
  <c r="HG158" i="14"/>
  <c r="HG159" i="14"/>
  <c r="HG160" i="14"/>
  <c r="GY104" i="14"/>
  <c r="GY100" i="14"/>
  <c r="HG124" i="14"/>
  <c r="HG137" i="14"/>
  <c r="GY140" i="14"/>
  <c r="HO140" i="14"/>
  <c r="GY147" i="14"/>
  <c r="HG149" i="14"/>
  <c r="HG151" i="14"/>
  <c r="GY153" i="14"/>
  <c r="HO153" i="14"/>
  <c r="GY154" i="14"/>
  <c r="HG131" i="14"/>
  <c r="GY114" i="14"/>
  <c r="GY138" i="14"/>
  <c r="HO139" i="14"/>
  <c r="HG143" i="14"/>
  <c r="HO146" i="14"/>
  <c r="HG148" i="14"/>
  <c r="HG150" i="14"/>
  <c r="HO152" i="14"/>
  <c r="HG157" i="14"/>
  <c r="GY128" i="14"/>
  <c r="GY92" i="14"/>
  <c r="HO97" i="14"/>
  <c r="HG102" i="14"/>
  <c r="HG108" i="14"/>
  <c r="GY121" i="14"/>
  <c r="HG123" i="14"/>
  <c r="HG130" i="14"/>
  <c r="HG134" i="14"/>
  <c r="HG140" i="14"/>
  <c r="HO143" i="14"/>
  <c r="GY149" i="14"/>
  <c r="HO149" i="14"/>
  <c r="GY151" i="14"/>
  <c r="HO151" i="14"/>
  <c r="HG153" i="14"/>
  <c r="HG116" i="14"/>
  <c r="GY129" i="14"/>
  <c r="HO144" i="14"/>
  <c r="HG155" i="14"/>
  <c r="GY145" i="14"/>
  <c r="HG142" i="14"/>
  <c r="HG156" i="14"/>
  <c r="HO138" i="14"/>
  <c r="HO114" i="14"/>
  <c r="HO159" i="14"/>
  <c r="GY160" i="14"/>
  <c r="HO158" i="14"/>
  <c r="HG141" i="14"/>
  <c r="GY159" i="14"/>
  <c r="HO137" i="14"/>
  <c r="HG147" i="14"/>
  <c r="GY158" i="14"/>
  <c r="HO145" i="14"/>
  <c r="GY152" i="14"/>
  <c r="HG154" i="14"/>
  <c r="HO160" i="14"/>
  <c r="HG133" i="14"/>
  <c r="GY146" i="14"/>
  <c r="GY144" i="14"/>
  <c r="HG110" i="14"/>
  <c r="HD60" i="14"/>
  <c r="EL62" i="14"/>
  <c r="EL65" i="14"/>
  <c r="ET66" i="14"/>
  <c r="EL67" i="14"/>
  <c r="FB72" i="14"/>
  <c r="ET84" i="14"/>
  <c r="FB85" i="14"/>
  <c r="EL86" i="14"/>
  <c r="ET87" i="14"/>
  <c r="FB91" i="14"/>
  <c r="FB97" i="14"/>
  <c r="FB99" i="14"/>
  <c r="FB103" i="14"/>
  <c r="ET104" i="14"/>
  <c r="EL106" i="14"/>
  <c r="EL109" i="14"/>
  <c r="ET110" i="14"/>
  <c r="EL111" i="14"/>
  <c r="EL61" i="14"/>
  <c r="FB64" i="14"/>
  <c r="FB68" i="14"/>
  <c r="ET71" i="14"/>
  <c r="ET73" i="14"/>
  <c r="EL77" i="14"/>
  <c r="EL78" i="14"/>
  <c r="EL81" i="14"/>
  <c r="ET82" i="14"/>
  <c r="EL83" i="14"/>
  <c r="FB89" i="14"/>
  <c r="ET92" i="14"/>
  <c r="EL94" i="14"/>
  <c r="ET95" i="14"/>
  <c r="FB96" i="14"/>
  <c r="ET100" i="14"/>
  <c r="FB101" i="14"/>
  <c r="FB102" i="14"/>
  <c r="EL108" i="14"/>
  <c r="ET63" i="14"/>
  <c r="ET69" i="14"/>
  <c r="ET70" i="14"/>
  <c r="EL72" i="14"/>
  <c r="FB74" i="14"/>
  <c r="ET75" i="14"/>
  <c r="FB76" i="14"/>
  <c r="ET79" i="14"/>
  <c r="FB80" i="14"/>
  <c r="EL85" i="14"/>
  <c r="FB88" i="14"/>
  <c r="ET90" i="14"/>
  <c r="EL91" i="14"/>
  <c r="FB93" i="14"/>
  <c r="EL97" i="14"/>
  <c r="ET98" i="14"/>
  <c r="EL99" i="14"/>
  <c r="EL102" i="14"/>
  <c r="EL103" i="14"/>
  <c r="FB105" i="14"/>
  <c r="FB107" i="14"/>
  <c r="ET62" i="14"/>
  <c r="EL64" i="14"/>
  <c r="ET65" i="14"/>
  <c r="FB66" i="14"/>
  <c r="ET67" i="14"/>
  <c r="EL68" i="14"/>
  <c r="FB84" i="14"/>
  <c r="ET86" i="14"/>
  <c r="FB87" i="14"/>
  <c r="EL89" i="14"/>
  <c r="ET61" i="14"/>
  <c r="FB71" i="14"/>
  <c r="FB73" i="14"/>
  <c r="EL74" i="14"/>
  <c r="EL76" i="14"/>
  <c r="ET77" i="14"/>
  <c r="ET78" i="14"/>
  <c r="EL80" i="14"/>
  <c r="ET81" i="14"/>
  <c r="FB82" i="14"/>
  <c r="ET83" i="14"/>
  <c r="EL88" i="14"/>
  <c r="FB92" i="14"/>
  <c r="EL93" i="14"/>
  <c r="ET94" i="14"/>
  <c r="FB95" i="14"/>
  <c r="FB100" i="14"/>
  <c r="EL105" i="14"/>
  <c r="EL107" i="14"/>
  <c r="ET108" i="14"/>
  <c r="EL63" i="14"/>
  <c r="EL69" i="14"/>
  <c r="EL70" i="14"/>
  <c r="ET74" i="14"/>
  <c r="EL75" i="14"/>
  <c r="ET76" i="14"/>
  <c r="FB77" i="14"/>
  <c r="FB78" i="14"/>
  <c r="EL79" i="14"/>
  <c r="ET80" i="14"/>
  <c r="FB81" i="14"/>
  <c r="FB83" i="14"/>
  <c r="ET88" i="14"/>
  <c r="EL90" i="14"/>
  <c r="ET72" i="14"/>
  <c r="FB79" i="14"/>
  <c r="EL87" i="14"/>
  <c r="EL95" i="14"/>
  <c r="ET96" i="14"/>
  <c r="EL100" i="14"/>
  <c r="ET101" i="14"/>
  <c r="FB109" i="14"/>
  <c r="EL115" i="14"/>
  <c r="ET116" i="14"/>
  <c r="ET119" i="14"/>
  <c r="FB120" i="14"/>
  <c r="EL122" i="14"/>
  <c r="EL129" i="14"/>
  <c r="EL131" i="14"/>
  <c r="ET132" i="14"/>
  <c r="FB134" i="14"/>
  <c r="EL136" i="14"/>
  <c r="FB138" i="14"/>
  <c r="EL141" i="14"/>
  <c r="EL142" i="14"/>
  <c r="EL143" i="14"/>
  <c r="ET144" i="14"/>
  <c r="FB145" i="14"/>
  <c r="ET146" i="14"/>
  <c r="ET147" i="14"/>
  <c r="ET148" i="14"/>
  <c r="ET156" i="14"/>
  <c r="EL157" i="14"/>
  <c r="ET160" i="14"/>
  <c r="FB147" i="14"/>
  <c r="FB61" i="14"/>
  <c r="EL71" i="14"/>
  <c r="EL98" i="14"/>
  <c r="EL116" i="14"/>
  <c r="ET120" i="14"/>
  <c r="ET145" i="14"/>
  <c r="EL148" i="14"/>
  <c r="EL84" i="14"/>
  <c r="ET109" i="14"/>
  <c r="FB115" i="14"/>
  <c r="ET124" i="14"/>
  <c r="FB62" i="14"/>
  <c r="FB67" i="14"/>
  <c r="EL82" i="14"/>
  <c r="ET89" i="14"/>
  <c r="ET91" i="14"/>
  <c r="ET107" i="14"/>
  <c r="FB108" i="14"/>
  <c r="FB117" i="14"/>
  <c r="EL118" i="14"/>
  <c r="EL121" i="14"/>
  <c r="FB124" i="14"/>
  <c r="ET126" i="14"/>
  <c r="FB128" i="14"/>
  <c r="FB133" i="14"/>
  <c r="FB135" i="14"/>
  <c r="FB149" i="14"/>
  <c r="ET150" i="14"/>
  <c r="EL152" i="14"/>
  <c r="ET153" i="14"/>
  <c r="FB148" i="14"/>
  <c r="ET157" i="14"/>
  <c r="FB160" i="14"/>
  <c r="EL154" i="14"/>
  <c r="FB94" i="14"/>
  <c r="ET138" i="14"/>
  <c r="FB139" i="14"/>
  <c r="EL147" i="14"/>
  <c r="EL160" i="14"/>
  <c r="EL96" i="14"/>
  <c r="FB70" i="14"/>
  <c r="FB75" i="14"/>
  <c r="ET85" i="14"/>
  <c r="ET106" i="14"/>
  <c r="ET112" i="14"/>
  <c r="ET113" i="14"/>
  <c r="FB114" i="14"/>
  <c r="EL120" i="14"/>
  <c r="FB123" i="14"/>
  <c r="ET125" i="14"/>
  <c r="FB127" i="14"/>
  <c r="ET130" i="14"/>
  <c r="EL134" i="14"/>
  <c r="FB137" i="14"/>
  <c r="EL138" i="14"/>
  <c r="ET139" i="14"/>
  <c r="FB140" i="14"/>
  <c r="EL145" i="14"/>
  <c r="FB151" i="14"/>
  <c r="FB154" i="14"/>
  <c r="ET155" i="14"/>
  <c r="FB158" i="14"/>
  <c r="FB159" i="14"/>
  <c r="FB156" i="14"/>
  <c r="EL159" i="14"/>
  <c r="ET93" i="14"/>
  <c r="FB125" i="14"/>
  <c r="ET134" i="14"/>
  <c r="FB155" i="14"/>
  <c r="FB90" i="14"/>
  <c r="FB104" i="14"/>
  <c r="FB110" i="14"/>
  <c r="ET117" i="14"/>
  <c r="FB122" i="14"/>
  <c r="FB65" i="14"/>
  <c r="ET68" i="14"/>
  <c r="EL73" i="14"/>
  <c r="ET99" i="14"/>
  <c r="EL104" i="14"/>
  <c r="EL110" i="14"/>
  <c r="ET115" i="14"/>
  <c r="FB116" i="14"/>
  <c r="EL117" i="14"/>
  <c r="FB119" i="14"/>
  <c r="ET122" i="14"/>
  <c r="EL124" i="14"/>
  <c r="EL128" i="14"/>
  <c r="ET129" i="14"/>
  <c r="ET131" i="14"/>
  <c r="FB132" i="14"/>
  <c r="EL133" i="14"/>
  <c r="EL135" i="14"/>
  <c r="ET136" i="14"/>
  <c r="ET141" i="14"/>
  <c r="ET142" i="14"/>
  <c r="ET143" i="14"/>
  <c r="FB144" i="14"/>
  <c r="FB146" i="14"/>
  <c r="EL149" i="14"/>
  <c r="ET105" i="14"/>
  <c r="FB63" i="14"/>
  <c r="EL66" i="14"/>
  <c r="FB106" i="14"/>
  <c r="ET111" i="14"/>
  <c r="EL114" i="14"/>
  <c r="ET118" i="14"/>
  <c r="ET121" i="14"/>
  <c r="EL123" i="14"/>
  <c r="FB126" i="14"/>
  <c r="EL127" i="14"/>
  <c r="EL137" i="14"/>
  <c r="EL140" i="14"/>
  <c r="FB150" i="14"/>
  <c r="EL151" i="14"/>
  <c r="ET152" i="14"/>
  <c r="FB153" i="14"/>
  <c r="FB113" i="14"/>
  <c r="EL119" i="14"/>
  <c r="EL146" i="14"/>
  <c r="FB69" i="14"/>
  <c r="ET64" i="14"/>
  <c r="FB86" i="14"/>
  <c r="ET97" i="14"/>
  <c r="FB98" i="14"/>
  <c r="ET102" i="14"/>
  <c r="ET103" i="14"/>
  <c r="FB111" i="14"/>
  <c r="EL112" i="14"/>
  <c r="EL113" i="14"/>
  <c r="ET114" i="14"/>
  <c r="FB118" i="14"/>
  <c r="FB121" i="14"/>
  <c r="ET123" i="14"/>
  <c r="EL125" i="14"/>
  <c r="ET127" i="14"/>
  <c r="EL130" i="14"/>
  <c r="ET137" i="14"/>
  <c r="EL139" i="14"/>
  <c r="ET140" i="14"/>
  <c r="FB142" i="14"/>
  <c r="ET151" i="14"/>
  <c r="FB152" i="14"/>
  <c r="ET154" i="14"/>
  <c r="EL155" i="14"/>
  <c r="ET158" i="14"/>
  <c r="ET159" i="14"/>
  <c r="EL158" i="14"/>
  <c r="EL92" i="14"/>
  <c r="FB112" i="14"/>
  <c r="EL132" i="14"/>
  <c r="EL144" i="14"/>
  <c r="EL156" i="14"/>
  <c r="EL101" i="14"/>
  <c r="EL126" i="14"/>
  <c r="FB130" i="14"/>
  <c r="EL150" i="14"/>
  <c r="FB141" i="14"/>
  <c r="ET128" i="14"/>
  <c r="ET133" i="14"/>
  <c r="FB129" i="14"/>
  <c r="FB143" i="14"/>
  <c r="ET135" i="14"/>
  <c r="ET149" i="14"/>
  <c r="FB136" i="14"/>
  <c r="EL153" i="14"/>
  <c r="FB131" i="14"/>
  <c r="FB157" i="14"/>
  <c r="HO60" i="14"/>
  <c r="HG60" i="14"/>
  <c r="FE61" i="14"/>
  <c r="FE62" i="14"/>
  <c r="EW64" i="14"/>
  <c r="FE65" i="14"/>
  <c r="FE67" i="14"/>
  <c r="EW68" i="14"/>
  <c r="EO71" i="14"/>
  <c r="EO73" i="14"/>
  <c r="EO82" i="14"/>
  <c r="FE86" i="14"/>
  <c r="EW89" i="14"/>
  <c r="EO92" i="14"/>
  <c r="EO95" i="14"/>
  <c r="EW96" i="14"/>
  <c r="EO100" i="14"/>
  <c r="EW101" i="14"/>
  <c r="EW102" i="14"/>
  <c r="FE106" i="14"/>
  <c r="FE109" i="14"/>
  <c r="EO63" i="14"/>
  <c r="EO69" i="14"/>
  <c r="EO70" i="14"/>
  <c r="EW74" i="14"/>
  <c r="EO75" i="14"/>
  <c r="EW76" i="14"/>
  <c r="FE77" i="14"/>
  <c r="FE78" i="14"/>
  <c r="EO79" i="14"/>
  <c r="EW80" i="14"/>
  <c r="FE81" i="14"/>
  <c r="FE83" i="14"/>
  <c r="EW88" i="14"/>
  <c r="EO90" i="14"/>
  <c r="EW93" i="14"/>
  <c r="FE94" i="14"/>
  <c r="EO98" i="14"/>
  <c r="EW105" i="14"/>
  <c r="EW107" i="14"/>
  <c r="FE108" i="14"/>
  <c r="EO62" i="14"/>
  <c r="EO65" i="14"/>
  <c r="EW66" i="14"/>
  <c r="EO67" i="14"/>
  <c r="FE72" i="14"/>
  <c r="EW84" i="14"/>
  <c r="FE85" i="14"/>
  <c r="EO86" i="14"/>
  <c r="EW87" i="14"/>
  <c r="FE91" i="14"/>
  <c r="FE97" i="14"/>
  <c r="FE99" i="14"/>
  <c r="FE103" i="14"/>
  <c r="EW104" i="14"/>
  <c r="EO106" i="14"/>
  <c r="EO109" i="14"/>
  <c r="EW110" i="14"/>
  <c r="EO61" i="14"/>
  <c r="FE64" i="14"/>
  <c r="FE68" i="14"/>
  <c r="EW71" i="14"/>
  <c r="EW73" i="14"/>
  <c r="EO77" i="14"/>
  <c r="EO78" i="14"/>
  <c r="EO81" i="14"/>
  <c r="EW82" i="14"/>
  <c r="EO83" i="14"/>
  <c r="EW63" i="14"/>
  <c r="EW69" i="14"/>
  <c r="EW70" i="14"/>
  <c r="EO72" i="14"/>
  <c r="FE74" i="14"/>
  <c r="EW75" i="14"/>
  <c r="FE76" i="14"/>
  <c r="EW79" i="14"/>
  <c r="FE80" i="14"/>
  <c r="EO85" i="14"/>
  <c r="FE88" i="14"/>
  <c r="EW90" i="14"/>
  <c r="EO91" i="14"/>
  <c r="FE93" i="14"/>
  <c r="EO97" i="14"/>
  <c r="EW98" i="14"/>
  <c r="EO99" i="14"/>
  <c r="EO102" i="14"/>
  <c r="EO103" i="14"/>
  <c r="FE105" i="14"/>
  <c r="FE107" i="14"/>
  <c r="FE63" i="14"/>
  <c r="EO66" i="14"/>
  <c r="FE69" i="14"/>
  <c r="FE70" i="14"/>
  <c r="EW72" i="14"/>
  <c r="FE75" i="14"/>
  <c r="FE79" i="14"/>
  <c r="EO84" i="14"/>
  <c r="EW85" i="14"/>
  <c r="EO87" i="14"/>
  <c r="FE90" i="14"/>
  <c r="EW91" i="14"/>
  <c r="EW62" i="14"/>
  <c r="EW67" i="14"/>
  <c r="FE84" i="14"/>
  <c r="EO89" i="14"/>
  <c r="FE92" i="14"/>
  <c r="EO107" i="14"/>
  <c r="EW108" i="14"/>
  <c r="FE115" i="14"/>
  <c r="EW117" i="14"/>
  <c r="FE122" i="14"/>
  <c r="EW124" i="14"/>
  <c r="EO126" i="14"/>
  <c r="EW128" i="14"/>
  <c r="FE129" i="14"/>
  <c r="FE131" i="14"/>
  <c r="EW133" i="14"/>
  <c r="EW135" i="14"/>
  <c r="FE136" i="14"/>
  <c r="FE141" i="14"/>
  <c r="FE143" i="14"/>
  <c r="EW149" i="14"/>
  <c r="EO150" i="14"/>
  <c r="EO153" i="14"/>
  <c r="FE157" i="14"/>
  <c r="EW150" i="14"/>
  <c r="FE154" i="14"/>
  <c r="FE158" i="14"/>
  <c r="EW78" i="14"/>
  <c r="EO104" i="14"/>
  <c r="EW136" i="14"/>
  <c r="FE160" i="14"/>
  <c r="FE66" i="14"/>
  <c r="EW92" i="14"/>
  <c r="EW77" i="14"/>
  <c r="EW97" i="14"/>
  <c r="FE98" i="14"/>
  <c r="EW103" i="14"/>
  <c r="FE111" i="14"/>
  <c r="EO112" i="14"/>
  <c r="EO113" i="14"/>
  <c r="EW114" i="14"/>
  <c r="FE118" i="14"/>
  <c r="FE121" i="14"/>
  <c r="EW123" i="14"/>
  <c r="EO125" i="14"/>
  <c r="EW127" i="14"/>
  <c r="EO130" i="14"/>
  <c r="FE130" i="14"/>
  <c r="EW137" i="14"/>
  <c r="EO139" i="14"/>
  <c r="EW140" i="14"/>
  <c r="FE142" i="14"/>
  <c r="EW151" i="14"/>
  <c r="FE152" i="14"/>
  <c r="EW154" i="14"/>
  <c r="EO155" i="14"/>
  <c r="EW158" i="14"/>
  <c r="EW159" i="14"/>
  <c r="EO76" i="14"/>
  <c r="EW99" i="14"/>
  <c r="EO117" i="14"/>
  <c r="FE119" i="14"/>
  <c r="EO124" i="14"/>
  <c r="FE132" i="14"/>
  <c r="FE144" i="14"/>
  <c r="FE148" i="14"/>
  <c r="FE156" i="14"/>
  <c r="EW111" i="14"/>
  <c r="EO114" i="14"/>
  <c r="EO123" i="14"/>
  <c r="EW65" i="14"/>
  <c r="EO68" i="14"/>
  <c r="FE87" i="14"/>
  <c r="FE89" i="14"/>
  <c r="EO94" i="14"/>
  <c r="EW95" i="14"/>
  <c r="FE96" i="14"/>
  <c r="EW100" i="14"/>
  <c r="FE101" i="14"/>
  <c r="FE102" i="14"/>
  <c r="EO115" i="14"/>
  <c r="EW116" i="14"/>
  <c r="EW119" i="14"/>
  <c r="FE120" i="14"/>
  <c r="EO122" i="14"/>
  <c r="EO129" i="14"/>
  <c r="EO131" i="14"/>
  <c r="EW132" i="14"/>
  <c r="EO136" i="14"/>
  <c r="FE138" i="14"/>
  <c r="EO141" i="14"/>
  <c r="EO142" i="14"/>
  <c r="EO143" i="14"/>
  <c r="EW144" i="14"/>
  <c r="FE145" i="14"/>
  <c r="EW146" i="14"/>
  <c r="EW147" i="14"/>
  <c r="EW148" i="14"/>
  <c r="EW156" i="14"/>
  <c r="EO157" i="14"/>
  <c r="EW160" i="14"/>
  <c r="FE149" i="14"/>
  <c r="EW153" i="14"/>
  <c r="EW83" i="14"/>
  <c r="EO128" i="14"/>
  <c r="EW130" i="14"/>
  <c r="EW143" i="14"/>
  <c r="FE146" i="14"/>
  <c r="EO149" i="14"/>
  <c r="EO64" i="14"/>
  <c r="EO80" i="14"/>
  <c r="FE82" i="14"/>
  <c r="EW106" i="14"/>
  <c r="EO111" i="14"/>
  <c r="FE117" i="14"/>
  <c r="EO118" i="14"/>
  <c r="EO121" i="14"/>
  <c r="FE124" i="14"/>
  <c r="EW126" i="14"/>
  <c r="FE128" i="14"/>
  <c r="FE133" i="14"/>
  <c r="FE134" i="14"/>
  <c r="FE135" i="14"/>
  <c r="EO152" i="14"/>
  <c r="FE159" i="14"/>
  <c r="FE116" i="14"/>
  <c r="EO133" i="14"/>
  <c r="EW61" i="14"/>
  <c r="EO93" i="14"/>
  <c r="EW94" i="14"/>
  <c r="FE95" i="14"/>
  <c r="FE100" i="14"/>
  <c r="EO105" i="14"/>
  <c r="EW112" i="14"/>
  <c r="EW113" i="14"/>
  <c r="FE114" i="14"/>
  <c r="EO120" i="14"/>
  <c r="FE123" i="14"/>
  <c r="EW125" i="14"/>
  <c r="FE127" i="14"/>
  <c r="EO134" i="14"/>
  <c r="FE137" i="14"/>
  <c r="EO138" i="14"/>
  <c r="EW139" i="14"/>
  <c r="FE140" i="14"/>
  <c r="EO145" i="14"/>
  <c r="FE151" i="14"/>
  <c r="EW122" i="14"/>
  <c r="EW131" i="14"/>
  <c r="EW157" i="14"/>
  <c r="FE71" i="14"/>
  <c r="EO74" i="14"/>
  <c r="EW81" i="14"/>
  <c r="EO96" i="14"/>
  <c r="EO101" i="14"/>
  <c r="FE104" i="14"/>
  <c r="EW109" i="14"/>
  <c r="FE110" i="14"/>
  <c r="FE112" i="14"/>
  <c r="FE113" i="14"/>
  <c r="EO116" i="14"/>
  <c r="EO119" i="14"/>
  <c r="EW120" i="14"/>
  <c r="FE125" i="14"/>
  <c r="EO132" i="14"/>
  <c r="EW134" i="14"/>
  <c r="EW138" i="14"/>
  <c r="FE139" i="14"/>
  <c r="EO144" i="14"/>
  <c r="EW145" i="14"/>
  <c r="EO146" i="14"/>
  <c r="EO147" i="14"/>
  <c r="EO148" i="14"/>
  <c r="FE155" i="14"/>
  <c r="EO156" i="14"/>
  <c r="EO160" i="14"/>
  <c r="EW155" i="14"/>
  <c r="FE73" i="14"/>
  <c r="EO88" i="14"/>
  <c r="EO110" i="14"/>
  <c r="EW115" i="14"/>
  <c r="EW129" i="14"/>
  <c r="EO135" i="14"/>
  <c r="EW141" i="14"/>
  <c r="EW86" i="14"/>
  <c r="EO108" i="14"/>
  <c r="EW118" i="14"/>
  <c r="EW121" i="14"/>
  <c r="FE153" i="14"/>
  <c r="EW142" i="14"/>
  <c r="EW152" i="14"/>
  <c r="FE126" i="14"/>
  <c r="EO140" i="14"/>
  <c r="EO154" i="14"/>
  <c r="EO159" i="14"/>
  <c r="EO151" i="14"/>
  <c r="FE147" i="14"/>
  <c r="EO127" i="14"/>
  <c r="FE150" i="14"/>
  <c r="EO137" i="14"/>
  <c r="EO158" i="14"/>
  <c r="FB60" i="14"/>
  <c r="EL60" i="14"/>
  <c r="ET60" i="14"/>
  <c r="EW60" i="14"/>
  <c r="FE60" i="14"/>
  <c r="BI62" i="14"/>
  <c r="BA70" i="14"/>
  <c r="AS72" i="14"/>
  <c r="AS73" i="14"/>
  <c r="AS74" i="14"/>
  <c r="AS75" i="14"/>
  <c r="BI77" i="14"/>
  <c r="BI83" i="14"/>
  <c r="BI86" i="14"/>
  <c r="BI61" i="14"/>
  <c r="BA69" i="14"/>
  <c r="AS71" i="14"/>
  <c r="BI76" i="14"/>
  <c r="BA80" i="14"/>
  <c r="AS82" i="14"/>
  <c r="BI82" i="14"/>
  <c r="BA84" i="14"/>
  <c r="BA87" i="14"/>
  <c r="BA90" i="14"/>
  <c r="BA61" i="14"/>
  <c r="AS62" i="14"/>
  <c r="BI67" i="14"/>
  <c r="BI68" i="14"/>
  <c r="BA72" i="14"/>
  <c r="BA73" i="14"/>
  <c r="BA74" i="14"/>
  <c r="BA75" i="14"/>
  <c r="AS77" i="14"/>
  <c r="AS61" i="14"/>
  <c r="BI63" i="14"/>
  <c r="BI64" i="14"/>
  <c r="BI65" i="14"/>
  <c r="BI66" i="14"/>
  <c r="BA71" i="14"/>
  <c r="AS76" i="14"/>
  <c r="BI78" i="14"/>
  <c r="BI79" i="14"/>
  <c r="BA81" i="14"/>
  <c r="AS86" i="14"/>
  <c r="AS69" i="14"/>
  <c r="BA78" i="14"/>
  <c r="BA79" i="14"/>
  <c r="AS80" i="14"/>
  <c r="BI84" i="14"/>
  <c r="AS92" i="14"/>
  <c r="AS95" i="14"/>
  <c r="AS99" i="14"/>
  <c r="AS100" i="14"/>
  <c r="BI100" i="14"/>
  <c r="BA104" i="14"/>
  <c r="AS108" i="14"/>
  <c r="BI108" i="14"/>
  <c r="BA110" i="14"/>
  <c r="BA113" i="14"/>
  <c r="AS117" i="14"/>
  <c r="BI117" i="14"/>
  <c r="AS64" i="14"/>
  <c r="AS65" i="14"/>
  <c r="AS66" i="14"/>
  <c r="AS67" i="14"/>
  <c r="AS68" i="14"/>
  <c r="BA77" i="14"/>
  <c r="AS89" i="14"/>
  <c r="BA91" i="14"/>
  <c r="AS94" i="14"/>
  <c r="BI95" i="14"/>
  <c r="BA101" i="14"/>
  <c r="BA102" i="14"/>
  <c r="AS105" i="14"/>
  <c r="BI105" i="14"/>
  <c r="AS111" i="14"/>
  <c r="AS114" i="14"/>
  <c r="AS63" i="14"/>
  <c r="BA76" i="14"/>
  <c r="AS83" i="14"/>
  <c r="AS85" i="14"/>
  <c r="BA88" i="14"/>
  <c r="AS90" i="14"/>
  <c r="BI90" i="14"/>
  <c r="BA96" i="14"/>
  <c r="AS98" i="14"/>
  <c r="BA103" i="14"/>
  <c r="BA64" i="14"/>
  <c r="BA65" i="14"/>
  <c r="BA66" i="14"/>
  <c r="BA67" i="14"/>
  <c r="BA68" i="14"/>
  <c r="BI75" i="14"/>
  <c r="AS84" i="14"/>
  <c r="BI87" i="14"/>
  <c r="BA89" i="14"/>
  <c r="BI91" i="14"/>
  <c r="BA92" i="14"/>
  <c r="AS93" i="14"/>
  <c r="BI93" i="14"/>
  <c r="BI94" i="14"/>
  <c r="AS97" i="14"/>
  <c r="BI97" i="14"/>
  <c r="BI98" i="14"/>
  <c r="BI99" i="14"/>
  <c r="AS102" i="14"/>
  <c r="AS103" i="14"/>
  <c r="AS104" i="14"/>
  <c r="AS107" i="14"/>
  <c r="BI107" i="14"/>
  <c r="AS110" i="14"/>
  <c r="BA112" i="14"/>
  <c r="BA63" i="14"/>
  <c r="BI71" i="14"/>
  <c r="BI72" i="14"/>
  <c r="BI73" i="14"/>
  <c r="BI74" i="14"/>
  <c r="BA82" i="14"/>
  <c r="BI88" i="14"/>
  <c r="BA100" i="14"/>
  <c r="BI104" i="14"/>
  <c r="BA108" i="14"/>
  <c r="BI110" i="14"/>
  <c r="AS113" i="14"/>
  <c r="BI113" i="14"/>
  <c r="BA62" i="14"/>
  <c r="BI70" i="14"/>
  <c r="AS79" i="14"/>
  <c r="BI80" i="14"/>
  <c r="BA83" i="14"/>
  <c r="AS87" i="14"/>
  <c r="AS91" i="14"/>
  <c r="BA95" i="14"/>
  <c r="AS101" i="14"/>
  <c r="BI102" i="14"/>
  <c r="BI69" i="14"/>
  <c r="AS78" i="14"/>
  <c r="BI81" i="14"/>
  <c r="BA85" i="14"/>
  <c r="BA86" i="14"/>
  <c r="AS88" i="14"/>
  <c r="BA94" i="14"/>
  <c r="AS96" i="14"/>
  <c r="BI96" i="14"/>
  <c r="BI101" i="14"/>
  <c r="BI103" i="14"/>
  <c r="BI92" i="14"/>
  <c r="BA97" i="14"/>
  <c r="BA106" i="14"/>
  <c r="BI114" i="14"/>
  <c r="AS119" i="14"/>
  <c r="BI119" i="14"/>
  <c r="BA123" i="14"/>
  <c r="AS127" i="14"/>
  <c r="BI127" i="14"/>
  <c r="BA131" i="14"/>
  <c r="AS135" i="14"/>
  <c r="BI135" i="14"/>
  <c r="BA139" i="14"/>
  <c r="AS143" i="14"/>
  <c r="BI143" i="14"/>
  <c r="BA145" i="14"/>
  <c r="AS149" i="14"/>
  <c r="BI149" i="14"/>
  <c r="BA152" i="14"/>
  <c r="AS154" i="14"/>
  <c r="BA93" i="14"/>
  <c r="BA105" i="14"/>
  <c r="AS109" i="14"/>
  <c r="BA116" i="14"/>
  <c r="BA120" i="14"/>
  <c r="AS124" i="14"/>
  <c r="BI124" i="14"/>
  <c r="BA128" i="14"/>
  <c r="AS132" i="14"/>
  <c r="BI132" i="14"/>
  <c r="BA136" i="14"/>
  <c r="AS140" i="14"/>
  <c r="BI140" i="14"/>
  <c r="BA144" i="14"/>
  <c r="AS146" i="14"/>
  <c r="BI146" i="14"/>
  <c r="BA151" i="14"/>
  <c r="AS153" i="14"/>
  <c r="AS81" i="14"/>
  <c r="BA98" i="14"/>
  <c r="BI106" i="14"/>
  <c r="BA111" i="14"/>
  <c r="BI115" i="14"/>
  <c r="AS121" i="14"/>
  <c r="BI121" i="14"/>
  <c r="BA125" i="14"/>
  <c r="AS129" i="14"/>
  <c r="BI129" i="14"/>
  <c r="BA133" i="14"/>
  <c r="AS137" i="14"/>
  <c r="BI137" i="14"/>
  <c r="BA141" i="14"/>
  <c r="AS145" i="14"/>
  <c r="BA147" i="14"/>
  <c r="BA150" i="14"/>
  <c r="BI112" i="14"/>
  <c r="BA117" i="14"/>
  <c r="AS118" i="14"/>
  <c r="BI118" i="14"/>
  <c r="BA122" i="14"/>
  <c r="AS126" i="14"/>
  <c r="BI126" i="14"/>
  <c r="BA130" i="14"/>
  <c r="AS134" i="14"/>
  <c r="BI134" i="14"/>
  <c r="BA138" i="14"/>
  <c r="AS142" i="14"/>
  <c r="BI142" i="14"/>
  <c r="AS148" i="14"/>
  <c r="BI148" i="14"/>
  <c r="AS151" i="14"/>
  <c r="BI153" i="14"/>
  <c r="BI89" i="14"/>
  <c r="BA99" i="14"/>
  <c r="BA109" i="14"/>
  <c r="BI111" i="14"/>
  <c r="AS115" i="14"/>
  <c r="BI116" i="14"/>
  <c r="BA119" i="14"/>
  <c r="AS123" i="14"/>
  <c r="BI123" i="14"/>
  <c r="BA127" i="14"/>
  <c r="AS131" i="14"/>
  <c r="BI131" i="14"/>
  <c r="BA135" i="14"/>
  <c r="AS139" i="14"/>
  <c r="BI139" i="14"/>
  <c r="BA143" i="14"/>
  <c r="BI145" i="14"/>
  <c r="BA149" i="14"/>
  <c r="BI152" i="14"/>
  <c r="BA156" i="14"/>
  <c r="BA114" i="14"/>
  <c r="AS120" i="14"/>
  <c r="BI120" i="14"/>
  <c r="BA124" i="14"/>
  <c r="AS128" i="14"/>
  <c r="BI128" i="14"/>
  <c r="BA132" i="14"/>
  <c r="AS136" i="14"/>
  <c r="BI136" i="14"/>
  <c r="BA140" i="14"/>
  <c r="AS144" i="14"/>
  <c r="BI144" i="14"/>
  <c r="BA146" i="14"/>
  <c r="AS150" i="14"/>
  <c r="BI151" i="14"/>
  <c r="AS106" i="14"/>
  <c r="BI109" i="14"/>
  <c r="AS116" i="14"/>
  <c r="BA121" i="14"/>
  <c r="AS125" i="14"/>
  <c r="BI125" i="14"/>
  <c r="BA129" i="14"/>
  <c r="AS133" i="14"/>
  <c r="BI133" i="14"/>
  <c r="BA137" i="14"/>
  <c r="AS141" i="14"/>
  <c r="BI141" i="14"/>
  <c r="AS147" i="14"/>
  <c r="BI147" i="14"/>
  <c r="BA115" i="14"/>
  <c r="BI130" i="14"/>
  <c r="AS156" i="14"/>
  <c r="BI156" i="14"/>
  <c r="BA160" i="14"/>
  <c r="AS155" i="14"/>
  <c r="AS70" i="14"/>
  <c r="BA107" i="14"/>
  <c r="BA126" i="14"/>
  <c r="BI150" i="14"/>
  <c r="AS152" i="14"/>
  <c r="BA154" i="14"/>
  <c r="BA155" i="14"/>
  <c r="BA159" i="14"/>
  <c r="BI160" i="14"/>
  <c r="AS122" i="14"/>
  <c r="BA153" i="14"/>
  <c r="BA158" i="14"/>
  <c r="AS160" i="14"/>
  <c r="BI159" i="14"/>
  <c r="BI60" i="14"/>
  <c r="BI85" i="14"/>
  <c r="BI122" i="14"/>
  <c r="BA142" i="14"/>
  <c r="BI154" i="14"/>
  <c r="BA157" i="14"/>
  <c r="AS159" i="14"/>
  <c r="BA118" i="14"/>
  <c r="AS138" i="14"/>
  <c r="AS158" i="14"/>
  <c r="BI158" i="14"/>
  <c r="AS112" i="14"/>
  <c r="BI138" i="14"/>
  <c r="BA148" i="14"/>
  <c r="BI155" i="14"/>
  <c r="AS157" i="14"/>
  <c r="BA134" i="14"/>
  <c r="AS130" i="14"/>
  <c r="BI157" i="14"/>
  <c r="AX60" i="14"/>
  <c r="AX63" i="14"/>
  <c r="AP69" i="14"/>
  <c r="BF71" i="14"/>
  <c r="BF72" i="14"/>
  <c r="BF73" i="14"/>
  <c r="BF74" i="14"/>
  <c r="AX78" i="14"/>
  <c r="AX89" i="14"/>
  <c r="AP91" i="14"/>
  <c r="BF91" i="14"/>
  <c r="AX62" i="14"/>
  <c r="AP64" i="14"/>
  <c r="AP65" i="14"/>
  <c r="AP66" i="14"/>
  <c r="AP67" i="14"/>
  <c r="AP68" i="14"/>
  <c r="BF70" i="14"/>
  <c r="AX77" i="14"/>
  <c r="AP79" i="14"/>
  <c r="BF81" i="14"/>
  <c r="AX83" i="14"/>
  <c r="AX86" i="14"/>
  <c r="AP90" i="14"/>
  <c r="AX92" i="14"/>
  <c r="BF61" i="14"/>
  <c r="AX69" i="14"/>
  <c r="AP71" i="14"/>
  <c r="BF76" i="14"/>
  <c r="AX64" i="14"/>
  <c r="AX65" i="14"/>
  <c r="AX66" i="14"/>
  <c r="AX67" i="14"/>
  <c r="AX68" i="14"/>
  <c r="AP70" i="14"/>
  <c r="BF75" i="14"/>
  <c r="AX79" i="14"/>
  <c r="AP81" i="14"/>
  <c r="AP85" i="14"/>
  <c r="BF85" i="14"/>
  <c r="AX72" i="14"/>
  <c r="AX73" i="14"/>
  <c r="AX74" i="14"/>
  <c r="AX75" i="14"/>
  <c r="AP82" i="14"/>
  <c r="AP84" i="14"/>
  <c r="BF87" i="14"/>
  <c r="AP93" i="14"/>
  <c r="BF93" i="14"/>
  <c r="BF94" i="14"/>
  <c r="AP97" i="14"/>
  <c r="BF97" i="14"/>
  <c r="BF98" i="14"/>
  <c r="BF99" i="14"/>
  <c r="AP102" i="14"/>
  <c r="AP103" i="14"/>
  <c r="AP104" i="14"/>
  <c r="AP107" i="14"/>
  <c r="BF107" i="14"/>
  <c r="AP110" i="14"/>
  <c r="AX112" i="14"/>
  <c r="AP116" i="14"/>
  <c r="BF116" i="14"/>
  <c r="AP62" i="14"/>
  <c r="AX71" i="14"/>
  <c r="BF78" i="14"/>
  <c r="AX80" i="14"/>
  <c r="AX81" i="14"/>
  <c r="AX82" i="14"/>
  <c r="AP86" i="14"/>
  <c r="AX100" i="14"/>
  <c r="BF104" i="14"/>
  <c r="AX108" i="14"/>
  <c r="BF110" i="14"/>
  <c r="AP113" i="14"/>
  <c r="BF113" i="14"/>
  <c r="AX70" i="14"/>
  <c r="BF77" i="14"/>
  <c r="BF79" i="14"/>
  <c r="BF80" i="14"/>
  <c r="AP87" i="14"/>
  <c r="AX95" i="14"/>
  <c r="AP101" i="14"/>
  <c r="BF102" i="14"/>
  <c r="BF69" i="14"/>
  <c r="AP78" i="14"/>
  <c r="AX85" i="14"/>
  <c r="BF88" i="14"/>
  <c r="AX94" i="14"/>
  <c r="AP96" i="14"/>
  <c r="BF96" i="14"/>
  <c r="BF101" i="14"/>
  <c r="BF103" i="14"/>
  <c r="AP106" i="14"/>
  <c r="BF106" i="14"/>
  <c r="BF109" i="14"/>
  <c r="AX111" i="14"/>
  <c r="AP61" i="14"/>
  <c r="BF67" i="14"/>
  <c r="BF68" i="14"/>
  <c r="AP77" i="14"/>
  <c r="AX84" i="14"/>
  <c r="BF89" i="14"/>
  <c r="AX90" i="14"/>
  <c r="BF92" i="14"/>
  <c r="AX93" i="14"/>
  <c r="AX97" i="14"/>
  <c r="AX98" i="14"/>
  <c r="AX99" i="14"/>
  <c r="AX107" i="14"/>
  <c r="AP112" i="14"/>
  <c r="BF112" i="14"/>
  <c r="AX116" i="14"/>
  <c r="AX61" i="14"/>
  <c r="BF63" i="14"/>
  <c r="BF64" i="14"/>
  <c r="BF65" i="14"/>
  <c r="BF66" i="14"/>
  <c r="AP76" i="14"/>
  <c r="AP80" i="14"/>
  <c r="BF82" i="14"/>
  <c r="BF84" i="14"/>
  <c r="AP88" i="14"/>
  <c r="AP92" i="14"/>
  <c r="AP95" i="14"/>
  <c r="AP99" i="14"/>
  <c r="AP100" i="14"/>
  <c r="BF100" i="14"/>
  <c r="AX104" i="14"/>
  <c r="BF62" i="14"/>
  <c r="AP72" i="14"/>
  <c r="AP73" i="14"/>
  <c r="AP74" i="14"/>
  <c r="AP75" i="14"/>
  <c r="BF83" i="14"/>
  <c r="AX87" i="14"/>
  <c r="AP89" i="14"/>
  <c r="AX91" i="14"/>
  <c r="AP94" i="14"/>
  <c r="BF95" i="14"/>
  <c r="AX101" i="14"/>
  <c r="AX102" i="14"/>
  <c r="AP63" i="14"/>
  <c r="BF86" i="14"/>
  <c r="AX105" i="14"/>
  <c r="AP109" i="14"/>
  <c r="BF115" i="14"/>
  <c r="AX117" i="14"/>
  <c r="AP118" i="14"/>
  <c r="BF118" i="14"/>
  <c r="AX122" i="14"/>
  <c r="AP126" i="14"/>
  <c r="BF126" i="14"/>
  <c r="AX130" i="14"/>
  <c r="AP134" i="14"/>
  <c r="BF134" i="14"/>
  <c r="AX138" i="14"/>
  <c r="AP142" i="14"/>
  <c r="BF142" i="14"/>
  <c r="AP148" i="14"/>
  <c r="BF148" i="14"/>
  <c r="AP151" i="14"/>
  <c r="BF153" i="14"/>
  <c r="AP98" i="14"/>
  <c r="AP108" i="14"/>
  <c r="AX110" i="14"/>
  <c r="AX119" i="14"/>
  <c r="AP123" i="14"/>
  <c r="BF123" i="14"/>
  <c r="AX127" i="14"/>
  <c r="AP131" i="14"/>
  <c r="BF131" i="14"/>
  <c r="AX135" i="14"/>
  <c r="AP139" i="14"/>
  <c r="BF139" i="14"/>
  <c r="AX143" i="14"/>
  <c r="BF145" i="14"/>
  <c r="AX149" i="14"/>
  <c r="BF152" i="14"/>
  <c r="AX88" i="14"/>
  <c r="BF105" i="14"/>
  <c r="AP114" i="14"/>
  <c r="AP115" i="14"/>
  <c r="AP120" i="14"/>
  <c r="BF120" i="14"/>
  <c r="AX124" i="14"/>
  <c r="AP128" i="14"/>
  <c r="BF128" i="14"/>
  <c r="AX132" i="14"/>
  <c r="AP136" i="14"/>
  <c r="BF136" i="14"/>
  <c r="AX140" i="14"/>
  <c r="AP144" i="14"/>
  <c r="BF144" i="14"/>
  <c r="AX146" i="14"/>
  <c r="AP150" i="14"/>
  <c r="AX103" i="14"/>
  <c r="AX109" i="14"/>
  <c r="BF111" i="14"/>
  <c r="AX121" i="14"/>
  <c r="AP125" i="14"/>
  <c r="BF125" i="14"/>
  <c r="AX129" i="14"/>
  <c r="AP133" i="14"/>
  <c r="BF133" i="14"/>
  <c r="AX137" i="14"/>
  <c r="AP141" i="14"/>
  <c r="BF141" i="14"/>
  <c r="AP147" i="14"/>
  <c r="BF147" i="14"/>
  <c r="BF150" i="14"/>
  <c r="AX154" i="14"/>
  <c r="AP156" i="14"/>
  <c r="AP83" i="14"/>
  <c r="AX114" i="14"/>
  <c r="BF117" i="14"/>
  <c r="AX118" i="14"/>
  <c r="AP122" i="14"/>
  <c r="BF122" i="14"/>
  <c r="AX126" i="14"/>
  <c r="AP130" i="14"/>
  <c r="BF130" i="14"/>
  <c r="AX134" i="14"/>
  <c r="AP138" i="14"/>
  <c r="BF138" i="14"/>
  <c r="AX142" i="14"/>
  <c r="AX148" i="14"/>
  <c r="AX153" i="14"/>
  <c r="AP155" i="14"/>
  <c r="AX76" i="14"/>
  <c r="BF90" i="14"/>
  <c r="BF108" i="14"/>
  <c r="AX113" i="14"/>
  <c r="AX115" i="14"/>
  <c r="AP117" i="14"/>
  <c r="AP119" i="14"/>
  <c r="BF119" i="14"/>
  <c r="AX123" i="14"/>
  <c r="AP127" i="14"/>
  <c r="BF127" i="14"/>
  <c r="AX131" i="14"/>
  <c r="AP135" i="14"/>
  <c r="BF135" i="14"/>
  <c r="AX139" i="14"/>
  <c r="AP143" i="14"/>
  <c r="BF143" i="14"/>
  <c r="AX145" i="14"/>
  <c r="AP149" i="14"/>
  <c r="BF149" i="14"/>
  <c r="AX152" i="14"/>
  <c r="AX96" i="14"/>
  <c r="AP105" i="14"/>
  <c r="AP111" i="14"/>
  <c r="BF114" i="14"/>
  <c r="AX120" i="14"/>
  <c r="AP124" i="14"/>
  <c r="BF124" i="14"/>
  <c r="AX128" i="14"/>
  <c r="AP132" i="14"/>
  <c r="BF132" i="14"/>
  <c r="AX136" i="14"/>
  <c r="AP140" i="14"/>
  <c r="BF140" i="14"/>
  <c r="AX144" i="14"/>
  <c r="AP146" i="14"/>
  <c r="BF146" i="14"/>
  <c r="AX106" i="14"/>
  <c r="AP121" i="14"/>
  <c r="AX150" i="14"/>
  <c r="AP152" i="14"/>
  <c r="AX155" i="14"/>
  <c r="AX157" i="14"/>
  <c r="AP159" i="14"/>
  <c r="BF129" i="14"/>
  <c r="BF121" i="14"/>
  <c r="AX141" i="14"/>
  <c r="AP158" i="14"/>
  <c r="BF160" i="14"/>
  <c r="BF60" i="14"/>
  <c r="BF151" i="14"/>
  <c r="AP137" i="14"/>
  <c r="BF154" i="14"/>
  <c r="BF155" i="14"/>
  <c r="AP157" i="14"/>
  <c r="BF159" i="14"/>
  <c r="BF137" i="14"/>
  <c r="AX147" i="14"/>
  <c r="AX156" i="14"/>
  <c r="BF158" i="14"/>
  <c r="AX160" i="14"/>
  <c r="AX159" i="14"/>
  <c r="AX133" i="14"/>
  <c r="AX151" i="14"/>
  <c r="AP154" i="14"/>
  <c r="BF157" i="14"/>
  <c r="AP129" i="14"/>
  <c r="AP153" i="14"/>
  <c r="BF156" i="14"/>
  <c r="AX125" i="14"/>
  <c r="AP145" i="14"/>
  <c r="AX158" i="14"/>
  <c r="AP160" i="14"/>
  <c r="BA60" i="14"/>
  <c r="AS60" i="14"/>
  <c r="AP60" i="14"/>
  <c r="EO60" i="14"/>
  <c r="B87" i="14"/>
  <c r="B119" i="14"/>
  <c r="B151" i="14"/>
  <c r="B63" i="14"/>
  <c r="B95" i="14"/>
  <c r="B127" i="14"/>
  <c r="B159" i="14"/>
  <c r="B67" i="14"/>
  <c r="B99" i="14"/>
  <c r="B131" i="14"/>
  <c r="B71" i="14"/>
  <c r="B103" i="14"/>
  <c r="B20" i="6"/>
  <c r="D45" i="40" s="1"/>
  <c r="B41" i="6"/>
  <c r="D66" i="40" s="1"/>
  <c r="B64" i="6"/>
  <c r="D89" i="40" s="1"/>
  <c r="B158" i="14"/>
  <c r="B154" i="14"/>
  <c r="B150" i="14"/>
  <c r="B146" i="14"/>
  <c r="B142" i="14"/>
  <c r="B138" i="14"/>
  <c r="B134" i="14"/>
  <c r="B130" i="14"/>
  <c r="B126" i="14"/>
  <c r="B122" i="14"/>
  <c r="B118" i="14"/>
  <c r="B114" i="14"/>
  <c r="B110" i="14"/>
  <c r="B106" i="14"/>
  <c r="B102" i="14"/>
  <c r="B98" i="14"/>
  <c r="B94" i="14"/>
  <c r="B90" i="14"/>
  <c r="B86" i="14"/>
  <c r="B82" i="14"/>
  <c r="B78" i="14"/>
  <c r="B74" i="14"/>
  <c r="B70" i="14"/>
  <c r="B66" i="14"/>
  <c r="B62" i="14"/>
  <c r="B21" i="6"/>
  <c r="D46" i="40" s="1"/>
  <c r="B47" i="6"/>
  <c r="D72" i="40" s="1"/>
  <c r="B65" i="6"/>
  <c r="D90" i="40" s="1"/>
  <c r="B88" i="6"/>
  <c r="B23" i="6"/>
  <c r="D48" i="40" s="1"/>
  <c r="B48" i="6"/>
  <c r="D73" i="40" s="1"/>
  <c r="B71" i="6"/>
  <c r="D96" i="40" s="1"/>
  <c r="B60" i="14"/>
  <c r="B157" i="14"/>
  <c r="B153" i="14"/>
  <c r="B149" i="14"/>
  <c r="B145" i="14"/>
  <c r="B141" i="14"/>
  <c r="B137" i="14"/>
  <c r="B133" i="14"/>
  <c r="B129" i="14"/>
  <c r="B125" i="14"/>
  <c r="B121" i="14"/>
  <c r="B117" i="14"/>
  <c r="B113" i="14"/>
  <c r="B109" i="14"/>
  <c r="B105" i="14"/>
  <c r="B101" i="14"/>
  <c r="B97" i="14"/>
  <c r="B93" i="14"/>
  <c r="B89" i="14"/>
  <c r="B85" i="14"/>
  <c r="B81" i="14"/>
  <c r="B77" i="14"/>
  <c r="B73" i="14"/>
  <c r="B69" i="14"/>
  <c r="B65" i="14"/>
  <c r="B61" i="14"/>
  <c r="B24" i="6"/>
  <c r="D49" i="40" s="1"/>
  <c r="B49" i="6"/>
  <c r="D74" i="40" s="1"/>
  <c r="B72" i="6"/>
  <c r="D97" i="40" s="1"/>
  <c r="B31" i="6"/>
  <c r="D56" i="40" s="1"/>
  <c r="B55" i="6"/>
  <c r="D80" i="40" s="1"/>
  <c r="B73" i="6"/>
  <c r="D98" i="40" s="1"/>
  <c r="B160" i="14"/>
  <c r="B156" i="14"/>
  <c r="B152" i="14"/>
  <c r="B148" i="14"/>
  <c r="B144" i="14"/>
  <c r="B140" i="14"/>
  <c r="B136" i="14"/>
  <c r="B132" i="14"/>
  <c r="B128" i="14"/>
  <c r="B124" i="14"/>
  <c r="B120" i="14"/>
  <c r="B116" i="14"/>
  <c r="B112" i="14"/>
  <c r="B108" i="14"/>
  <c r="B104" i="14"/>
  <c r="B100" i="14"/>
  <c r="B96" i="14"/>
  <c r="B92" i="14"/>
  <c r="B88" i="14"/>
  <c r="B84" i="14"/>
  <c r="B80" i="14"/>
  <c r="B76" i="14"/>
  <c r="B72" i="14"/>
  <c r="B68" i="14"/>
  <c r="B64" i="14"/>
  <c r="B32" i="6"/>
  <c r="D57" i="40" s="1"/>
  <c r="B56" i="6"/>
  <c r="D81" i="40" s="1"/>
  <c r="B79" i="6"/>
  <c r="D104" i="40" s="1"/>
  <c r="B39" i="6"/>
  <c r="D64" i="40" s="1"/>
  <c r="B57" i="6"/>
  <c r="D82" i="40" s="1"/>
  <c r="B80" i="6"/>
  <c r="D105" i="40" s="1"/>
  <c r="B107" i="6"/>
  <c r="D132" i="40" s="1"/>
  <c r="B89" i="6"/>
  <c r="D114" i="40" s="1"/>
  <c r="B75" i="14"/>
  <c r="B107" i="14"/>
  <c r="B139" i="14"/>
  <c r="B79" i="14"/>
  <c r="B111" i="14"/>
  <c r="B143" i="14"/>
  <c r="B83" i="14"/>
  <c r="B115" i="14"/>
  <c r="B147" i="14"/>
  <c r="B33" i="6"/>
  <c r="D58" i="40" s="1"/>
  <c r="B25" i="6"/>
  <c r="D50" i="40" s="1"/>
  <c r="B94" i="6"/>
  <c r="D119" i="40" s="1"/>
  <c r="B86" i="6"/>
  <c r="D111" i="40" s="1"/>
  <c r="B78" i="6"/>
  <c r="D103" i="40" s="1"/>
  <c r="B70" i="6"/>
  <c r="D95" i="40" s="1"/>
  <c r="B62" i="6"/>
  <c r="D87" i="40" s="1"/>
  <c r="B54" i="6"/>
  <c r="D79" i="40" s="1"/>
  <c r="B46" i="6"/>
  <c r="D71" i="40" s="1"/>
  <c r="B38" i="6"/>
  <c r="D63" i="40" s="1"/>
  <c r="B30" i="6"/>
  <c r="D55" i="40" s="1"/>
  <c r="B22" i="6"/>
  <c r="D47" i="40" s="1"/>
  <c r="B117" i="6"/>
  <c r="D142" i="40" s="1"/>
  <c r="B109" i="6"/>
  <c r="D134" i="40" s="1"/>
  <c r="B101" i="6"/>
  <c r="D126" i="40" s="1"/>
  <c r="B93" i="6"/>
  <c r="D118" i="40" s="1"/>
  <c r="B85" i="6"/>
  <c r="D110" i="40" s="1"/>
  <c r="B77" i="6"/>
  <c r="D102" i="40" s="1"/>
  <c r="B69" i="6"/>
  <c r="D94" i="40" s="1"/>
  <c r="B61" i="6"/>
  <c r="D86" i="40" s="1"/>
  <c r="B53" i="6"/>
  <c r="D78" i="40" s="1"/>
  <c r="B45" i="6"/>
  <c r="D70" i="40" s="1"/>
  <c r="B37" i="6"/>
  <c r="D62" i="40" s="1"/>
  <c r="B29" i="6"/>
  <c r="D54" i="40" s="1"/>
  <c r="B120" i="6"/>
  <c r="D145" i="40" s="1"/>
  <c r="B116" i="6"/>
  <c r="B108" i="6"/>
  <c r="D133" i="40" s="1"/>
  <c r="B100" i="6"/>
  <c r="D125" i="40" s="1"/>
  <c r="B92" i="6"/>
  <c r="D117" i="40" s="1"/>
  <c r="B84" i="6"/>
  <c r="D109" i="40" s="1"/>
  <c r="B76" i="6"/>
  <c r="D101" i="40" s="1"/>
  <c r="B68" i="6"/>
  <c r="D93" i="40" s="1"/>
  <c r="E93" i="40" s="1"/>
  <c r="B60" i="6"/>
  <c r="D85" i="40" s="1"/>
  <c r="E85" i="40" s="1"/>
  <c r="B52" i="6"/>
  <c r="D77" i="40" s="1"/>
  <c r="B44" i="6"/>
  <c r="D69" i="40" s="1"/>
  <c r="B36" i="6"/>
  <c r="D61" i="40" s="1"/>
  <c r="B28" i="6"/>
  <c r="D53" i="40" s="1"/>
  <c r="B99" i="6"/>
  <c r="D124" i="40" s="1"/>
  <c r="B91" i="6"/>
  <c r="D116" i="40" s="1"/>
  <c r="B83" i="6"/>
  <c r="D108" i="40" s="1"/>
  <c r="E108" i="40" s="1"/>
  <c r="B75" i="6"/>
  <c r="D100" i="40" s="1"/>
  <c r="E100" i="40" s="1"/>
  <c r="B67" i="6"/>
  <c r="D92" i="40" s="1"/>
  <c r="B59" i="6"/>
  <c r="D84" i="40" s="1"/>
  <c r="E84" i="40" s="1"/>
  <c r="B51" i="6"/>
  <c r="D76" i="40" s="1"/>
  <c r="E76" i="40" s="1"/>
  <c r="B43" i="6"/>
  <c r="D68" i="40" s="1"/>
  <c r="B35" i="6"/>
  <c r="D60" i="40" s="1"/>
  <c r="E60" i="40" s="1"/>
  <c r="B27" i="6"/>
  <c r="D52" i="40" s="1"/>
  <c r="E52" i="40" s="1"/>
  <c r="B114" i="6"/>
  <c r="D139" i="40" s="1"/>
  <c r="E139" i="40" s="1"/>
  <c r="B106" i="6"/>
  <c r="D131" i="40" s="1"/>
  <c r="E131" i="40" s="1"/>
  <c r="B98" i="6"/>
  <c r="D123" i="40" s="1"/>
  <c r="E123" i="40" s="1"/>
  <c r="B90" i="6"/>
  <c r="D115" i="40" s="1"/>
  <c r="E115" i="40" s="1"/>
  <c r="B82" i="6"/>
  <c r="D107" i="40" s="1"/>
  <c r="E107" i="40" s="1"/>
  <c r="B74" i="6"/>
  <c r="D99" i="40" s="1"/>
  <c r="E99" i="40" s="1"/>
  <c r="B66" i="6"/>
  <c r="D91" i="40" s="1"/>
  <c r="E91" i="40" s="1"/>
  <c r="B58" i="6"/>
  <c r="D83" i="40" s="1"/>
  <c r="B50" i="6"/>
  <c r="D75" i="40" s="1"/>
  <c r="E75" i="40" s="1"/>
  <c r="B42" i="6"/>
  <c r="D67" i="40" s="1"/>
  <c r="E67" i="40" s="1"/>
  <c r="B34" i="6"/>
  <c r="D59" i="40" s="1"/>
  <c r="B26" i="6"/>
  <c r="D51" i="40" s="1"/>
  <c r="E51" i="40" s="1"/>
  <c r="D103" i="6"/>
  <c r="AC33" i="4"/>
  <c r="AB33" i="4"/>
  <c r="AA33" i="4"/>
  <c r="AC32" i="4"/>
  <c r="AB32" i="4"/>
  <c r="AA32" i="4"/>
  <c r="AC31" i="4"/>
  <c r="AB31" i="4"/>
  <c r="AA31" i="4"/>
  <c r="Z33" i="4"/>
  <c r="Y33" i="4"/>
  <c r="X33" i="4"/>
  <c r="Z32" i="4"/>
  <c r="Y32" i="4"/>
  <c r="X32" i="4"/>
  <c r="Z31" i="4"/>
  <c r="Y31" i="4"/>
  <c r="X31" i="4"/>
  <c r="W33" i="4"/>
  <c r="V33" i="4"/>
  <c r="U33" i="4"/>
  <c r="W32" i="4"/>
  <c r="V32" i="4"/>
  <c r="U32" i="4"/>
  <c r="W31" i="4"/>
  <c r="V31" i="4"/>
  <c r="U31" i="4"/>
  <c r="T32" i="4"/>
  <c r="T33" i="4"/>
  <c r="T31" i="4"/>
  <c r="G32" i="4"/>
  <c r="H32" i="4"/>
  <c r="I32" i="4"/>
  <c r="G33" i="4"/>
  <c r="H33" i="4"/>
  <c r="I33" i="4"/>
  <c r="H31" i="4"/>
  <c r="I31" i="4"/>
  <c r="G31" i="4"/>
  <c r="L33" i="4"/>
  <c r="L32" i="4"/>
  <c r="L31" i="4"/>
  <c r="K33" i="4"/>
  <c r="K32" i="4"/>
  <c r="K31" i="4"/>
  <c r="J33" i="4"/>
  <c r="J32" i="4"/>
  <c r="J31" i="4"/>
  <c r="D32" i="4"/>
  <c r="E32" i="4"/>
  <c r="F32" i="4"/>
  <c r="D33" i="4"/>
  <c r="E33" i="4"/>
  <c r="F33" i="4"/>
  <c r="E31" i="4"/>
  <c r="F31" i="4"/>
  <c r="D31" i="4"/>
  <c r="E101" i="40" l="1"/>
  <c r="E124" i="40"/>
  <c r="E53" i="40"/>
  <c r="E61" i="40"/>
  <c r="E69" i="40"/>
  <c r="E77" i="40"/>
  <c r="E62" i="40"/>
  <c r="E126" i="40"/>
  <c r="E114" i="40"/>
  <c r="E65" i="40"/>
  <c r="E129" i="40"/>
  <c r="E109" i="40"/>
  <c r="E117" i="40"/>
  <c r="E133" i="40"/>
  <c r="E70" i="40"/>
  <c r="E134" i="40"/>
  <c r="E95" i="40"/>
  <c r="E132" i="40"/>
  <c r="E98" i="40"/>
  <c r="E96" i="40"/>
  <c r="E89" i="40"/>
  <c r="E138" i="40"/>
  <c r="AX68" i="43"/>
  <c r="AX68" i="45" s="1"/>
  <c r="E130" i="40"/>
  <c r="AX58" i="43"/>
  <c r="AX58" i="45" s="1"/>
  <c r="E83" i="40"/>
  <c r="AX55" i="43"/>
  <c r="AX55" i="45" s="1"/>
  <c r="E68" i="40"/>
  <c r="AX57" i="43"/>
  <c r="AX57" i="45" s="1"/>
  <c r="E78" i="40"/>
  <c r="E142" i="40"/>
  <c r="E103" i="40"/>
  <c r="E105" i="40"/>
  <c r="E80" i="40"/>
  <c r="AX56" i="43"/>
  <c r="AX56" i="45" s="1"/>
  <c r="E73" i="40"/>
  <c r="E66" i="40"/>
  <c r="E128" i="40"/>
  <c r="AX67" i="43"/>
  <c r="AX67" i="45" s="1"/>
  <c r="E125" i="40"/>
  <c r="E86" i="40"/>
  <c r="E47" i="40"/>
  <c r="AX64" i="43"/>
  <c r="AX64" i="45" s="1"/>
  <c r="E111" i="40"/>
  <c r="E82" i="40"/>
  <c r="E56" i="40"/>
  <c r="E48" i="40"/>
  <c r="AX50" i="43"/>
  <c r="AX50" i="45" s="1"/>
  <c r="E45" i="40"/>
  <c r="E120" i="40"/>
  <c r="E144" i="40"/>
  <c r="E88" i="40"/>
  <c r="AX65" i="43"/>
  <c r="AX65" i="45" s="1"/>
  <c r="E116" i="40"/>
  <c r="E94" i="40"/>
  <c r="E55" i="40"/>
  <c r="E119" i="40"/>
  <c r="AX54" i="43"/>
  <c r="AX54" i="45" s="1"/>
  <c r="E64" i="40"/>
  <c r="AX61" i="43"/>
  <c r="AX61" i="45" s="1"/>
  <c r="E97" i="40"/>
  <c r="D88" i="6"/>
  <c r="D113" i="40"/>
  <c r="E113" i="40" s="1"/>
  <c r="E136" i="40"/>
  <c r="E127" i="40"/>
  <c r="E112" i="40"/>
  <c r="AX59" i="43"/>
  <c r="AX59" i="45" s="1"/>
  <c r="E87" i="40"/>
  <c r="AX53" i="43"/>
  <c r="AX53" i="45" s="1"/>
  <c r="E59" i="40"/>
  <c r="AX60" i="43"/>
  <c r="AX60" i="45" s="1"/>
  <c r="E92" i="40"/>
  <c r="D116" i="6"/>
  <c r="D141" i="40"/>
  <c r="E141" i="40" s="1"/>
  <c r="AX62" i="43"/>
  <c r="AX62" i="45" s="1"/>
  <c r="E102" i="40"/>
  <c r="E63" i="40"/>
  <c r="E50" i="40"/>
  <c r="E104" i="40"/>
  <c r="E74" i="40"/>
  <c r="E90" i="40"/>
  <c r="E143" i="40"/>
  <c r="AX70" i="43"/>
  <c r="AX70" i="45" s="1"/>
  <c r="E140" i="40"/>
  <c r="AX69" i="43"/>
  <c r="AX69" i="45" s="1"/>
  <c r="E135" i="40"/>
  <c r="E145" i="40"/>
  <c r="AX71" i="43"/>
  <c r="AX71" i="45" s="1"/>
  <c r="E110" i="40"/>
  <c r="E71" i="40"/>
  <c r="E58" i="40"/>
  <c r="E81" i="40"/>
  <c r="AX51" i="43"/>
  <c r="AX51" i="45" s="1"/>
  <c r="E49" i="40"/>
  <c r="E72" i="40"/>
  <c r="D97" i="6"/>
  <c r="D121" i="40"/>
  <c r="AX63" i="43"/>
  <c r="AX63" i="45" s="1"/>
  <c r="E106" i="40"/>
  <c r="AX52" i="43"/>
  <c r="AX52" i="45" s="1"/>
  <c r="E54" i="40"/>
  <c r="E118" i="40"/>
  <c r="E79" i="40"/>
  <c r="E57" i="40"/>
  <c r="E46" i="40"/>
  <c r="E137" i="40"/>
  <c r="E122" i="40"/>
  <c r="IM111" i="14"/>
  <c r="IG111" i="14"/>
  <c r="IL111" i="14"/>
  <c r="HV111" i="14"/>
  <c r="IO111" i="14"/>
  <c r="ID111" i="14"/>
  <c r="IE111" i="14"/>
  <c r="IO76" i="14"/>
  <c r="IG76" i="14"/>
  <c r="IE76" i="14"/>
  <c r="IF76" i="14"/>
  <c r="IM76" i="14"/>
  <c r="IN76" i="14"/>
  <c r="HX76" i="14"/>
  <c r="IO108" i="14"/>
  <c r="ID108" i="14"/>
  <c r="IL108" i="14"/>
  <c r="IG108" i="14"/>
  <c r="HV108" i="14"/>
  <c r="IN140" i="14"/>
  <c r="IE140" i="14"/>
  <c r="IL140" i="14"/>
  <c r="IM140" i="14"/>
  <c r="ID140" i="14"/>
  <c r="IF140" i="14"/>
  <c r="HV140" i="14"/>
  <c r="HW140" i="14"/>
  <c r="IM77" i="14"/>
  <c r="IN77" i="14"/>
  <c r="IG77" i="14"/>
  <c r="IF77" i="14"/>
  <c r="IO77" i="14"/>
  <c r="HX77" i="14"/>
  <c r="IE77" i="14"/>
  <c r="IG109" i="14"/>
  <c r="HV109" i="14"/>
  <c r="IO109" i="14"/>
  <c r="ID109" i="14"/>
  <c r="IL109" i="14"/>
  <c r="IM141" i="14"/>
  <c r="IN141" i="14"/>
  <c r="HV141" i="14"/>
  <c r="IL141" i="14"/>
  <c r="ID141" i="14"/>
  <c r="IE141" i="14"/>
  <c r="IF141" i="14"/>
  <c r="HW141" i="14"/>
  <c r="IG70" i="14"/>
  <c r="IF70" i="14"/>
  <c r="IN70" i="14"/>
  <c r="IO70" i="14"/>
  <c r="IM70" i="14"/>
  <c r="IE70" i="14"/>
  <c r="HX70" i="14"/>
  <c r="IG102" i="14"/>
  <c r="IO102" i="14"/>
  <c r="ID102" i="14"/>
  <c r="HV102" i="14"/>
  <c r="IL102" i="14"/>
  <c r="IE134" i="14"/>
  <c r="HV134" i="14"/>
  <c r="HW134" i="14"/>
  <c r="IL134" i="14"/>
  <c r="ID134" i="14"/>
  <c r="IM134" i="14"/>
  <c r="IM127" i="14"/>
  <c r="IL127" i="14"/>
  <c r="HV127" i="14"/>
  <c r="ID127" i="14"/>
  <c r="IE127" i="14"/>
  <c r="HW127" i="14"/>
  <c r="IM155" i="14"/>
  <c r="IN155" i="14"/>
  <c r="IF155" i="14"/>
  <c r="HV155" i="14"/>
  <c r="HW155" i="14"/>
  <c r="IL155" i="14"/>
  <c r="ID155" i="14"/>
  <c r="IE155" i="14"/>
  <c r="HX155" i="14"/>
  <c r="IM79" i="14"/>
  <c r="IN79" i="14"/>
  <c r="IG79" i="14"/>
  <c r="IE79" i="14"/>
  <c r="IO79" i="14"/>
  <c r="IF79" i="14"/>
  <c r="HX79" i="14"/>
  <c r="IF80" i="14"/>
  <c r="IN80" i="14"/>
  <c r="IG80" i="14"/>
  <c r="IO80" i="14"/>
  <c r="IO112" i="14"/>
  <c r="HV112" i="14"/>
  <c r="IL112" i="14"/>
  <c r="ID112" i="14"/>
  <c r="IM112" i="14"/>
  <c r="IE112" i="14"/>
  <c r="IG112" i="14"/>
  <c r="ID144" i="14"/>
  <c r="IE144" i="14"/>
  <c r="IF144" i="14"/>
  <c r="IL144" i="14"/>
  <c r="IM144" i="14"/>
  <c r="IN144" i="14"/>
  <c r="HV144" i="14"/>
  <c r="HW144" i="14"/>
  <c r="IN81" i="14"/>
  <c r="IG81" i="14"/>
  <c r="IO81" i="14"/>
  <c r="IF81" i="14"/>
  <c r="IM113" i="14"/>
  <c r="ID113" i="14"/>
  <c r="HV113" i="14"/>
  <c r="IG113" i="14"/>
  <c r="IL113" i="14"/>
  <c r="IO113" i="14"/>
  <c r="IE113" i="14"/>
  <c r="IM145" i="14"/>
  <c r="IN145" i="14"/>
  <c r="ID145" i="14"/>
  <c r="HV145" i="14"/>
  <c r="IL145" i="14"/>
  <c r="IE145" i="14"/>
  <c r="IF145" i="14"/>
  <c r="HW145" i="14"/>
  <c r="IF74" i="14"/>
  <c r="IM74" i="14"/>
  <c r="IN74" i="14"/>
  <c r="IO74" i="14"/>
  <c r="IE74" i="14"/>
  <c r="HX74" i="14"/>
  <c r="IG74" i="14"/>
  <c r="IL106" i="14"/>
  <c r="IO106" i="14"/>
  <c r="IG106" i="14"/>
  <c r="ID106" i="14"/>
  <c r="HV106" i="14"/>
  <c r="IL138" i="14"/>
  <c r="IM138" i="14"/>
  <c r="IN138" i="14"/>
  <c r="ID138" i="14"/>
  <c r="IE138" i="14"/>
  <c r="IF138" i="14"/>
  <c r="HV138" i="14"/>
  <c r="HW138" i="14"/>
  <c r="IN95" i="14"/>
  <c r="IG95" i="14"/>
  <c r="IL95" i="14"/>
  <c r="HV95" i="14"/>
  <c r="IO95" i="14"/>
  <c r="ID95" i="14"/>
  <c r="IF95" i="14"/>
  <c r="IM135" i="14"/>
  <c r="IN135" i="14"/>
  <c r="IL135" i="14"/>
  <c r="HV135" i="14"/>
  <c r="ID135" i="14"/>
  <c r="IE135" i="14"/>
  <c r="IF135" i="14"/>
  <c r="HW135" i="14"/>
  <c r="IM139" i="14"/>
  <c r="IN139" i="14"/>
  <c r="IF139" i="14"/>
  <c r="HV139" i="14"/>
  <c r="IL139" i="14"/>
  <c r="ID139" i="14"/>
  <c r="IE139" i="14"/>
  <c r="HW139" i="14"/>
  <c r="IN84" i="14"/>
  <c r="IO84" i="14"/>
  <c r="IF84" i="14"/>
  <c r="IG84" i="14"/>
  <c r="IO116" i="14"/>
  <c r="IE116" i="14"/>
  <c r="IM116" i="14"/>
  <c r="IG116" i="14"/>
  <c r="HV116" i="14"/>
  <c r="IL116" i="14"/>
  <c r="ID116" i="14"/>
  <c r="IN148" i="14"/>
  <c r="HW148" i="14"/>
  <c r="IM148" i="14"/>
  <c r="ID148" i="14"/>
  <c r="IE148" i="14"/>
  <c r="IF148" i="14"/>
  <c r="HV148" i="14"/>
  <c r="IL148" i="14"/>
  <c r="IL85" i="14"/>
  <c r="IN85" i="14"/>
  <c r="IG85" i="14"/>
  <c r="IO85" i="14"/>
  <c r="ID85" i="14"/>
  <c r="IF85" i="14"/>
  <c r="IM117" i="14"/>
  <c r="HV117" i="14"/>
  <c r="IL117" i="14"/>
  <c r="IO117" i="14"/>
  <c r="ID117" i="14"/>
  <c r="IE117" i="14"/>
  <c r="IG117" i="14"/>
  <c r="IM149" i="14"/>
  <c r="IN149" i="14"/>
  <c r="HV149" i="14"/>
  <c r="IF149" i="14"/>
  <c r="IL149" i="14"/>
  <c r="ID149" i="14"/>
  <c r="IE149" i="14"/>
  <c r="HW149" i="14"/>
  <c r="IG78" i="14"/>
  <c r="IF78" i="14"/>
  <c r="IN78" i="14"/>
  <c r="IO78" i="14"/>
  <c r="HX78" i="14"/>
  <c r="IM78" i="14"/>
  <c r="IE78" i="14"/>
  <c r="IG110" i="14"/>
  <c r="IE110" i="14"/>
  <c r="ID110" i="14"/>
  <c r="IL110" i="14"/>
  <c r="IM110" i="14"/>
  <c r="IO110" i="14"/>
  <c r="HV110" i="14"/>
  <c r="IE142" i="14"/>
  <c r="IL142" i="14"/>
  <c r="IM142" i="14"/>
  <c r="IN142" i="14"/>
  <c r="ID142" i="14"/>
  <c r="IF142" i="14"/>
  <c r="HV142" i="14"/>
  <c r="HW142" i="14"/>
  <c r="IG103" i="14"/>
  <c r="IL103" i="14"/>
  <c r="HV103" i="14"/>
  <c r="IO103" i="14"/>
  <c r="ID103" i="14"/>
  <c r="IM63" i="14"/>
  <c r="IN63" i="14"/>
  <c r="IG63" i="14"/>
  <c r="IO63" i="14"/>
  <c r="IE63" i="14"/>
  <c r="HW63" i="14"/>
  <c r="IF63" i="14"/>
  <c r="HX63" i="14"/>
  <c r="HV107" i="14"/>
  <c r="ID107" i="14"/>
  <c r="IL107" i="14"/>
  <c r="IO107" i="14"/>
  <c r="IG107" i="14"/>
  <c r="IF88" i="14"/>
  <c r="IL88" i="14"/>
  <c r="IG88" i="14"/>
  <c r="IN88" i="14"/>
  <c r="IO88" i="14"/>
  <c r="ID88" i="14"/>
  <c r="IM120" i="14"/>
  <c r="ID120" i="14"/>
  <c r="IE120" i="14"/>
  <c r="HW120" i="14"/>
  <c r="IL120" i="14"/>
  <c r="HV120" i="14"/>
  <c r="IL152" i="14"/>
  <c r="IP152" i="14" s="1"/>
  <c r="IM152" i="14"/>
  <c r="IN152" i="14"/>
  <c r="HW152" i="14"/>
  <c r="ID152" i="14"/>
  <c r="HX152" i="14"/>
  <c r="IE152" i="14"/>
  <c r="IF152" i="14"/>
  <c r="HV152" i="14"/>
  <c r="IL89" i="14"/>
  <c r="IN89" i="14"/>
  <c r="IG89" i="14"/>
  <c r="ID89" i="14"/>
  <c r="IF89" i="14"/>
  <c r="IO89" i="14"/>
  <c r="IM121" i="14"/>
  <c r="ID121" i="14"/>
  <c r="HV121" i="14"/>
  <c r="IL121" i="14"/>
  <c r="IE121" i="14"/>
  <c r="HW121" i="14"/>
  <c r="IM153" i="14"/>
  <c r="IN153" i="14"/>
  <c r="ID153" i="14"/>
  <c r="HV153" i="14"/>
  <c r="IE153" i="14"/>
  <c r="IF153" i="14"/>
  <c r="IL153" i="14"/>
  <c r="HW153" i="14"/>
  <c r="HX153" i="14"/>
  <c r="IN82" i="14"/>
  <c r="IF82" i="14"/>
  <c r="IO82" i="14"/>
  <c r="IG82" i="14"/>
  <c r="IL114" i="14"/>
  <c r="IM114" i="14"/>
  <c r="HV114" i="14"/>
  <c r="IG114" i="14"/>
  <c r="ID114" i="14"/>
  <c r="IE114" i="14"/>
  <c r="IO114" i="14"/>
  <c r="IL146" i="14"/>
  <c r="IM146" i="14"/>
  <c r="IN146" i="14"/>
  <c r="ID146" i="14"/>
  <c r="IE146" i="14"/>
  <c r="HV146" i="14"/>
  <c r="IF146" i="14"/>
  <c r="HW146" i="14"/>
  <c r="IM71" i="14"/>
  <c r="IN71" i="14"/>
  <c r="IG71" i="14"/>
  <c r="IF71" i="14"/>
  <c r="IO71" i="14"/>
  <c r="HX71" i="14"/>
  <c r="IE71" i="14"/>
  <c r="IM151" i="14"/>
  <c r="IN151" i="14"/>
  <c r="IL151" i="14"/>
  <c r="HV151" i="14"/>
  <c r="ID151" i="14"/>
  <c r="IE151" i="14"/>
  <c r="IF151" i="14"/>
  <c r="HW151" i="14"/>
  <c r="HX151" i="14"/>
  <c r="IM123" i="14"/>
  <c r="HV123" i="14"/>
  <c r="ID123" i="14"/>
  <c r="IE123" i="14"/>
  <c r="IL123" i="14"/>
  <c r="HW123" i="14"/>
  <c r="IM147" i="14"/>
  <c r="IN147" i="14"/>
  <c r="IF147" i="14"/>
  <c r="HV147" i="14"/>
  <c r="ID147" i="14"/>
  <c r="IE147" i="14"/>
  <c r="IL147" i="14"/>
  <c r="HW147" i="14"/>
  <c r="IM75" i="14"/>
  <c r="IN75" i="14"/>
  <c r="IG75" i="14"/>
  <c r="HX75" i="14"/>
  <c r="IO75" i="14"/>
  <c r="IE75" i="14"/>
  <c r="IF75" i="14"/>
  <c r="IN92" i="14"/>
  <c r="IO92" i="14"/>
  <c r="ID92" i="14"/>
  <c r="IL92" i="14"/>
  <c r="IF92" i="14"/>
  <c r="IG92" i="14"/>
  <c r="HV92" i="14"/>
  <c r="IL124" i="14"/>
  <c r="IM124" i="14"/>
  <c r="ID124" i="14"/>
  <c r="IE124" i="14"/>
  <c r="HW124" i="14"/>
  <c r="HV124" i="14"/>
  <c r="IN156" i="14"/>
  <c r="IE156" i="14"/>
  <c r="IF156" i="14"/>
  <c r="IL156" i="14"/>
  <c r="IM156" i="14"/>
  <c r="ID156" i="14"/>
  <c r="HW156" i="14"/>
  <c r="HX156" i="14"/>
  <c r="HV156" i="14"/>
  <c r="IM61" i="14"/>
  <c r="IN61" i="14"/>
  <c r="IE61" i="14"/>
  <c r="IO61" i="14"/>
  <c r="IF61" i="14"/>
  <c r="HW61" i="14"/>
  <c r="IG61" i="14"/>
  <c r="HX61" i="14"/>
  <c r="IN93" i="14"/>
  <c r="HV93" i="14"/>
  <c r="IL93" i="14"/>
  <c r="ID93" i="14"/>
  <c r="IO93" i="14"/>
  <c r="IG93" i="14"/>
  <c r="IF93" i="14"/>
  <c r="IM125" i="14"/>
  <c r="HV125" i="14"/>
  <c r="IE125" i="14"/>
  <c r="IL125" i="14"/>
  <c r="HW125" i="14"/>
  <c r="ID125" i="14"/>
  <c r="IM157" i="14"/>
  <c r="IN157" i="14"/>
  <c r="HV157" i="14"/>
  <c r="ID157" i="14"/>
  <c r="IE157" i="14"/>
  <c r="IF157" i="14"/>
  <c r="HW157" i="14"/>
  <c r="IL157" i="14"/>
  <c r="HX157" i="14"/>
  <c r="IG86" i="14"/>
  <c r="IN86" i="14"/>
  <c r="IO86" i="14"/>
  <c r="ID86" i="14"/>
  <c r="IF86" i="14"/>
  <c r="IL86" i="14"/>
  <c r="IG118" i="14"/>
  <c r="IE118" i="14"/>
  <c r="IL118" i="14"/>
  <c r="IM118" i="14"/>
  <c r="ID118" i="14"/>
  <c r="HV118" i="14"/>
  <c r="IO118" i="14"/>
  <c r="IE150" i="14"/>
  <c r="ID150" i="14"/>
  <c r="IF150" i="14"/>
  <c r="IL150" i="14"/>
  <c r="IM150" i="14"/>
  <c r="HV150" i="14"/>
  <c r="IN150" i="14"/>
  <c r="HW150" i="14"/>
  <c r="HX150" i="14"/>
  <c r="IM131" i="14"/>
  <c r="HV131" i="14"/>
  <c r="IE131" i="14"/>
  <c r="IL131" i="14"/>
  <c r="ID131" i="14"/>
  <c r="HW131" i="14"/>
  <c r="IM119" i="14"/>
  <c r="IG119" i="14"/>
  <c r="IL119" i="14"/>
  <c r="HV119" i="14"/>
  <c r="IO119" i="14"/>
  <c r="IE119" i="14"/>
  <c r="ID119" i="14"/>
  <c r="IM115" i="14"/>
  <c r="HV115" i="14"/>
  <c r="IG115" i="14"/>
  <c r="IL115" i="14"/>
  <c r="ID115" i="14"/>
  <c r="IO115" i="14"/>
  <c r="IE115" i="14"/>
  <c r="IF64" i="14"/>
  <c r="IM64" i="14"/>
  <c r="IG64" i="14"/>
  <c r="IE64" i="14"/>
  <c r="HW64" i="14"/>
  <c r="HX64" i="14"/>
  <c r="IN64" i="14"/>
  <c r="IO64" i="14"/>
  <c r="IL96" i="14"/>
  <c r="IN96" i="14"/>
  <c r="ID96" i="14"/>
  <c r="IO96" i="14"/>
  <c r="IG96" i="14"/>
  <c r="IF96" i="14"/>
  <c r="HV96" i="14"/>
  <c r="IL128" i="14"/>
  <c r="IM128" i="14"/>
  <c r="ID128" i="14"/>
  <c r="IE128" i="14"/>
  <c r="HW128" i="14"/>
  <c r="HV128" i="14"/>
  <c r="IN160" i="14"/>
  <c r="ID160" i="14"/>
  <c r="IE160" i="14"/>
  <c r="IF160" i="14"/>
  <c r="IL160" i="14"/>
  <c r="IM160" i="14"/>
  <c r="HW160" i="14"/>
  <c r="HX160" i="14"/>
  <c r="HV160" i="14"/>
  <c r="IM65" i="14"/>
  <c r="IN65" i="14"/>
  <c r="IE65" i="14"/>
  <c r="IO65" i="14"/>
  <c r="IG65" i="14"/>
  <c r="IF65" i="14"/>
  <c r="HX65" i="14"/>
  <c r="IN97" i="14"/>
  <c r="ID97" i="14"/>
  <c r="HV97" i="14"/>
  <c r="IL97" i="14"/>
  <c r="IO97" i="14"/>
  <c r="IG97" i="14"/>
  <c r="IF97" i="14"/>
  <c r="IM129" i="14"/>
  <c r="ID129" i="14"/>
  <c r="HV129" i="14"/>
  <c r="IE129" i="14"/>
  <c r="IL129" i="14"/>
  <c r="HW129" i="14"/>
  <c r="IF60" i="14"/>
  <c r="IE60" i="14"/>
  <c r="IO60" i="14"/>
  <c r="IG60" i="14"/>
  <c r="IN60" i="14"/>
  <c r="IM60" i="14"/>
  <c r="HW60" i="14"/>
  <c r="HX60" i="14"/>
  <c r="IL90" i="14"/>
  <c r="IG90" i="14"/>
  <c r="ID90" i="14"/>
  <c r="IN90" i="14"/>
  <c r="IF90" i="14"/>
  <c r="IO90" i="14"/>
  <c r="HV90" i="14"/>
  <c r="IL122" i="14"/>
  <c r="IM122" i="14"/>
  <c r="ID122" i="14"/>
  <c r="IE122" i="14"/>
  <c r="HV122" i="14"/>
  <c r="HW122" i="14"/>
  <c r="IL154" i="14"/>
  <c r="IN154" i="14"/>
  <c r="ID154" i="14"/>
  <c r="IE154" i="14"/>
  <c r="IF154" i="14"/>
  <c r="HX154" i="14"/>
  <c r="IM154" i="14"/>
  <c r="HV154" i="14"/>
  <c r="HW154" i="14"/>
  <c r="IN99" i="14"/>
  <c r="IG99" i="14"/>
  <c r="IF99" i="14"/>
  <c r="HV99" i="14"/>
  <c r="IL99" i="14"/>
  <c r="IO99" i="14"/>
  <c r="ID99" i="14"/>
  <c r="IL87" i="14"/>
  <c r="IN87" i="14"/>
  <c r="IG87" i="14"/>
  <c r="IO87" i="14"/>
  <c r="ID87" i="14"/>
  <c r="IF87" i="14"/>
  <c r="IN83" i="14"/>
  <c r="IO83" i="14"/>
  <c r="IF83" i="14"/>
  <c r="IG83" i="14"/>
  <c r="IF68" i="14"/>
  <c r="IE68" i="14"/>
  <c r="HX68" i="14"/>
  <c r="IM68" i="14"/>
  <c r="IG68" i="14"/>
  <c r="IN68" i="14"/>
  <c r="IO68" i="14"/>
  <c r="IO100" i="14"/>
  <c r="IG100" i="14"/>
  <c r="IL100" i="14"/>
  <c r="ID100" i="14"/>
  <c r="HV100" i="14"/>
  <c r="HW132" i="14"/>
  <c r="ID132" i="14"/>
  <c r="IE132" i="14"/>
  <c r="IL132" i="14"/>
  <c r="IM132" i="14"/>
  <c r="HV132" i="14"/>
  <c r="IM69" i="14"/>
  <c r="IN69" i="14"/>
  <c r="IE69" i="14"/>
  <c r="IF69" i="14"/>
  <c r="HX69" i="14"/>
  <c r="IG69" i="14"/>
  <c r="IO69" i="14"/>
  <c r="HV101" i="14"/>
  <c r="ID101" i="14"/>
  <c r="IG101" i="14"/>
  <c r="IL101" i="14"/>
  <c r="IO101" i="14"/>
  <c r="IM133" i="14"/>
  <c r="HV133" i="14"/>
  <c r="ID133" i="14"/>
  <c r="IL133" i="14"/>
  <c r="IE133" i="14"/>
  <c r="HW133" i="14"/>
  <c r="IN62" i="14"/>
  <c r="IG62" i="14"/>
  <c r="IE62" i="14"/>
  <c r="IF62" i="14"/>
  <c r="HW62" i="14"/>
  <c r="IM62" i="14"/>
  <c r="HX62" i="14"/>
  <c r="IO62" i="14"/>
  <c r="IG94" i="14"/>
  <c r="IN94" i="14"/>
  <c r="IF94" i="14"/>
  <c r="IO94" i="14"/>
  <c r="IL94" i="14"/>
  <c r="ID94" i="14"/>
  <c r="HV94" i="14"/>
  <c r="IE126" i="14"/>
  <c r="ID126" i="14"/>
  <c r="IL126" i="14"/>
  <c r="IM126" i="14"/>
  <c r="HV126" i="14"/>
  <c r="HW126" i="14"/>
  <c r="IE158" i="14"/>
  <c r="IF158" i="14"/>
  <c r="IL158" i="14"/>
  <c r="IM158" i="14"/>
  <c r="IN158" i="14"/>
  <c r="ID158" i="14"/>
  <c r="HV158" i="14"/>
  <c r="HW158" i="14"/>
  <c r="HX158" i="14"/>
  <c r="IM67" i="14"/>
  <c r="IF67" i="14"/>
  <c r="IN67" i="14"/>
  <c r="IO67" i="14"/>
  <c r="IG67" i="14"/>
  <c r="HX67" i="14"/>
  <c r="IE67" i="14"/>
  <c r="IM143" i="14"/>
  <c r="IN143" i="14"/>
  <c r="IL143" i="14"/>
  <c r="HV143" i="14"/>
  <c r="IF143" i="14"/>
  <c r="HW143" i="14"/>
  <c r="ID143" i="14"/>
  <c r="IE143" i="14"/>
  <c r="IE72" i="14"/>
  <c r="IF72" i="14"/>
  <c r="IM72" i="14"/>
  <c r="IN72" i="14"/>
  <c r="IO72" i="14"/>
  <c r="IG72" i="14"/>
  <c r="HX72" i="14"/>
  <c r="IG104" i="14"/>
  <c r="IL104" i="14"/>
  <c r="IO104" i="14"/>
  <c r="ID104" i="14"/>
  <c r="HV104" i="14"/>
  <c r="IL136" i="14"/>
  <c r="IM136" i="14"/>
  <c r="ID136" i="14"/>
  <c r="IN136" i="14"/>
  <c r="IE136" i="14"/>
  <c r="HW136" i="14"/>
  <c r="IF136" i="14"/>
  <c r="HV136" i="14"/>
  <c r="IM73" i="14"/>
  <c r="IN73" i="14"/>
  <c r="IE73" i="14"/>
  <c r="IF73" i="14"/>
  <c r="IO73" i="14"/>
  <c r="IG73" i="14"/>
  <c r="HX73" i="14"/>
  <c r="ID105" i="14"/>
  <c r="HV105" i="14"/>
  <c r="IO105" i="14"/>
  <c r="IG105" i="14"/>
  <c r="IL105" i="14"/>
  <c r="IM137" i="14"/>
  <c r="IN137" i="14"/>
  <c r="ID137" i="14"/>
  <c r="HV137" i="14"/>
  <c r="IF137" i="14"/>
  <c r="IL137" i="14"/>
  <c r="IE137" i="14"/>
  <c r="HW137" i="14"/>
  <c r="IM66" i="14"/>
  <c r="IN66" i="14"/>
  <c r="HX66" i="14"/>
  <c r="IO66" i="14"/>
  <c r="IG66" i="14"/>
  <c r="IE66" i="14"/>
  <c r="IF66" i="14"/>
  <c r="IL98" i="14"/>
  <c r="IO98" i="14"/>
  <c r="IF98" i="14"/>
  <c r="IN98" i="14"/>
  <c r="IG98" i="14"/>
  <c r="HV98" i="14"/>
  <c r="ID98" i="14"/>
  <c r="IL130" i="14"/>
  <c r="IM130" i="14"/>
  <c r="ID130" i="14"/>
  <c r="IE130" i="14"/>
  <c r="HV130" i="14"/>
  <c r="HW130" i="14"/>
  <c r="IM159" i="14"/>
  <c r="IN159" i="14"/>
  <c r="IL159" i="14"/>
  <c r="HV159" i="14"/>
  <c r="ID159" i="14"/>
  <c r="IE159" i="14"/>
  <c r="IF159" i="14"/>
  <c r="HW159" i="14"/>
  <c r="HX159" i="14"/>
  <c r="IN91" i="14"/>
  <c r="IF91" i="14"/>
  <c r="HV91" i="14"/>
  <c r="IL91" i="14"/>
  <c r="IO91" i="14"/>
  <c r="IG91" i="14"/>
  <c r="ID91" i="14"/>
  <c r="FT111" i="14"/>
  <c r="FL111" i="14"/>
  <c r="GB111" i="14"/>
  <c r="CG111" i="14"/>
  <c r="CI111" i="14"/>
  <c r="CF111" i="14"/>
  <c r="BX111" i="14"/>
  <c r="BY111" i="14"/>
  <c r="BS111" i="14"/>
  <c r="BQ111" i="14"/>
  <c r="CA111" i="14"/>
  <c r="BP111" i="14"/>
  <c r="FN76" i="14"/>
  <c r="FV76" i="14"/>
  <c r="GD76" i="14"/>
  <c r="CI76" i="14"/>
  <c r="BY76" i="14"/>
  <c r="CG76" i="14"/>
  <c r="BZ76" i="14"/>
  <c r="CH76" i="14"/>
  <c r="CA76" i="14"/>
  <c r="BQ76" i="14"/>
  <c r="BS76" i="14"/>
  <c r="BR76" i="14"/>
  <c r="GB108" i="14"/>
  <c r="FL108" i="14"/>
  <c r="FT108" i="14"/>
  <c r="CI108" i="14"/>
  <c r="CA108" i="14"/>
  <c r="BP108" i="14"/>
  <c r="BS108" i="14"/>
  <c r="BX108" i="14"/>
  <c r="CF108" i="14"/>
  <c r="GB140" i="14"/>
  <c r="FT140" i="14"/>
  <c r="GC140" i="14"/>
  <c r="FU140" i="14"/>
  <c r="FM140" i="14"/>
  <c r="BY140" i="14"/>
  <c r="BZ140" i="14"/>
  <c r="CG140" i="14"/>
  <c r="FL140" i="14"/>
  <c r="CH140" i="14"/>
  <c r="BP140" i="14"/>
  <c r="BR140" i="14"/>
  <c r="CF140" i="14"/>
  <c r="BX140" i="14"/>
  <c r="BQ140" i="14"/>
  <c r="GD77" i="14"/>
  <c r="FV77" i="14"/>
  <c r="FN77" i="14"/>
  <c r="BS77" i="14"/>
  <c r="CG77" i="14"/>
  <c r="BY77" i="14"/>
  <c r="CH77" i="14"/>
  <c r="BZ77" i="14"/>
  <c r="CA77" i="14"/>
  <c r="CI77" i="14"/>
  <c r="BR77" i="14"/>
  <c r="BQ77" i="14"/>
  <c r="GB109" i="14"/>
  <c r="FT109" i="14"/>
  <c r="FL109" i="14"/>
  <c r="CI109" i="14"/>
  <c r="BS109" i="14"/>
  <c r="BP109" i="14"/>
  <c r="CF109" i="14"/>
  <c r="BX109" i="14"/>
  <c r="CA109" i="14"/>
  <c r="FU141" i="14"/>
  <c r="GB141" i="14"/>
  <c r="FT141" i="14"/>
  <c r="GC141" i="14"/>
  <c r="CG141" i="14"/>
  <c r="FM141" i="14"/>
  <c r="CH141" i="14"/>
  <c r="BP141" i="14"/>
  <c r="FL141" i="14"/>
  <c r="CF141" i="14"/>
  <c r="BX141" i="14"/>
  <c r="BY141" i="14"/>
  <c r="BZ141" i="14"/>
  <c r="BQ141" i="14"/>
  <c r="BR141" i="14"/>
  <c r="GD70" i="14"/>
  <c r="FN70" i="14"/>
  <c r="BY70" i="14"/>
  <c r="BZ70" i="14"/>
  <c r="CA70" i="14"/>
  <c r="FV70" i="14"/>
  <c r="BR70" i="14"/>
  <c r="BQ70" i="14"/>
  <c r="CG70" i="14"/>
  <c r="CH70" i="14"/>
  <c r="CI70" i="14"/>
  <c r="BS70" i="14"/>
  <c r="GB102" i="14"/>
  <c r="FT102" i="14"/>
  <c r="FL102" i="14"/>
  <c r="CI102" i="14"/>
  <c r="CF102" i="14"/>
  <c r="BS102" i="14"/>
  <c r="BP102" i="14"/>
  <c r="BX102" i="14"/>
  <c r="CA102" i="14"/>
  <c r="GB134" i="14"/>
  <c r="GC134" i="14"/>
  <c r="FT134" i="14"/>
  <c r="FL134" i="14"/>
  <c r="FU134" i="14"/>
  <c r="FM134" i="14"/>
  <c r="BY134" i="14"/>
  <c r="CF134" i="14"/>
  <c r="CG134" i="14"/>
  <c r="BQ134" i="14"/>
  <c r="BP134" i="14"/>
  <c r="BX134" i="14"/>
  <c r="GB127" i="14"/>
  <c r="FT127" i="14"/>
  <c r="GC127" i="14"/>
  <c r="FU127" i="14"/>
  <c r="CG127" i="14"/>
  <c r="FM127" i="14"/>
  <c r="CF127" i="14"/>
  <c r="FL127" i="14"/>
  <c r="BX127" i="14"/>
  <c r="BY127" i="14"/>
  <c r="BQ127" i="14"/>
  <c r="BP127" i="14"/>
  <c r="GC155" i="14"/>
  <c r="GD155" i="14"/>
  <c r="FT155" i="14"/>
  <c r="FU155" i="14"/>
  <c r="FM155" i="14"/>
  <c r="FV155" i="14"/>
  <c r="GB155" i="14"/>
  <c r="FN155" i="14"/>
  <c r="CG155" i="14"/>
  <c r="FL155" i="14"/>
  <c r="CF155" i="14"/>
  <c r="CH155" i="14"/>
  <c r="BQ155" i="14"/>
  <c r="BZ155" i="14"/>
  <c r="BR155" i="14"/>
  <c r="BP155" i="14"/>
  <c r="BX155" i="14"/>
  <c r="BY155" i="14"/>
  <c r="GD79" i="14"/>
  <c r="FN79" i="14"/>
  <c r="CH79" i="14"/>
  <c r="BY79" i="14"/>
  <c r="FV79" i="14"/>
  <c r="CI79" i="14"/>
  <c r="BZ79" i="14"/>
  <c r="CA79" i="14"/>
  <c r="CG79" i="14"/>
  <c r="BQ79" i="14"/>
  <c r="BS79" i="14"/>
  <c r="BR79" i="14"/>
  <c r="BR80" i="14"/>
  <c r="CH80" i="14"/>
  <c r="CI80" i="14"/>
  <c r="BZ80" i="14"/>
  <c r="BS80" i="14"/>
  <c r="CA80" i="14"/>
  <c r="GB112" i="14"/>
  <c r="FT112" i="14"/>
  <c r="BY112" i="14"/>
  <c r="CF112" i="14"/>
  <c r="CG112" i="14"/>
  <c r="FL112" i="14"/>
  <c r="CA112" i="14"/>
  <c r="BP112" i="14"/>
  <c r="CI112" i="14"/>
  <c r="BS112" i="14"/>
  <c r="BQ112" i="14"/>
  <c r="BX112" i="14"/>
  <c r="FT144" i="14"/>
  <c r="FU144" i="14"/>
  <c r="GC144" i="14"/>
  <c r="GB144" i="14"/>
  <c r="BY144" i="14"/>
  <c r="CF144" i="14"/>
  <c r="CG144" i="14"/>
  <c r="FL144" i="14"/>
  <c r="BR144" i="14"/>
  <c r="FM144" i="14"/>
  <c r="BX144" i="14"/>
  <c r="BZ144" i="14"/>
  <c r="CH144" i="14"/>
  <c r="BQ144" i="14"/>
  <c r="BP144" i="14"/>
  <c r="BZ81" i="14"/>
  <c r="CA81" i="14"/>
  <c r="CH81" i="14"/>
  <c r="CI81" i="14"/>
  <c r="BR81" i="14"/>
  <c r="BS81" i="14"/>
  <c r="GB113" i="14"/>
  <c r="FT113" i="14"/>
  <c r="FL113" i="14"/>
  <c r="CG113" i="14"/>
  <c r="BX113" i="14"/>
  <c r="CI113" i="14"/>
  <c r="BY113" i="14"/>
  <c r="CA113" i="14"/>
  <c r="BP113" i="14"/>
  <c r="CF113" i="14"/>
  <c r="BS113" i="14"/>
  <c r="BQ113" i="14"/>
  <c r="GB145" i="14"/>
  <c r="GC145" i="14"/>
  <c r="FU145" i="14"/>
  <c r="FT145" i="14"/>
  <c r="CG145" i="14"/>
  <c r="FL145" i="14"/>
  <c r="FM145" i="14"/>
  <c r="CH145" i="14"/>
  <c r="BX145" i="14"/>
  <c r="BY145" i="14"/>
  <c r="BR145" i="14"/>
  <c r="BZ145" i="14"/>
  <c r="CF145" i="14"/>
  <c r="BQ145" i="14"/>
  <c r="BP145" i="14"/>
  <c r="GD74" i="14"/>
  <c r="FN74" i="14"/>
  <c r="CH74" i="14"/>
  <c r="BY74" i="14"/>
  <c r="FV74" i="14"/>
  <c r="CG74" i="14"/>
  <c r="CA74" i="14"/>
  <c r="CI74" i="14"/>
  <c r="BS74" i="14"/>
  <c r="BZ74" i="14"/>
  <c r="BR74" i="14"/>
  <c r="BQ74" i="14"/>
  <c r="GB106" i="14"/>
  <c r="FT106" i="14"/>
  <c r="FL106" i="14"/>
  <c r="BX106" i="14"/>
  <c r="CI106" i="14"/>
  <c r="CF106" i="14"/>
  <c r="BP106" i="14"/>
  <c r="CA106" i="14"/>
  <c r="BS106" i="14"/>
  <c r="GC138" i="14"/>
  <c r="FU138" i="14"/>
  <c r="BY138" i="14"/>
  <c r="GB138" i="14"/>
  <c r="FL138" i="14"/>
  <c r="FM138" i="14"/>
  <c r="CH138" i="14"/>
  <c r="BX138" i="14"/>
  <c r="BZ138" i="14"/>
  <c r="BP138" i="14"/>
  <c r="BQ138" i="14"/>
  <c r="BR138" i="14"/>
  <c r="CF138" i="14"/>
  <c r="CG138" i="14"/>
  <c r="FT138" i="14"/>
  <c r="FT95" i="14"/>
  <c r="CI95" i="14"/>
  <c r="GB95" i="14"/>
  <c r="BZ95" i="14"/>
  <c r="CA95" i="14"/>
  <c r="CF95" i="14"/>
  <c r="CH95" i="14"/>
  <c r="BX95" i="14"/>
  <c r="FL95" i="14"/>
  <c r="BR95" i="14"/>
  <c r="BP95" i="14"/>
  <c r="BS95" i="14"/>
  <c r="GB135" i="14"/>
  <c r="FT135" i="14"/>
  <c r="GC135" i="14"/>
  <c r="FU135" i="14"/>
  <c r="CG135" i="14"/>
  <c r="FL135" i="14"/>
  <c r="FM135" i="14"/>
  <c r="CF135" i="14"/>
  <c r="CH135" i="14"/>
  <c r="BX135" i="14"/>
  <c r="BY135" i="14"/>
  <c r="BZ135" i="14"/>
  <c r="BQ135" i="14"/>
  <c r="BP135" i="14"/>
  <c r="BR135" i="14"/>
  <c r="GC139" i="14"/>
  <c r="FT139" i="14"/>
  <c r="FU139" i="14"/>
  <c r="FM139" i="14"/>
  <c r="GB139" i="14"/>
  <c r="CG139" i="14"/>
  <c r="CF139" i="14"/>
  <c r="CH139" i="14"/>
  <c r="BQ139" i="14"/>
  <c r="BP139" i="14"/>
  <c r="BX139" i="14"/>
  <c r="BR139" i="14"/>
  <c r="BY139" i="14"/>
  <c r="BZ139" i="14"/>
  <c r="FL139" i="14"/>
  <c r="CH84" i="14"/>
  <c r="CI84" i="14"/>
  <c r="BZ84" i="14"/>
  <c r="BS84" i="14"/>
  <c r="CA84" i="14"/>
  <c r="BR84" i="14"/>
  <c r="GB116" i="14"/>
  <c r="FT116" i="14"/>
  <c r="FL116" i="14"/>
  <c r="BY116" i="14"/>
  <c r="CG116" i="14"/>
  <c r="CI116" i="14"/>
  <c r="CF116" i="14"/>
  <c r="BQ116" i="14"/>
  <c r="BS116" i="14"/>
  <c r="BX116" i="14"/>
  <c r="CA116" i="14"/>
  <c r="BP116" i="14"/>
  <c r="GB148" i="14"/>
  <c r="GC148" i="14"/>
  <c r="FU148" i="14"/>
  <c r="BY148" i="14"/>
  <c r="FM148" i="14"/>
  <c r="CG148" i="14"/>
  <c r="CH148" i="14"/>
  <c r="FT148" i="14"/>
  <c r="FL148" i="14"/>
  <c r="CF148" i="14"/>
  <c r="BP148" i="14"/>
  <c r="BR148" i="14"/>
  <c r="BX148" i="14"/>
  <c r="BZ148" i="14"/>
  <c r="BQ148" i="14"/>
  <c r="BS85" i="14"/>
  <c r="BZ85" i="14"/>
  <c r="BP85" i="14"/>
  <c r="CA85" i="14"/>
  <c r="CH85" i="14"/>
  <c r="CI85" i="14"/>
  <c r="BX85" i="14"/>
  <c r="BR85" i="14"/>
  <c r="CF85" i="14"/>
  <c r="GB117" i="14"/>
  <c r="FT117" i="14"/>
  <c r="CG117" i="14"/>
  <c r="FL117" i="14"/>
  <c r="BS117" i="14"/>
  <c r="BP117" i="14"/>
  <c r="CA117" i="14"/>
  <c r="CF117" i="14"/>
  <c r="CI117" i="14"/>
  <c r="BX117" i="14"/>
  <c r="BY117" i="14"/>
  <c r="BQ117" i="14"/>
  <c r="FU149" i="14"/>
  <c r="GB149" i="14"/>
  <c r="FT149" i="14"/>
  <c r="GC149" i="14"/>
  <c r="FM149" i="14"/>
  <c r="CG149" i="14"/>
  <c r="FL149" i="14"/>
  <c r="BZ149" i="14"/>
  <c r="BP149" i="14"/>
  <c r="BY149" i="14"/>
  <c r="BQ149" i="14"/>
  <c r="CF149" i="14"/>
  <c r="CH149" i="14"/>
  <c r="BR149" i="14"/>
  <c r="BX149" i="14"/>
  <c r="GD78" i="14"/>
  <c r="FN78" i="14"/>
  <c r="FV78" i="14"/>
  <c r="BY78" i="14"/>
  <c r="CI78" i="14"/>
  <c r="CA78" i="14"/>
  <c r="CH78" i="14"/>
  <c r="BQ78" i="14"/>
  <c r="BZ78" i="14"/>
  <c r="BS78" i="14"/>
  <c r="CG78" i="14"/>
  <c r="BR78" i="14"/>
  <c r="GB110" i="14"/>
  <c r="FT110" i="14"/>
  <c r="FL110" i="14"/>
  <c r="BY110" i="14"/>
  <c r="CF110" i="14"/>
  <c r="CA110" i="14"/>
  <c r="BS110" i="14"/>
  <c r="BP110" i="14"/>
  <c r="CG110" i="14"/>
  <c r="BX110" i="14"/>
  <c r="CI110" i="14"/>
  <c r="BQ110" i="14"/>
  <c r="GB142" i="14"/>
  <c r="GC142" i="14"/>
  <c r="FT142" i="14"/>
  <c r="FL142" i="14"/>
  <c r="FU142" i="14"/>
  <c r="BY142" i="14"/>
  <c r="FM142" i="14"/>
  <c r="CF142" i="14"/>
  <c r="CG142" i="14"/>
  <c r="CH142" i="14"/>
  <c r="BQ142" i="14"/>
  <c r="BX142" i="14"/>
  <c r="BP142" i="14"/>
  <c r="BZ142" i="14"/>
  <c r="BR142" i="14"/>
  <c r="FT103" i="14"/>
  <c r="GB103" i="14"/>
  <c r="CF103" i="14"/>
  <c r="CA103" i="14"/>
  <c r="CI103" i="14"/>
  <c r="BP103" i="14"/>
  <c r="FL103" i="14"/>
  <c r="BS103" i="14"/>
  <c r="BX103" i="14"/>
  <c r="GD63" i="14"/>
  <c r="FM63" i="14"/>
  <c r="GC63" i="14"/>
  <c r="FN63" i="14"/>
  <c r="FU63" i="14"/>
  <c r="FV63" i="14"/>
  <c r="CI63" i="14"/>
  <c r="BY63" i="14"/>
  <c r="BZ63" i="14"/>
  <c r="CA63" i="14"/>
  <c r="CG63" i="14"/>
  <c r="CH63" i="14"/>
  <c r="BS63" i="14"/>
  <c r="BR63" i="14"/>
  <c r="BQ63" i="14"/>
  <c r="FT107" i="14"/>
  <c r="GB107" i="14"/>
  <c r="CF107" i="14"/>
  <c r="CI107" i="14"/>
  <c r="BX107" i="14"/>
  <c r="CA107" i="14"/>
  <c r="FL107" i="14"/>
  <c r="BP107" i="14"/>
  <c r="BS107" i="14"/>
  <c r="CI88" i="14"/>
  <c r="BZ88" i="14"/>
  <c r="CA88" i="14"/>
  <c r="BR88" i="14"/>
  <c r="CH88" i="14"/>
  <c r="BX88" i="14"/>
  <c r="BS88" i="14"/>
  <c r="CF88" i="14"/>
  <c r="BP88" i="14"/>
  <c r="FT120" i="14"/>
  <c r="FU120" i="14"/>
  <c r="GB120" i="14"/>
  <c r="GC120" i="14"/>
  <c r="BY120" i="14"/>
  <c r="FM120" i="14"/>
  <c r="CG120" i="14"/>
  <c r="FL120" i="14"/>
  <c r="BX120" i="14"/>
  <c r="BQ120" i="14"/>
  <c r="BP120" i="14"/>
  <c r="CF120" i="14"/>
  <c r="GD152" i="14"/>
  <c r="FT152" i="14"/>
  <c r="FU152" i="14"/>
  <c r="FV152" i="14"/>
  <c r="FN152" i="14"/>
  <c r="GC152" i="14"/>
  <c r="FM152" i="14"/>
  <c r="BY152" i="14"/>
  <c r="FL152" i="14"/>
  <c r="CG152" i="14"/>
  <c r="BR152" i="14"/>
  <c r="CH152" i="14"/>
  <c r="BX152" i="14"/>
  <c r="CF152" i="14"/>
  <c r="BQ152" i="14"/>
  <c r="BP152" i="14"/>
  <c r="GB152" i="14"/>
  <c r="BZ152" i="14"/>
  <c r="CF89" i="14"/>
  <c r="CH89" i="14"/>
  <c r="BX89" i="14"/>
  <c r="BR89" i="14"/>
  <c r="BZ89" i="14"/>
  <c r="CA89" i="14"/>
  <c r="BS89" i="14"/>
  <c r="CI89" i="14"/>
  <c r="BP89" i="14"/>
  <c r="GB121" i="14"/>
  <c r="GC121" i="14"/>
  <c r="FT121" i="14"/>
  <c r="FU121" i="14"/>
  <c r="CG121" i="14"/>
  <c r="FL121" i="14"/>
  <c r="CF121" i="14"/>
  <c r="FM121" i="14"/>
  <c r="BQ121" i="14"/>
  <c r="BP121" i="14"/>
  <c r="BX121" i="14"/>
  <c r="BY121" i="14"/>
  <c r="GB153" i="14"/>
  <c r="GC153" i="14"/>
  <c r="GD153" i="14"/>
  <c r="FV153" i="14"/>
  <c r="FU153" i="14"/>
  <c r="CG153" i="14"/>
  <c r="FT153" i="14"/>
  <c r="CF153" i="14"/>
  <c r="FL153" i="14"/>
  <c r="CH153" i="14"/>
  <c r="BR153" i="14"/>
  <c r="BX153" i="14"/>
  <c r="BY153" i="14"/>
  <c r="FM153" i="14"/>
  <c r="BZ153" i="14"/>
  <c r="FN153" i="14"/>
  <c r="BQ153" i="14"/>
  <c r="BP153" i="14"/>
  <c r="CH82" i="14"/>
  <c r="BZ82" i="14"/>
  <c r="BS82" i="14"/>
  <c r="CA82" i="14"/>
  <c r="BR82" i="14"/>
  <c r="CI82" i="14"/>
  <c r="GB114" i="14"/>
  <c r="FT114" i="14"/>
  <c r="FL114" i="14"/>
  <c r="BY114" i="14"/>
  <c r="CF114" i="14"/>
  <c r="CG114" i="14"/>
  <c r="BX114" i="14"/>
  <c r="CA114" i="14"/>
  <c r="BP114" i="14"/>
  <c r="CI114" i="14"/>
  <c r="BS114" i="14"/>
  <c r="BQ114" i="14"/>
  <c r="GB146" i="14"/>
  <c r="FT146" i="14"/>
  <c r="GC146" i="14"/>
  <c r="FU146" i="14"/>
  <c r="FM146" i="14"/>
  <c r="BY146" i="14"/>
  <c r="CF146" i="14"/>
  <c r="CG146" i="14"/>
  <c r="CH146" i="14"/>
  <c r="BZ146" i="14"/>
  <c r="BR146" i="14"/>
  <c r="BP146" i="14"/>
  <c r="FL146" i="14"/>
  <c r="BX146" i="14"/>
  <c r="BQ146" i="14"/>
  <c r="GD71" i="14"/>
  <c r="FV71" i="14"/>
  <c r="FN71" i="14"/>
  <c r="CH71" i="14"/>
  <c r="CI71" i="14"/>
  <c r="CA71" i="14"/>
  <c r="CG71" i="14"/>
  <c r="BS71" i="14"/>
  <c r="BY71" i="14"/>
  <c r="BR71" i="14"/>
  <c r="BZ71" i="14"/>
  <c r="BQ71" i="14"/>
  <c r="GB151" i="14"/>
  <c r="FT151" i="14"/>
  <c r="GC151" i="14"/>
  <c r="FU151" i="14"/>
  <c r="GD151" i="14"/>
  <c r="FV151" i="14"/>
  <c r="CG151" i="14"/>
  <c r="FN151" i="14"/>
  <c r="CF151" i="14"/>
  <c r="FL151" i="14"/>
  <c r="FM151" i="14"/>
  <c r="BX151" i="14"/>
  <c r="BQ151" i="14"/>
  <c r="BY151" i="14"/>
  <c r="BP151" i="14"/>
  <c r="CH151" i="14"/>
  <c r="BZ151" i="14"/>
  <c r="BR151" i="14"/>
  <c r="GC123" i="14"/>
  <c r="FT123" i="14"/>
  <c r="FU123" i="14"/>
  <c r="GB123" i="14"/>
  <c r="FM123" i="14"/>
  <c r="CG123" i="14"/>
  <c r="CF123" i="14"/>
  <c r="FL123" i="14"/>
  <c r="BQ123" i="14"/>
  <c r="BX123" i="14"/>
  <c r="BY123" i="14"/>
  <c r="BP123" i="14"/>
  <c r="GC147" i="14"/>
  <c r="FT147" i="14"/>
  <c r="FU147" i="14"/>
  <c r="FM147" i="14"/>
  <c r="CG147" i="14"/>
  <c r="GB147" i="14"/>
  <c r="BY147" i="14"/>
  <c r="BQ147" i="14"/>
  <c r="BZ147" i="14"/>
  <c r="BP147" i="14"/>
  <c r="BR147" i="14"/>
  <c r="CF147" i="14"/>
  <c r="CH147" i="14"/>
  <c r="BX147" i="14"/>
  <c r="FL147" i="14"/>
  <c r="GD75" i="14"/>
  <c r="FV75" i="14"/>
  <c r="FN75" i="14"/>
  <c r="BY75" i="14"/>
  <c r="BQ75" i="14"/>
  <c r="BS75" i="14"/>
  <c r="CG75" i="14"/>
  <c r="CH75" i="14"/>
  <c r="BR75" i="14"/>
  <c r="CI75" i="14"/>
  <c r="BZ75" i="14"/>
  <c r="CA75" i="14"/>
  <c r="GB92" i="14"/>
  <c r="FT92" i="14"/>
  <c r="FL92" i="14"/>
  <c r="CI92" i="14"/>
  <c r="BZ92" i="14"/>
  <c r="BS92" i="14"/>
  <c r="CA92" i="14"/>
  <c r="CH92" i="14"/>
  <c r="BP92" i="14"/>
  <c r="BX92" i="14"/>
  <c r="CF92" i="14"/>
  <c r="BR92" i="14"/>
  <c r="GB124" i="14"/>
  <c r="FT124" i="14"/>
  <c r="GC124" i="14"/>
  <c r="FU124" i="14"/>
  <c r="BY124" i="14"/>
  <c r="FL124" i="14"/>
  <c r="FM124" i="14"/>
  <c r="BQ124" i="14"/>
  <c r="CF124" i="14"/>
  <c r="CG124" i="14"/>
  <c r="BX124" i="14"/>
  <c r="BP124" i="14"/>
  <c r="GB156" i="14"/>
  <c r="FT156" i="14"/>
  <c r="GC156" i="14"/>
  <c r="FU156" i="14"/>
  <c r="GD156" i="14"/>
  <c r="FV156" i="14"/>
  <c r="BY156" i="14"/>
  <c r="FL156" i="14"/>
  <c r="FM156" i="14"/>
  <c r="BZ156" i="14"/>
  <c r="BQ156" i="14"/>
  <c r="BR156" i="14"/>
  <c r="BX156" i="14"/>
  <c r="BP156" i="14"/>
  <c r="CF156" i="14"/>
  <c r="CG156" i="14"/>
  <c r="FN156" i="14"/>
  <c r="CH156" i="14"/>
  <c r="GC61" i="14"/>
  <c r="GD61" i="14"/>
  <c r="FV61" i="14"/>
  <c r="FN61" i="14"/>
  <c r="FU61" i="14"/>
  <c r="FM61" i="14"/>
  <c r="BS61" i="14"/>
  <c r="CG61" i="14"/>
  <c r="CH61" i="14"/>
  <c r="BY61" i="14"/>
  <c r="CI61" i="14"/>
  <c r="BZ61" i="14"/>
  <c r="BR61" i="14"/>
  <c r="CA61" i="14"/>
  <c r="BQ61" i="14"/>
  <c r="GB93" i="14"/>
  <c r="FL93" i="14"/>
  <c r="FT93" i="14"/>
  <c r="BS93" i="14"/>
  <c r="CH93" i="14"/>
  <c r="BX93" i="14"/>
  <c r="CI93" i="14"/>
  <c r="BZ93" i="14"/>
  <c r="BP93" i="14"/>
  <c r="CF93" i="14"/>
  <c r="BR93" i="14"/>
  <c r="CA93" i="14"/>
  <c r="FU125" i="14"/>
  <c r="GB125" i="14"/>
  <c r="FT125" i="14"/>
  <c r="GC125" i="14"/>
  <c r="FL125" i="14"/>
  <c r="CG125" i="14"/>
  <c r="BP125" i="14"/>
  <c r="CF125" i="14"/>
  <c r="FM125" i="14"/>
  <c r="BQ125" i="14"/>
  <c r="BX125" i="14"/>
  <c r="BY125" i="14"/>
  <c r="FU157" i="14"/>
  <c r="FV157" i="14"/>
  <c r="GC157" i="14"/>
  <c r="GD157" i="14"/>
  <c r="CG157" i="14"/>
  <c r="CH157" i="14"/>
  <c r="FT157" i="14"/>
  <c r="FN157" i="14"/>
  <c r="BP157" i="14"/>
  <c r="CF157" i="14"/>
  <c r="GB157" i="14"/>
  <c r="FM157" i="14"/>
  <c r="BQ157" i="14"/>
  <c r="BR157" i="14"/>
  <c r="BX157" i="14"/>
  <c r="BY157" i="14"/>
  <c r="BZ157" i="14"/>
  <c r="FL157" i="14"/>
  <c r="CH86" i="14"/>
  <c r="BX86" i="14"/>
  <c r="CI86" i="14"/>
  <c r="BZ86" i="14"/>
  <c r="CA86" i="14"/>
  <c r="CF86" i="14"/>
  <c r="BS86" i="14"/>
  <c r="BP86" i="14"/>
  <c r="BR86" i="14"/>
  <c r="GB118" i="14"/>
  <c r="FT118" i="14"/>
  <c r="FL118" i="14"/>
  <c r="BY118" i="14"/>
  <c r="CI118" i="14"/>
  <c r="CF118" i="14"/>
  <c r="CG118" i="14"/>
  <c r="BS118" i="14"/>
  <c r="BP118" i="14"/>
  <c r="BX118" i="14"/>
  <c r="CA118" i="14"/>
  <c r="BQ118" i="14"/>
  <c r="GB150" i="14"/>
  <c r="GC150" i="14"/>
  <c r="GD150" i="14"/>
  <c r="FT150" i="14"/>
  <c r="FL150" i="14"/>
  <c r="FU150" i="14"/>
  <c r="FV150" i="14"/>
  <c r="BY150" i="14"/>
  <c r="CH150" i="14"/>
  <c r="CF150" i="14"/>
  <c r="CG150" i="14"/>
  <c r="FM150" i="14"/>
  <c r="FN150" i="14"/>
  <c r="BZ150" i="14"/>
  <c r="BQ150" i="14"/>
  <c r="BP150" i="14"/>
  <c r="BR150" i="14"/>
  <c r="BX150" i="14"/>
  <c r="GC131" i="14"/>
  <c r="FT131" i="14"/>
  <c r="FU131" i="14"/>
  <c r="FM131" i="14"/>
  <c r="GB131" i="14"/>
  <c r="FL131" i="14"/>
  <c r="CG131" i="14"/>
  <c r="BY131" i="14"/>
  <c r="BQ131" i="14"/>
  <c r="BX131" i="14"/>
  <c r="CF131" i="14"/>
  <c r="BP131" i="14"/>
  <c r="GB119" i="14"/>
  <c r="FT119" i="14"/>
  <c r="FL119" i="14"/>
  <c r="CG119" i="14"/>
  <c r="CF119" i="14"/>
  <c r="CA119" i="14"/>
  <c r="BX119" i="14"/>
  <c r="BQ119" i="14"/>
  <c r="BP119" i="14"/>
  <c r="BY119" i="14"/>
  <c r="BS119" i="14"/>
  <c r="CI119" i="14"/>
  <c r="FT115" i="14"/>
  <c r="GB115" i="14"/>
  <c r="CG115" i="14"/>
  <c r="CI115" i="14"/>
  <c r="BY115" i="14"/>
  <c r="BQ115" i="14"/>
  <c r="FL115" i="14"/>
  <c r="BX115" i="14"/>
  <c r="BP115" i="14"/>
  <c r="CF115" i="14"/>
  <c r="CA115" i="14"/>
  <c r="BS115" i="14"/>
  <c r="GC64" i="14"/>
  <c r="GD64" i="14"/>
  <c r="FU64" i="14"/>
  <c r="FV64" i="14"/>
  <c r="FM64" i="14"/>
  <c r="FN64" i="14"/>
  <c r="BY64" i="14"/>
  <c r="CG64" i="14"/>
  <c r="CH64" i="14"/>
  <c r="BR64" i="14"/>
  <c r="BQ64" i="14"/>
  <c r="BZ64" i="14"/>
  <c r="CA64" i="14"/>
  <c r="BS64" i="14"/>
  <c r="CI64" i="14"/>
  <c r="GB96" i="14"/>
  <c r="FT96" i="14"/>
  <c r="CF96" i="14"/>
  <c r="FL96" i="14"/>
  <c r="BR96" i="14"/>
  <c r="BS96" i="14"/>
  <c r="BX96" i="14"/>
  <c r="BZ96" i="14"/>
  <c r="CA96" i="14"/>
  <c r="BP96" i="14"/>
  <c r="CH96" i="14"/>
  <c r="CI96" i="14"/>
  <c r="FT128" i="14"/>
  <c r="FU128" i="14"/>
  <c r="GC128" i="14"/>
  <c r="FL128" i="14"/>
  <c r="BY128" i="14"/>
  <c r="CF128" i="14"/>
  <c r="FM128" i="14"/>
  <c r="CG128" i="14"/>
  <c r="GB128" i="14"/>
  <c r="BX128" i="14"/>
  <c r="BQ128" i="14"/>
  <c r="BP128" i="14"/>
  <c r="GD160" i="14"/>
  <c r="FT160" i="14"/>
  <c r="FU160" i="14"/>
  <c r="FN160" i="14"/>
  <c r="GB160" i="14"/>
  <c r="GC160" i="14"/>
  <c r="FV160" i="14"/>
  <c r="BY160" i="14"/>
  <c r="CF160" i="14"/>
  <c r="CG160" i="14"/>
  <c r="BR160" i="14"/>
  <c r="FL160" i="14"/>
  <c r="FM160" i="14"/>
  <c r="CH160" i="14"/>
  <c r="BX160" i="14"/>
  <c r="BQ160" i="14"/>
  <c r="BZ160" i="14"/>
  <c r="BP160" i="14"/>
  <c r="FN65" i="14"/>
  <c r="GD65" i="14"/>
  <c r="CG65" i="14"/>
  <c r="BZ65" i="14"/>
  <c r="CA65" i="14"/>
  <c r="FV65" i="14"/>
  <c r="CI65" i="14"/>
  <c r="BS65" i="14"/>
  <c r="BY65" i="14"/>
  <c r="BR65" i="14"/>
  <c r="BQ65" i="14"/>
  <c r="CH65" i="14"/>
  <c r="GB97" i="14"/>
  <c r="FT97" i="14"/>
  <c r="FL97" i="14"/>
  <c r="BZ97" i="14"/>
  <c r="CA97" i="14"/>
  <c r="CH97" i="14"/>
  <c r="BX97" i="14"/>
  <c r="CI97" i="14"/>
  <c r="BR97" i="14"/>
  <c r="CF97" i="14"/>
  <c r="BS97" i="14"/>
  <c r="BP97" i="14"/>
  <c r="GB129" i="14"/>
  <c r="GC129" i="14"/>
  <c r="FU129" i="14"/>
  <c r="CG129" i="14"/>
  <c r="BX129" i="14"/>
  <c r="BY129" i="14"/>
  <c r="BP129" i="14"/>
  <c r="CF129" i="14"/>
  <c r="FT129" i="14"/>
  <c r="FL129" i="14"/>
  <c r="FM129" i="14"/>
  <c r="BQ129" i="14"/>
  <c r="GD60" i="14"/>
  <c r="FU60" i="14"/>
  <c r="GC60" i="14"/>
  <c r="FM60" i="14"/>
  <c r="CH60" i="14"/>
  <c r="FN60" i="14"/>
  <c r="CG60" i="14"/>
  <c r="CA60" i="14"/>
  <c r="BZ60" i="14"/>
  <c r="BR60" i="14"/>
  <c r="BY60" i="14"/>
  <c r="FV60" i="14"/>
  <c r="CI60" i="14"/>
  <c r="BQ60" i="14"/>
  <c r="BS60" i="14"/>
  <c r="GB90" i="14"/>
  <c r="FT90" i="14"/>
  <c r="FL90" i="14"/>
  <c r="CA90" i="14"/>
  <c r="CH90" i="14"/>
  <c r="BX90" i="14"/>
  <c r="CI90" i="14"/>
  <c r="BZ90" i="14"/>
  <c r="BP90" i="14"/>
  <c r="BS90" i="14"/>
  <c r="CF90" i="14"/>
  <c r="BR90" i="14"/>
  <c r="GB122" i="14"/>
  <c r="FT122" i="14"/>
  <c r="GC122" i="14"/>
  <c r="FU122" i="14"/>
  <c r="FL122" i="14"/>
  <c r="BY122" i="14"/>
  <c r="BX122" i="14"/>
  <c r="CF122" i="14"/>
  <c r="FM122" i="14"/>
  <c r="CG122" i="14"/>
  <c r="BQ122" i="14"/>
  <c r="BP122" i="14"/>
  <c r="FV154" i="14"/>
  <c r="GB154" i="14"/>
  <c r="FT154" i="14"/>
  <c r="GC154" i="14"/>
  <c r="FU154" i="14"/>
  <c r="GD154" i="14"/>
  <c r="BY154" i="14"/>
  <c r="FM154" i="14"/>
  <c r="CH154" i="14"/>
  <c r="BX154" i="14"/>
  <c r="FN154" i="14"/>
  <c r="BZ154" i="14"/>
  <c r="BP154" i="14"/>
  <c r="CF154" i="14"/>
  <c r="CG154" i="14"/>
  <c r="FL154" i="14"/>
  <c r="BR154" i="14"/>
  <c r="BQ154" i="14"/>
  <c r="FT99" i="14"/>
  <c r="GB99" i="14"/>
  <c r="CA99" i="14"/>
  <c r="CI99" i="14"/>
  <c r="BZ99" i="14"/>
  <c r="CF99" i="14"/>
  <c r="CH99" i="14"/>
  <c r="BS99" i="14"/>
  <c r="BR99" i="14"/>
  <c r="FL99" i="14"/>
  <c r="BX99" i="14"/>
  <c r="BP99" i="14"/>
  <c r="CF87" i="14"/>
  <c r="CA87" i="14"/>
  <c r="BZ87" i="14"/>
  <c r="CH87" i="14"/>
  <c r="BS87" i="14"/>
  <c r="CI87" i="14"/>
  <c r="BP87" i="14"/>
  <c r="BX87" i="14"/>
  <c r="BR87" i="14"/>
  <c r="CA83" i="14"/>
  <c r="CI83" i="14"/>
  <c r="BS83" i="14"/>
  <c r="BZ83" i="14"/>
  <c r="BR83" i="14"/>
  <c r="CH83" i="14"/>
  <c r="FN68" i="14"/>
  <c r="FV68" i="14"/>
  <c r="GD68" i="14"/>
  <c r="BY68" i="14"/>
  <c r="BZ68" i="14"/>
  <c r="CH68" i="14"/>
  <c r="CI68" i="14"/>
  <c r="BQ68" i="14"/>
  <c r="CG68" i="14"/>
  <c r="CA68" i="14"/>
  <c r="BS68" i="14"/>
  <c r="BR68" i="14"/>
  <c r="GB100" i="14"/>
  <c r="FT100" i="14"/>
  <c r="BX100" i="14"/>
  <c r="CI100" i="14"/>
  <c r="FL100" i="14"/>
  <c r="CF100" i="14"/>
  <c r="CA100" i="14"/>
  <c r="BS100" i="14"/>
  <c r="BP100" i="14"/>
  <c r="GB132" i="14"/>
  <c r="GC132" i="14"/>
  <c r="FU132" i="14"/>
  <c r="FT132" i="14"/>
  <c r="BY132" i="14"/>
  <c r="CG132" i="14"/>
  <c r="FL132" i="14"/>
  <c r="CF132" i="14"/>
  <c r="FM132" i="14"/>
  <c r="BX132" i="14"/>
  <c r="BQ132" i="14"/>
  <c r="BP132" i="14"/>
  <c r="GD69" i="14"/>
  <c r="FV69" i="14"/>
  <c r="FN69" i="14"/>
  <c r="CI69" i="14"/>
  <c r="BS69" i="14"/>
  <c r="CG69" i="14"/>
  <c r="CH69" i="14"/>
  <c r="BZ69" i="14"/>
  <c r="CA69" i="14"/>
  <c r="BY69" i="14"/>
  <c r="BR69" i="14"/>
  <c r="BQ69" i="14"/>
  <c r="GB101" i="14"/>
  <c r="FT101" i="14"/>
  <c r="FL101" i="14"/>
  <c r="BS101" i="14"/>
  <c r="BP101" i="14"/>
  <c r="CA101" i="14"/>
  <c r="BX101" i="14"/>
  <c r="CF101" i="14"/>
  <c r="CI101" i="14"/>
  <c r="FU133" i="14"/>
  <c r="GC133" i="14"/>
  <c r="CG133" i="14"/>
  <c r="FM133" i="14"/>
  <c r="BP133" i="14"/>
  <c r="GB133" i="14"/>
  <c r="FL133" i="14"/>
  <c r="BQ133" i="14"/>
  <c r="BX133" i="14"/>
  <c r="FT133" i="14"/>
  <c r="CF133" i="14"/>
  <c r="BY133" i="14"/>
  <c r="GC62" i="14"/>
  <c r="GD62" i="14"/>
  <c r="FU62" i="14"/>
  <c r="FM62" i="14"/>
  <c r="FN62" i="14"/>
  <c r="FV62" i="14"/>
  <c r="BY62" i="14"/>
  <c r="CA62" i="14"/>
  <c r="BS62" i="14"/>
  <c r="BR62" i="14"/>
  <c r="CG62" i="14"/>
  <c r="CH62" i="14"/>
  <c r="CI62" i="14"/>
  <c r="BQ62" i="14"/>
  <c r="BZ62" i="14"/>
  <c r="GB94" i="14"/>
  <c r="FT94" i="14"/>
  <c r="FL94" i="14"/>
  <c r="CF94" i="14"/>
  <c r="CA94" i="14"/>
  <c r="BS94" i="14"/>
  <c r="BX94" i="14"/>
  <c r="BZ94" i="14"/>
  <c r="BP94" i="14"/>
  <c r="BR94" i="14"/>
  <c r="CH94" i="14"/>
  <c r="CI94" i="14"/>
  <c r="GB126" i="14"/>
  <c r="GC126" i="14"/>
  <c r="FT126" i="14"/>
  <c r="FL126" i="14"/>
  <c r="FU126" i="14"/>
  <c r="BY126" i="14"/>
  <c r="CF126" i="14"/>
  <c r="BX126" i="14"/>
  <c r="FM126" i="14"/>
  <c r="CG126" i="14"/>
  <c r="BQ126" i="14"/>
  <c r="BP126" i="14"/>
  <c r="GB158" i="14"/>
  <c r="GC158" i="14"/>
  <c r="GD158" i="14"/>
  <c r="FT158" i="14"/>
  <c r="FL158" i="14"/>
  <c r="FU158" i="14"/>
  <c r="FV158" i="14"/>
  <c r="FN158" i="14"/>
  <c r="BY158" i="14"/>
  <c r="CF158" i="14"/>
  <c r="FM158" i="14"/>
  <c r="CH158" i="14"/>
  <c r="BQ158" i="14"/>
  <c r="BR158" i="14"/>
  <c r="CG158" i="14"/>
  <c r="BX158" i="14"/>
  <c r="BZ158" i="14"/>
  <c r="BP158" i="14"/>
  <c r="GD67" i="14"/>
  <c r="FV67" i="14"/>
  <c r="FN67" i="14"/>
  <c r="CH67" i="14"/>
  <c r="CA67" i="14"/>
  <c r="BY67" i="14"/>
  <c r="BQ67" i="14"/>
  <c r="BZ67" i="14"/>
  <c r="CG67" i="14"/>
  <c r="CI67" i="14"/>
  <c r="BS67" i="14"/>
  <c r="BR67" i="14"/>
  <c r="GC143" i="14"/>
  <c r="FU143" i="14"/>
  <c r="FM143" i="14"/>
  <c r="CG143" i="14"/>
  <c r="GB143" i="14"/>
  <c r="FT143" i="14"/>
  <c r="CF143" i="14"/>
  <c r="CH143" i="14"/>
  <c r="BX143" i="14"/>
  <c r="BZ143" i="14"/>
  <c r="FL143" i="14"/>
  <c r="BQ143" i="14"/>
  <c r="BP143" i="14"/>
  <c r="BY143" i="14"/>
  <c r="BR143" i="14"/>
  <c r="GD72" i="14"/>
  <c r="FV72" i="14"/>
  <c r="FN72" i="14"/>
  <c r="CG72" i="14"/>
  <c r="BY72" i="14"/>
  <c r="BZ72" i="14"/>
  <c r="CA72" i="14"/>
  <c r="CH72" i="14"/>
  <c r="BR72" i="14"/>
  <c r="CI72" i="14"/>
  <c r="BS72" i="14"/>
  <c r="BQ72" i="14"/>
  <c r="GB104" i="14"/>
  <c r="FT104" i="14"/>
  <c r="CI104" i="14"/>
  <c r="FL104" i="14"/>
  <c r="BX104" i="14"/>
  <c r="CF104" i="14"/>
  <c r="CA104" i="14"/>
  <c r="BP104" i="14"/>
  <c r="BS104" i="14"/>
  <c r="FT136" i="14"/>
  <c r="FU136" i="14"/>
  <c r="GB136" i="14"/>
  <c r="GC136" i="14"/>
  <c r="BY136" i="14"/>
  <c r="CG136" i="14"/>
  <c r="BR136" i="14"/>
  <c r="CH136" i="14"/>
  <c r="BX136" i="14"/>
  <c r="BP136" i="14"/>
  <c r="CF136" i="14"/>
  <c r="FL136" i="14"/>
  <c r="BZ136" i="14"/>
  <c r="FM136" i="14"/>
  <c r="BQ136" i="14"/>
  <c r="FN73" i="14"/>
  <c r="GD73" i="14"/>
  <c r="FV73" i="14"/>
  <c r="CH73" i="14"/>
  <c r="CI73" i="14"/>
  <c r="BR73" i="14"/>
  <c r="CG73" i="14"/>
  <c r="BS73" i="14"/>
  <c r="BY73" i="14"/>
  <c r="BZ73" i="14"/>
  <c r="CA73" i="14"/>
  <c r="BQ73" i="14"/>
  <c r="GB105" i="14"/>
  <c r="FT105" i="14"/>
  <c r="FL105" i="14"/>
  <c r="CF105" i="14"/>
  <c r="CI105" i="14"/>
  <c r="BX105" i="14"/>
  <c r="BP105" i="14"/>
  <c r="CA105" i="14"/>
  <c r="BS105" i="14"/>
  <c r="GB137" i="14"/>
  <c r="GC137" i="14"/>
  <c r="FT137" i="14"/>
  <c r="FU137" i="14"/>
  <c r="FM137" i="14"/>
  <c r="CG137" i="14"/>
  <c r="CF137" i="14"/>
  <c r="CH137" i="14"/>
  <c r="FL137" i="14"/>
  <c r="BR137" i="14"/>
  <c r="BY137" i="14"/>
  <c r="BQ137" i="14"/>
  <c r="BZ137" i="14"/>
  <c r="BP137" i="14"/>
  <c r="BX137" i="14"/>
  <c r="GD66" i="14"/>
  <c r="FN66" i="14"/>
  <c r="FV66" i="14"/>
  <c r="BY66" i="14"/>
  <c r="CH66" i="14"/>
  <c r="CI66" i="14"/>
  <c r="CG66" i="14"/>
  <c r="BS66" i="14"/>
  <c r="BQ66" i="14"/>
  <c r="BZ66" i="14"/>
  <c r="CA66" i="14"/>
  <c r="BR66" i="14"/>
  <c r="FT98" i="14"/>
  <c r="GB98" i="14"/>
  <c r="CF98" i="14"/>
  <c r="FL98" i="14"/>
  <c r="CH98" i="14"/>
  <c r="BX98" i="14"/>
  <c r="CI98" i="14"/>
  <c r="BS98" i="14"/>
  <c r="BZ98" i="14"/>
  <c r="BR98" i="14"/>
  <c r="CA98" i="14"/>
  <c r="BP98" i="14"/>
  <c r="GB130" i="14"/>
  <c r="FT130" i="14"/>
  <c r="GC130" i="14"/>
  <c r="FU130" i="14"/>
  <c r="BY130" i="14"/>
  <c r="CF130" i="14"/>
  <c r="CG130" i="14"/>
  <c r="FL130" i="14"/>
  <c r="FM130" i="14"/>
  <c r="BQ130" i="14"/>
  <c r="BP130" i="14"/>
  <c r="BX130" i="14"/>
  <c r="GB159" i="14"/>
  <c r="GC159" i="14"/>
  <c r="FT159" i="14"/>
  <c r="GD159" i="14"/>
  <c r="FU159" i="14"/>
  <c r="FV159" i="14"/>
  <c r="CG159" i="14"/>
  <c r="FL159" i="14"/>
  <c r="FM159" i="14"/>
  <c r="FN159" i="14"/>
  <c r="CF159" i="14"/>
  <c r="CH159" i="14"/>
  <c r="BX159" i="14"/>
  <c r="BY159" i="14"/>
  <c r="BZ159" i="14"/>
  <c r="BQ159" i="14"/>
  <c r="BR159" i="14"/>
  <c r="BP159" i="14"/>
  <c r="L91" i="14"/>
  <c r="GB91" i="14"/>
  <c r="FT91" i="14"/>
  <c r="FL91" i="14"/>
  <c r="CF91" i="14"/>
  <c r="CH91" i="14"/>
  <c r="BX91" i="14"/>
  <c r="CI91" i="14"/>
  <c r="BR91" i="14"/>
  <c r="BP91" i="14"/>
  <c r="BZ91" i="14"/>
  <c r="CA91" i="14"/>
  <c r="BS91" i="14"/>
  <c r="D73" i="6"/>
  <c r="D41" i="6"/>
  <c r="D87" i="6"/>
  <c r="D40" i="6"/>
  <c r="D102" i="6"/>
  <c r="D64" i="6"/>
  <c r="D120" i="6"/>
  <c r="D63" i="6"/>
  <c r="D111" i="6"/>
  <c r="D119" i="6"/>
  <c r="L135" i="14"/>
  <c r="L155" i="14"/>
  <c r="L123" i="14"/>
  <c r="L113" i="14"/>
  <c r="D80" i="6"/>
  <c r="D56" i="6"/>
  <c r="D65" i="6"/>
  <c r="D107" i="6"/>
  <c r="D96" i="6"/>
  <c r="D104" i="6"/>
  <c r="D113" i="6"/>
  <c r="D118" i="6"/>
  <c r="D114" i="6"/>
  <c r="D95" i="6"/>
  <c r="D117" i="15"/>
  <c r="L117" i="15"/>
  <c r="L82" i="15"/>
  <c r="D82" i="15"/>
  <c r="D146" i="15"/>
  <c r="L146" i="15"/>
  <c r="L79" i="15"/>
  <c r="D79" i="15"/>
  <c r="L101" i="15"/>
  <c r="D101" i="15"/>
  <c r="D141" i="15"/>
  <c r="L141" i="15"/>
  <c r="L78" i="15"/>
  <c r="D78" i="15"/>
  <c r="L110" i="15"/>
  <c r="D110" i="15"/>
  <c r="L142" i="15"/>
  <c r="D142" i="15"/>
  <c r="L75" i="15"/>
  <c r="D75" i="15"/>
  <c r="L107" i="15"/>
  <c r="D107" i="15"/>
  <c r="D139" i="15"/>
  <c r="L139" i="15"/>
  <c r="D113" i="15"/>
  <c r="L113" i="15"/>
  <c r="D72" i="15"/>
  <c r="L72" i="15"/>
  <c r="L104" i="15"/>
  <c r="D104" i="15"/>
  <c r="L136" i="15"/>
  <c r="D136" i="15"/>
  <c r="D76" i="15"/>
  <c r="L76" i="15"/>
  <c r="D105" i="6"/>
  <c r="L121" i="15"/>
  <c r="D121" i="15"/>
  <c r="L54" i="15"/>
  <c r="D54" i="15"/>
  <c r="L86" i="15"/>
  <c r="D86" i="15"/>
  <c r="L118" i="15"/>
  <c r="D118" i="15"/>
  <c r="L49" i="15"/>
  <c r="D49" i="15"/>
  <c r="L51" i="15"/>
  <c r="D51" i="15"/>
  <c r="D83" i="15"/>
  <c r="L83" i="15"/>
  <c r="L115" i="15"/>
  <c r="D115" i="15"/>
  <c r="L69" i="15"/>
  <c r="D69" i="15"/>
  <c r="L48" i="15"/>
  <c r="D48" i="15"/>
  <c r="L80" i="15"/>
  <c r="D80" i="15"/>
  <c r="L112" i="15"/>
  <c r="D112" i="15"/>
  <c r="L144" i="15"/>
  <c r="D144" i="15"/>
  <c r="L108" i="15"/>
  <c r="D108" i="15"/>
  <c r="L133" i="15"/>
  <c r="D133" i="15"/>
  <c r="D58" i="15"/>
  <c r="L58" i="15"/>
  <c r="L90" i="15"/>
  <c r="D90" i="15"/>
  <c r="D122" i="15"/>
  <c r="L122" i="15"/>
  <c r="L77" i="15"/>
  <c r="D77" i="15"/>
  <c r="L55" i="15"/>
  <c r="D55" i="15"/>
  <c r="L87" i="15"/>
  <c r="D87" i="15"/>
  <c r="L119" i="15"/>
  <c r="D119" i="15"/>
  <c r="L105" i="15"/>
  <c r="D105" i="15"/>
  <c r="L52" i="15"/>
  <c r="D52" i="15"/>
  <c r="L84" i="15"/>
  <c r="D84" i="15"/>
  <c r="L116" i="15"/>
  <c r="D116" i="15"/>
  <c r="D62" i="15"/>
  <c r="L62" i="15"/>
  <c r="L94" i="15"/>
  <c r="D94" i="15"/>
  <c r="D126" i="15"/>
  <c r="L126" i="15"/>
  <c r="L125" i="15"/>
  <c r="D125" i="15"/>
  <c r="L59" i="15"/>
  <c r="D59" i="15"/>
  <c r="L91" i="15"/>
  <c r="D91" i="15"/>
  <c r="L123" i="15"/>
  <c r="D123" i="15"/>
  <c r="D137" i="15"/>
  <c r="L137" i="15"/>
  <c r="D56" i="15"/>
  <c r="L56" i="15"/>
  <c r="L88" i="15"/>
  <c r="D88" i="15"/>
  <c r="L120" i="15"/>
  <c r="D120" i="15"/>
  <c r="L61" i="15"/>
  <c r="D61" i="15"/>
  <c r="L50" i="15"/>
  <c r="D50" i="15"/>
  <c r="L114" i="15"/>
  <c r="D114" i="15"/>
  <c r="L47" i="15"/>
  <c r="D47" i="15"/>
  <c r="L111" i="15"/>
  <c r="D111" i="15"/>
  <c r="D140" i="15"/>
  <c r="L140" i="15"/>
  <c r="D112" i="6"/>
  <c r="L66" i="15"/>
  <c r="D66" i="15"/>
  <c r="L98" i="15"/>
  <c r="D98" i="15"/>
  <c r="L130" i="15"/>
  <c r="D130" i="15"/>
  <c r="L57" i="15"/>
  <c r="D57" i="15"/>
  <c r="L63" i="15"/>
  <c r="D63" i="15"/>
  <c r="D95" i="15"/>
  <c r="L95" i="15"/>
  <c r="L127" i="15"/>
  <c r="D127" i="15"/>
  <c r="D60" i="15"/>
  <c r="L60" i="15"/>
  <c r="D92" i="15"/>
  <c r="L92" i="15"/>
  <c r="L124" i="15"/>
  <c r="D124" i="15"/>
  <c r="L81" i="15"/>
  <c r="D81" i="15"/>
  <c r="D145" i="15"/>
  <c r="L145" i="15"/>
  <c r="L53" i="15"/>
  <c r="D53" i="15"/>
  <c r="L70" i="15"/>
  <c r="D70" i="15"/>
  <c r="L102" i="15"/>
  <c r="D102" i="15"/>
  <c r="L134" i="15"/>
  <c r="D134" i="15"/>
  <c r="D85" i="15"/>
  <c r="L85" i="15"/>
  <c r="L67" i="15"/>
  <c r="D67" i="15"/>
  <c r="L99" i="15"/>
  <c r="D99" i="15"/>
  <c r="L131" i="15"/>
  <c r="D131" i="15"/>
  <c r="L65" i="15"/>
  <c r="D65" i="15"/>
  <c r="L64" i="15"/>
  <c r="D64" i="15"/>
  <c r="D96" i="15"/>
  <c r="L96" i="15"/>
  <c r="D128" i="15"/>
  <c r="L128" i="15"/>
  <c r="D97" i="15"/>
  <c r="L97" i="15"/>
  <c r="D143" i="15"/>
  <c r="L143" i="15"/>
  <c r="P37" i="1"/>
  <c r="L73" i="15"/>
  <c r="D73" i="15"/>
  <c r="L89" i="15"/>
  <c r="D89" i="15"/>
  <c r="L74" i="15"/>
  <c r="D74" i="15"/>
  <c r="L106" i="15"/>
  <c r="D106" i="15"/>
  <c r="L138" i="15"/>
  <c r="D138" i="15"/>
  <c r="L109" i="15"/>
  <c r="D109" i="15"/>
  <c r="L71" i="15"/>
  <c r="D71" i="15"/>
  <c r="L103" i="15"/>
  <c r="D103" i="15"/>
  <c r="D135" i="15"/>
  <c r="L135" i="15"/>
  <c r="L93" i="15"/>
  <c r="D93" i="15"/>
  <c r="D68" i="15"/>
  <c r="L68" i="15"/>
  <c r="L100" i="15"/>
  <c r="D100" i="15"/>
  <c r="L132" i="15"/>
  <c r="D132" i="15"/>
  <c r="L129" i="15"/>
  <c r="D129" i="15"/>
  <c r="D22" i="6"/>
  <c r="D57" i="6"/>
  <c r="D48" i="6"/>
  <c r="D21" i="6"/>
  <c r="D42" i="6"/>
  <c r="D49" i="6"/>
  <c r="D32" i="6"/>
  <c r="D24" i="6"/>
  <c r="D58" i="6"/>
  <c r="D39" i="6"/>
  <c r="D47" i="6"/>
  <c r="D33" i="6"/>
  <c r="D79" i="6"/>
  <c r="D72" i="6"/>
  <c r="D149" i="14"/>
  <c r="N149" i="14" s="1"/>
  <c r="L71" i="14"/>
  <c r="L80" i="14"/>
  <c r="L112" i="14"/>
  <c r="L144" i="14"/>
  <c r="L81" i="14"/>
  <c r="L145" i="14"/>
  <c r="L74" i="14"/>
  <c r="L106" i="14"/>
  <c r="L131" i="14"/>
  <c r="L119" i="14"/>
  <c r="D33" i="16" s="1"/>
  <c r="L140" i="14"/>
  <c r="L102" i="14"/>
  <c r="L139" i="14"/>
  <c r="D35" i="16" s="1"/>
  <c r="L84" i="14"/>
  <c r="L116" i="14"/>
  <c r="L148" i="14"/>
  <c r="L85" i="14"/>
  <c r="L117" i="14"/>
  <c r="L149" i="14"/>
  <c r="D36" i="16" s="1"/>
  <c r="L78" i="14"/>
  <c r="L110" i="14"/>
  <c r="L142" i="14"/>
  <c r="L99" i="14"/>
  <c r="D31" i="16" s="1"/>
  <c r="L87" i="14"/>
  <c r="L108" i="14"/>
  <c r="L147" i="14"/>
  <c r="L107" i="14"/>
  <c r="L88" i="14"/>
  <c r="L120" i="14"/>
  <c r="L152" i="14"/>
  <c r="L89" i="14"/>
  <c r="D30" i="16" s="1"/>
  <c r="L153" i="14"/>
  <c r="L67" i="14"/>
  <c r="L141" i="14"/>
  <c r="L159" i="14"/>
  <c r="L70" i="14"/>
  <c r="L151" i="14"/>
  <c r="L83" i="14"/>
  <c r="L64" i="14"/>
  <c r="L96" i="14"/>
  <c r="L128" i="14"/>
  <c r="L160" i="14"/>
  <c r="D37" i="16" s="1"/>
  <c r="L65" i="14"/>
  <c r="L97" i="14"/>
  <c r="L129" i="14"/>
  <c r="D34" i="16" s="1"/>
  <c r="L60" i="14"/>
  <c r="D91" i="14"/>
  <c r="N91" i="14" s="1"/>
  <c r="D123" i="14"/>
  <c r="N123" i="14" s="1"/>
  <c r="D155" i="14"/>
  <c r="N155" i="14" s="1"/>
  <c r="L127" i="14"/>
  <c r="L76" i="14"/>
  <c r="L109" i="14"/>
  <c r="D32" i="16" s="1"/>
  <c r="L143" i="14"/>
  <c r="L68" i="14"/>
  <c r="L100" i="14"/>
  <c r="L132" i="14"/>
  <c r="L69" i="14"/>
  <c r="D28" i="16" s="1"/>
  <c r="L101" i="14"/>
  <c r="L133" i="14"/>
  <c r="L62" i="14"/>
  <c r="L94" i="14"/>
  <c r="L126" i="14"/>
  <c r="L158" i="14"/>
  <c r="L95" i="14"/>
  <c r="L77" i="14"/>
  <c r="D135" i="14"/>
  <c r="N135" i="14" s="1"/>
  <c r="L72" i="14"/>
  <c r="L104" i="14"/>
  <c r="L136" i="14"/>
  <c r="L73" i="14"/>
  <c r="L105" i="14"/>
  <c r="L137" i="14"/>
  <c r="L66" i="14"/>
  <c r="L98" i="14"/>
  <c r="L130" i="14"/>
  <c r="L63" i="14"/>
  <c r="D85" i="14"/>
  <c r="N85" i="14" s="1"/>
  <c r="D79" i="14"/>
  <c r="N79" i="14" s="1"/>
  <c r="D117" i="14"/>
  <c r="N117" i="14" s="1"/>
  <c r="D113" i="14"/>
  <c r="N113" i="14" s="1"/>
  <c r="D103" i="14"/>
  <c r="N103" i="14" s="1"/>
  <c r="D81" i="14"/>
  <c r="N81" i="14" s="1"/>
  <c r="D141" i="14"/>
  <c r="N141" i="14" s="1"/>
  <c r="D137" i="14"/>
  <c r="N137" i="14" s="1"/>
  <c r="D78" i="6"/>
  <c r="D31" i="6"/>
  <c r="D139" i="14"/>
  <c r="N139" i="14" s="1"/>
  <c r="D108" i="6"/>
  <c r="D81" i="6"/>
  <c r="D131" i="14"/>
  <c r="N131" i="14" s="1"/>
  <c r="L134" i="14"/>
  <c r="D89" i="6"/>
  <c r="D75" i="6"/>
  <c r="D25" i="6"/>
  <c r="D55" i="6"/>
  <c r="L79" i="14"/>
  <c r="D29" i="16" s="1"/>
  <c r="D50" i="6"/>
  <c r="D71" i="6"/>
  <c r="L103" i="14"/>
  <c r="D142" i="14"/>
  <c r="N142" i="14" s="1"/>
  <c r="D78" i="14"/>
  <c r="N78" i="14" s="1"/>
  <c r="D71" i="14"/>
  <c r="N71" i="14" s="1"/>
  <c r="L138" i="14"/>
  <c r="D145" i="14"/>
  <c r="N145" i="14" s="1"/>
  <c r="D112" i="14"/>
  <c r="N112" i="14" s="1"/>
  <c r="D106" i="14"/>
  <c r="N106" i="14" s="1"/>
  <c r="D138" i="14"/>
  <c r="N138" i="14" s="1"/>
  <c r="D110" i="14"/>
  <c r="N110" i="14" s="1"/>
  <c r="D80" i="14"/>
  <c r="N80" i="14" s="1"/>
  <c r="D77" i="14"/>
  <c r="N77" i="14" s="1"/>
  <c r="D140" i="14"/>
  <c r="N140" i="14" s="1"/>
  <c r="D109" i="14"/>
  <c r="N109" i="14" s="1"/>
  <c r="D73" i="14"/>
  <c r="N73" i="14" s="1"/>
  <c r="D99" i="14"/>
  <c r="N99" i="14" s="1"/>
  <c r="L111" i="14"/>
  <c r="D136" i="14"/>
  <c r="N136" i="14" s="1"/>
  <c r="D72" i="14"/>
  <c r="N72" i="14" s="1"/>
  <c r="D74" i="14"/>
  <c r="N74" i="14" s="1"/>
  <c r="D105" i="14"/>
  <c r="N105" i="14" s="1"/>
  <c r="D111" i="14"/>
  <c r="N111" i="14" s="1"/>
  <c r="D104" i="14"/>
  <c r="N104" i="14" s="1"/>
  <c r="D70" i="14"/>
  <c r="N70" i="14" s="1"/>
  <c r="D102" i="14"/>
  <c r="N102" i="14" s="1"/>
  <c r="D143" i="14"/>
  <c r="N143" i="14" s="1"/>
  <c r="L154" i="14"/>
  <c r="L122" i="14"/>
  <c r="D98" i="14"/>
  <c r="N98" i="14" s="1"/>
  <c r="D69" i="14"/>
  <c r="N69" i="14" s="1"/>
  <c r="D132" i="14"/>
  <c r="N132" i="14" s="1"/>
  <c r="D63" i="14"/>
  <c r="N63" i="14" s="1"/>
  <c r="D83" i="14"/>
  <c r="N83" i="14" s="1"/>
  <c r="D114" i="14"/>
  <c r="N114" i="14" s="1"/>
  <c r="D146" i="14"/>
  <c r="N146" i="14" s="1"/>
  <c r="D128" i="14"/>
  <c r="N128" i="14" s="1"/>
  <c r="D127" i="14"/>
  <c r="N127" i="14" s="1"/>
  <c r="D129" i="14"/>
  <c r="N129" i="14" s="1"/>
  <c r="D68" i="14"/>
  <c r="N68" i="14" s="1"/>
  <c r="D130" i="14"/>
  <c r="N130" i="14" s="1"/>
  <c r="D121" i="14"/>
  <c r="N121" i="14" s="1"/>
  <c r="D84" i="14"/>
  <c r="N84" i="14" s="1"/>
  <c r="D96" i="14"/>
  <c r="N96" i="14" s="1"/>
  <c r="D144" i="14"/>
  <c r="N144" i="14" s="1"/>
  <c r="L90" i="14"/>
  <c r="D133" i="14"/>
  <c r="N133" i="14" s="1"/>
  <c r="D100" i="14"/>
  <c r="N100" i="14" s="1"/>
  <c r="D148" i="14"/>
  <c r="N148" i="14" s="1"/>
  <c r="L82" i="14"/>
  <c r="D66" i="14"/>
  <c r="N66" i="14" s="1"/>
  <c r="D95" i="14"/>
  <c r="N95" i="14" s="1"/>
  <c r="D134" i="14"/>
  <c r="N134" i="14" s="1"/>
  <c r="D101" i="14"/>
  <c r="N101" i="14" s="1"/>
  <c r="D64" i="14"/>
  <c r="N64" i="14" s="1"/>
  <c r="D67" i="14"/>
  <c r="N67" i="14" s="1"/>
  <c r="D147" i="14"/>
  <c r="N147" i="14" s="1"/>
  <c r="D152" i="14"/>
  <c r="N152" i="14" s="1"/>
  <c r="D82" i="14"/>
  <c r="N82" i="14" s="1"/>
  <c r="L121" i="14"/>
  <c r="D120" i="14"/>
  <c r="N120" i="14" s="1"/>
  <c r="D122" i="14"/>
  <c r="N122" i="14" s="1"/>
  <c r="L114" i="14"/>
  <c r="D88" i="14"/>
  <c r="N88" i="14" s="1"/>
  <c r="D107" i="14"/>
  <c r="N107" i="14" s="1"/>
  <c r="D154" i="14"/>
  <c r="N154" i="14" s="1"/>
  <c r="L146" i="14"/>
  <c r="D89" i="14"/>
  <c r="N89" i="14" s="1"/>
  <c r="D108" i="14"/>
  <c r="N108" i="14" s="1"/>
  <c r="D90" i="14"/>
  <c r="N90" i="14" s="1"/>
  <c r="D153" i="14"/>
  <c r="N153" i="14" s="1"/>
  <c r="D160" i="14"/>
  <c r="N160" i="14" s="1"/>
  <c r="D97" i="14"/>
  <c r="N97" i="14" s="1"/>
  <c r="D65" i="14"/>
  <c r="N65" i="14" s="1"/>
  <c r="L115" i="14"/>
  <c r="D116" i="14"/>
  <c r="N116" i="14" s="1"/>
  <c r="D115" i="14"/>
  <c r="N115" i="14" s="1"/>
  <c r="L75" i="14"/>
  <c r="D75" i="14"/>
  <c r="N75" i="14" s="1"/>
  <c r="D76" i="14"/>
  <c r="N76" i="14" s="1"/>
  <c r="L92" i="14"/>
  <c r="D92" i="14"/>
  <c r="N92" i="14" s="1"/>
  <c r="L124" i="14"/>
  <c r="D124" i="14"/>
  <c r="N124" i="14" s="1"/>
  <c r="L156" i="14"/>
  <c r="D156" i="14"/>
  <c r="N156" i="14" s="1"/>
  <c r="L61" i="14"/>
  <c r="D62" i="14"/>
  <c r="N62" i="14" s="1"/>
  <c r="D61" i="14"/>
  <c r="N61" i="14" s="1"/>
  <c r="L93" i="14"/>
  <c r="D94" i="14"/>
  <c r="D93" i="14"/>
  <c r="N93" i="14" s="1"/>
  <c r="L125" i="14"/>
  <c r="D126" i="14"/>
  <c r="N126" i="14" s="1"/>
  <c r="D125" i="14"/>
  <c r="L157" i="14"/>
  <c r="D158" i="14"/>
  <c r="N158" i="14" s="1"/>
  <c r="D157" i="14"/>
  <c r="N157" i="14" s="1"/>
  <c r="D86" i="14"/>
  <c r="N86" i="14" s="1"/>
  <c r="D87" i="14"/>
  <c r="L86" i="14"/>
  <c r="D119" i="14"/>
  <c r="D118" i="14"/>
  <c r="N118" i="14" s="1"/>
  <c r="L118" i="14"/>
  <c r="D150" i="14"/>
  <c r="N150" i="14" s="1"/>
  <c r="D151" i="14"/>
  <c r="N151" i="14" s="1"/>
  <c r="L150" i="14"/>
  <c r="D159" i="14"/>
  <c r="N159" i="14" s="1"/>
  <c r="D36" i="6"/>
  <c r="D43" i="6"/>
  <c r="D30" i="6"/>
  <c r="D94" i="6"/>
  <c r="D59" i="6"/>
  <c r="D115" i="6"/>
  <c r="D91" i="6"/>
  <c r="D117" i="6"/>
  <c r="D23" i="6"/>
  <c r="D67" i="6"/>
  <c r="D86" i="6"/>
  <c r="D69" i="6"/>
  <c r="D83" i="6"/>
  <c r="D77" i="6"/>
  <c r="D90" i="6"/>
  <c r="D51" i="6"/>
  <c r="D35" i="6"/>
  <c r="D66" i="6"/>
  <c r="D99" i="6"/>
  <c r="D54" i="6"/>
  <c r="D26" i="6"/>
  <c r="D84" i="6"/>
  <c r="D46" i="6"/>
  <c r="D109" i="6"/>
  <c r="D28" i="6"/>
  <c r="D92" i="6"/>
  <c r="D53" i="6"/>
  <c r="D29" i="6"/>
  <c r="D74" i="6"/>
  <c r="D82" i="6"/>
  <c r="D27" i="6"/>
  <c r="D100" i="6"/>
  <c r="D61" i="6"/>
  <c r="D44" i="6"/>
  <c r="D52" i="6"/>
  <c r="D38" i="6"/>
  <c r="D62" i="6"/>
  <c r="D70" i="6"/>
  <c r="D98" i="6"/>
  <c r="D106" i="6"/>
  <c r="D45" i="6"/>
  <c r="D85" i="6"/>
  <c r="D34" i="6"/>
  <c r="D60" i="6"/>
  <c r="D93" i="6"/>
  <c r="D68" i="6"/>
  <c r="D110" i="6"/>
  <c r="D76" i="6"/>
  <c r="D37" i="6"/>
  <c r="D101" i="6"/>
  <c r="AY67" i="43" l="1"/>
  <c r="AY67" i="45" s="1"/>
  <c r="AY54" i="43"/>
  <c r="AY54" i="45" s="1"/>
  <c r="AX66" i="43"/>
  <c r="E121" i="40"/>
  <c r="AY70" i="43"/>
  <c r="AY70" i="45" s="1"/>
  <c r="AY58" i="43"/>
  <c r="AY58" i="45" s="1"/>
  <c r="AY60" i="43"/>
  <c r="AY60" i="45" s="1"/>
  <c r="AY62" i="43"/>
  <c r="AY62" i="45" s="1"/>
  <c r="AY53" i="43"/>
  <c r="AY53" i="45" s="1"/>
  <c r="AY64" i="43"/>
  <c r="AY64" i="45" s="1"/>
  <c r="AY52" i="43"/>
  <c r="AY52" i="45" s="1"/>
  <c r="AY57" i="43"/>
  <c r="AY57" i="45" s="1"/>
  <c r="AY51" i="43"/>
  <c r="AY51" i="45" s="1"/>
  <c r="AY50" i="43"/>
  <c r="AY50" i="45" s="1"/>
  <c r="AY56" i="43"/>
  <c r="AY56" i="45" s="1"/>
  <c r="AY68" i="43"/>
  <c r="AY68" i="45" s="1"/>
  <c r="AY71" i="43"/>
  <c r="AY71" i="45" s="1"/>
  <c r="AY59" i="43"/>
  <c r="AY59" i="45" s="1"/>
  <c r="AY61" i="43"/>
  <c r="AY61" i="45" s="1"/>
  <c r="AY63" i="43"/>
  <c r="AY63" i="45" s="1"/>
  <c r="AY69" i="43"/>
  <c r="AY69" i="45" s="1"/>
  <c r="AY65" i="43"/>
  <c r="AY65" i="45" s="1"/>
  <c r="AY55" i="43"/>
  <c r="AY55" i="45" s="1"/>
  <c r="BT100" i="14"/>
  <c r="N71" i="15"/>
  <c r="N74" i="15"/>
  <c r="N96" i="15"/>
  <c r="N140" i="15"/>
  <c r="N56" i="15"/>
  <c r="N62" i="15"/>
  <c r="N83" i="15"/>
  <c r="N136" i="15"/>
  <c r="N110" i="15"/>
  <c r="N79" i="15"/>
  <c r="N64" i="15"/>
  <c r="N98" i="15"/>
  <c r="N125" i="15"/>
  <c r="N108" i="15"/>
  <c r="N51" i="15"/>
  <c r="N129" i="15"/>
  <c r="N93" i="15"/>
  <c r="N109" i="15"/>
  <c r="N89" i="15"/>
  <c r="N143" i="15"/>
  <c r="N95" i="15"/>
  <c r="N137" i="15"/>
  <c r="N122" i="15"/>
  <c r="N104" i="15"/>
  <c r="N107" i="15"/>
  <c r="N78" i="15"/>
  <c r="N67" i="15"/>
  <c r="N48" i="15"/>
  <c r="N65" i="15"/>
  <c r="N53" i="15"/>
  <c r="N63" i="15"/>
  <c r="N66" i="15"/>
  <c r="N47" i="15"/>
  <c r="N120" i="15"/>
  <c r="N123" i="15"/>
  <c r="N84" i="15"/>
  <c r="N87" i="15"/>
  <c r="N90" i="15"/>
  <c r="N144" i="15"/>
  <c r="N69" i="15"/>
  <c r="N49" i="15"/>
  <c r="N121" i="15"/>
  <c r="N146" i="15"/>
  <c r="N68" i="15"/>
  <c r="N124" i="15"/>
  <c r="N119" i="15"/>
  <c r="C144" i="15"/>
  <c r="C140" i="15"/>
  <c r="C136" i="15"/>
  <c r="C132" i="15"/>
  <c r="C128" i="15"/>
  <c r="C124" i="15"/>
  <c r="C120" i="15"/>
  <c r="C116" i="15"/>
  <c r="C112" i="15"/>
  <c r="C108" i="15"/>
  <c r="C104" i="15"/>
  <c r="C100" i="15"/>
  <c r="C96" i="15"/>
  <c r="C92" i="15"/>
  <c r="C88" i="15"/>
  <c r="C84" i="15"/>
  <c r="C80" i="15"/>
  <c r="C76" i="15"/>
  <c r="C72" i="15"/>
  <c r="C68" i="15"/>
  <c r="C64" i="15"/>
  <c r="C60" i="15"/>
  <c r="C56" i="15"/>
  <c r="C52" i="15"/>
  <c r="C48" i="15"/>
  <c r="C143" i="15"/>
  <c r="C139" i="15"/>
  <c r="C135" i="15"/>
  <c r="C131" i="15"/>
  <c r="C127" i="15"/>
  <c r="C123" i="15"/>
  <c r="C119" i="15"/>
  <c r="C115" i="15"/>
  <c r="C111" i="15"/>
  <c r="C107" i="15"/>
  <c r="C103" i="15"/>
  <c r="C99" i="15"/>
  <c r="C95" i="15"/>
  <c r="C91" i="15"/>
  <c r="C87" i="15"/>
  <c r="C83" i="15"/>
  <c r="C79" i="15"/>
  <c r="C75" i="15"/>
  <c r="C71" i="15"/>
  <c r="C67" i="15"/>
  <c r="C63" i="15"/>
  <c r="C59" i="15"/>
  <c r="C55" i="15"/>
  <c r="C51" i="15"/>
  <c r="C47" i="15"/>
  <c r="C146" i="15"/>
  <c r="C142" i="15"/>
  <c r="C138" i="15"/>
  <c r="C134" i="15"/>
  <c r="C130" i="15"/>
  <c r="C126" i="15"/>
  <c r="C122" i="15"/>
  <c r="C118" i="15"/>
  <c r="C114" i="15"/>
  <c r="C110" i="15"/>
  <c r="C106" i="15"/>
  <c r="C102" i="15"/>
  <c r="C98" i="15"/>
  <c r="C94" i="15"/>
  <c r="C90" i="15"/>
  <c r="C86" i="15"/>
  <c r="C82" i="15"/>
  <c r="C78" i="15"/>
  <c r="C74" i="15"/>
  <c r="C70" i="15"/>
  <c r="C66" i="15"/>
  <c r="C62" i="15"/>
  <c r="C58" i="15"/>
  <c r="C54" i="15"/>
  <c r="C50" i="15"/>
  <c r="C145" i="15"/>
  <c r="C141" i="15"/>
  <c r="C137" i="15"/>
  <c r="C133" i="15"/>
  <c r="C129" i="15"/>
  <c r="C125" i="15"/>
  <c r="C121" i="15"/>
  <c r="C117" i="15"/>
  <c r="C113" i="15"/>
  <c r="C109" i="15"/>
  <c r="C105" i="15"/>
  <c r="C101" i="15"/>
  <c r="C97" i="15"/>
  <c r="C93" i="15"/>
  <c r="C89" i="15"/>
  <c r="C85" i="15"/>
  <c r="C81" i="15"/>
  <c r="C77" i="15"/>
  <c r="C73" i="15"/>
  <c r="C69" i="15"/>
  <c r="C65" i="15"/>
  <c r="C61" i="15"/>
  <c r="C57" i="15"/>
  <c r="C53" i="15"/>
  <c r="C49" i="15"/>
  <c r="C46" i="15"/>
  <c r="P38" i="1"/>
  <c r="N132" i="15"/>
  <c r="N138" i="15"/>
  <c r="N73" i="15"/>
  <c r="N97" i="15"/>
  <c r="N85" i="15"/>
  <c r="N92" i="15"/>
  <c r="N126" i="15"/>
  <c r="N75" i="15"/>
  <c r="N82" i="15"/>
  <c r="N111" i="15"/>
  <c r="N135" i="15"/>
  <c r="N131" i="15"/>
  <c r="N134" i="15"/>
  <c r="N57" i="15"/>
  <c r="N114" i="15"/>
  <c r="N88" i="15"/>
  <c r="N91" i="15"/>
  <c r="N94" i="15"/>
  <c r="N52" i="15"/>
  <c r="N55" i="15"/>
  <c r="N112" i="15"/>
  <c r="N115" i="15"/>
  <c r="N118" i="15"/>
  <c r="N72" i="15"/>
  <c r="N141" i="15"/>
  <c r="N70" i="15"/>
  <c r="N116" i="15"/>
  <c r="N139" i="15"/>
  <c r="P39" i="1"/>
  <c r="N100" i="15"/>
  <c r="N103" i="15"/>
  <c r="N106" i="15"/>
  <c r="N128" i="15"/>
  <c r="N145" i="15"/>
  <c r="N60" i="15"/>
  <c r="N58" i="15"/>
  <c r="N142" i="15"/>
  <c r="N101" i="15"/>
  <c r="N61" i="15"/>
  <c r="N54" i="15"/>
  <c r="N99" i="15"/>
  <c r="N102" i="15"/>
  <c r="N81" i="15"/>
  <c r="N127" i="15"/>
  <c r="N130" i="15"/>
  <c r="N50" i="15"/>
  <c r="N59" i="15"/>
  <c r="N105" i="15"/>
  <c r="N77" i="15"/>
  <c r="N133" i="15"/>
  <c r="N80" i="15"/>
  <c r="N86" i="15"/>
  <c r="N76" i="15"/>
  <c r="N113" i="15"/>
  <c r="N117" i="15"/>
  <c r="BT102" i="14"/>
  <c r="BT128" i="14"/>
  <c r="BT93" i="14"/>
  <c r="CB129" i="14"/>
  <c r="IP159" i="14"/>
  <c r="BT146" i="14"/>
  <c r="BT138" i="14"/>
  <c r="BT95" i="14"/>
  <c r="BT127" i="14"/>
  <c r="BT98" i="14"/>
  <c r="BT136" i="14"/>
  <c r="BT125" i="14"/>
  <c r="BT152" i="14"/>
  <c r="BT147" i="14"/>
  <c r="BT142" i="14"/>
  <c r="BT144" i="14"/>
  <c r="CB121" i="14"/>
  <c r="CB94" i="14"/>
  <c r="BT104" i="14"/>
  <c r="BT133" i="14"/>
  <c r="BT129" i="14"/>
  <c r="BT159" i="14"/>
  <c r="BT156" i="14"/>
  <c r="BT114" i="14"/>
  <c r="BT120" i="14"/>
  <c r="BT108" i="14"/>
  <c r="BT110" i="14"/>
  <c r="BT148" i="14"/>
  <c r="BT106" i="14"/>
  <c r="BT112" i="14"/>
  <c r="CB152" i="14"/>
  <c r="CB103" i="14"/>
  <c r="IP107" i="14"/>
  <c r="BT137" i="14"/>
  <c r="BT158" i="14"/>
  <c r="BT154" i="14"/>
  <c r="BT96" i="14"/>
  <c r="BT124" i="14"/>
  <c r="BT153" i="14"/>
  <c r="BT140" i="14"/>
  <c r="CB142" i="14"/>
  <c r="CB130" i="14"/>
  <c r="BT101" i="14"/>
  <c r="BT143" i="14"/>
  <c r="BT97" i="14"/>
  <c r="BT150" i="14"/>
  <c r="BT92" i="14"/>
  <c r="BT116" i="14"/>
  <c r="CB110" i="14"/>
  <c r="CB98" i="14"/>
  <c r="BT103" i="14"/>
  <c r="BT105" i="14"/>
  <c r="BT111" i="14"/>
  <c r="BT126" i="14"/>
  <c r="BT122" i="14"/>
  <c r="BT118" i="14"/>
  <c r="BT115" i="14"/>
  <c r="BT121" i="14"/>
  <c r="BT149" i="14"/>
  <c r="BT119" i="14"/>
  <c r="BT145" i="14"/>
  <c r="CB149" i="14"/>
  <c r="CB122" i="14"/>
  <c r="BT130" i="14"/>
  <c r="BT134" i="14"/>
  <c r="BT109" i="14"/>
  <c r="BT141" i="14"/>
  <c r="BT107" i="14"/>
  <c r="BT99" i="14"/>
  <c r="CB114" i="14"/>
  <c r="CB117" i="14"/>
  <c r="CJ117" i="14"/>
  <c r="BT94" i="14"/>
  <c r="BT132" i="14"/>
  <c r="BT90" i="14"/>
  <c r="BT160" i="14"/>
  <c r="BT151" i="14"/>
  <c r="BT157" i="14"/>
  <c r="BT117" i="14"/>
  <c r="BT139" i="14"/>
  <c r="BT131" i="14"/>
  <c r="CB153" i="14"/>
  <c r="CB106" i="14"/>
  <c r="HZ109" i="14"/>
  <c r="CB126" i="14"/>
  <c r="CB100" i="14"/>
  <c r="CB143" i="14"/>
  <c r="CB90" i="14"/>
  <c r="GF94" i="14"/>
  <c r="FX110" i="14"/>
  <c r="CB101" i="14"/>
  <c r="FP134" i="14"/>
  <c r="IH144" i="14"/>
  <c r="CB147" i="14"/>
  <c r="CB119" i="14"/>
  <c r="CB109" i="14"/>
  <c r="CB93" i="14"/>
  <c r="CB131" i="14"/>
  <c r="CB140" i="14"/>
  <c r="CJ121" i="14"/>
  <c r="BT113" i="14"/>
  <c r="CB146" i="14"/>
  <c r="CB133" i="14"/>
  <c r="CB138" i="14"/>
  <c r="CB108" i="14"/>
  <c r="CJ122" i="14"/>
  <c r="CB95" i="14"/>
  <c r="CB125" i="14"/>
  <c r="CJ153" i="14"/>
  <c r="CJ100" i="14"/>
  <c r="CJ149" i="14"/>
  <c r="CJ137" i="14"/>
  <c r="FX125" i="14"/>
  <c r="FX158" i="14"/>
  <c r="IH134" i="14"/>
  <c r="IP117" i="14"/>
  <c r="HZ128" i="14"/>
  <c r="IH106" i="14"/>
  <c r="IH142" i="14"/>
  <c r="IH107" i="14"/>
  <c r="HZ153" i="14"/>
  <c r="IH112" i="14"/>
  <c r="IP115" i="14"/>
  <c r="HZ124" i="14"/>
  <c r="IH125" i="14"/>
  <c r="IP118" i="14"/>
  <c r="HZ159" i="14"/>
  <c r="HZ160" i="14"/>
  <c r="IP90" i="14"/>
  <c r="HZ154" i="14"/>
  <c r="IH99" i="14"/>
  <c r="IP132" i="14"/>
  <c r="HZ133" i="14"/>
  <c r="IH158" i="14"/>
  <c r="IP145" i="14"/>
  <c r="HZ117" i="14"/>
  <c r="IH104" i="14"/>
  <c r="IP137" i="14"/>
  <c r="HZ130" i="14"/>
  <c r="IH138" i="14"/>
  <c r="HZ108" i="14"/>
  <c r="IH141" i="14"/>
  <c r="IP151" i="14"/>
  <c r="FX115" i="14"/>
  <c r="GF143" i="14"/>
  <c r="GF101" i="14"/>
  <c r="FX94" i="14"/>
  <c r="FX95" i="14"/>
  <c r="FX159" i="14"/>
  <c r="FP111" i="14"/>
  <c r="FX105" i="14"/>
  <c r="GF130" i="14"/>
  <c r="FP108" i="14"/>
  <c r="GF141" i="14"/>
  <c r="GF151" i="14"/>
  <c r="FP125" i="14"/>
  <c r="FX97" i="14"/>
  <c r="GF144" i="14"/>
  <c r="FP145" i="14"/>
  <c r="GF131" i="14"/>
  <c r="GF116" i="14"/>
  <c r="FP117" i="14"/>
  <c r="FP142" i="14"/>
  <c r="GF92" i="14"/>
  <c r="FX128" i="14"/>
  <c r="GF147" i="14"/>
  <c r="GF120" i="14"/>
  <c r="FX114" i="14"/>
  <c r="CJ92" i="14"/>
  <c r="CJ150" i="14"/>
  <c r="CJ130" i="14"/>
  <c r="CJ140" i="14"/>
  <c r="CJ113" i="14"/>
  <c r="CJ143" i="14"/>
  <c r="HZ142" i="14"/>
  <c r="IP114" i="14"/>
  <c r="HZ112" i="14"/>
  <c r="IH115" i="14"/>
  <c r="IP156" i="14"/>
  <c r="HZ125" i="14"/>
  <c r="IH118" i="14"/>
  <c r="IP96" i="14"/>
  <c r="IH160" i="14"/>
  <c r="IH90" i="14"/>
  <c r="IP127" i="14"/>
  <c r="HZ99" i="14"/>
  <c r="IH132" i="14"/>
  <c r="IP94" i="14"/>
  <c r="HZ158" i="14"/>
  <c r="IH145" i="14"/>
  <c r="IP110" i="14"/>
  <c r="HZ104" i="14"/>
  <c r="IH137" i="14"/>
  <c r="IP103" i="14"/>
  <c r="HZ138" i="14"/>
  <c r="IP140" i="14"/>
  <c r="HZ141" i="14"/>
  <c r="IH151" i="14"/>
  <c r="GF115" i="14"/>
  <c r="GF96" i="14"/>
  <c r="FP143" i="14"/>
  <c r="FX101" i="14"/>
  <c r="GF126" i="14"/>
  <c r="FP95" i="14"/>
  <c r="GF159" i="14"/>
  <c r="GF104" i="14"/>
  <c r="FP105" i="14"/>
  <c r="FX130" i="14"/>
  <c r="GF140" i="14"/>
  <c r="FP141" i="14"/>
  <c r="FX151" i="14"/>
  <c r="GF150" i="14"/>
  <c r="FP97" i="14"/>
  <c r="FP144" i="14"/>
  <c r="GF106" i="14"/>
  <c r="FP131" i="14"/>
  <c r="FP116" i="14"/>
  <c r="FX149" i="14"/>
  <c r="FX142" i="14"/>
  <c r="FX92" i="14"/>
  <c r="FX129" i="14"/>
  <c r="FP147" i="14"/>
  <c r="FX120" i="14"/>
  <c r="FX121" i="14"/>
  <c r="FP114" i="14"/>
  <c r="CJ124" i="14"/>
  <c r="CJ159" i="14"/>
  <c r="CJ103" i="14"/>
  <c r="CJ109" i="14"/>
  <c r="CJ145" i="14"/>
  <c r="CJ132" i="14"/>
  <c r="IH114" i="14"/>
  <c r="IP119" i="14"/>
  <c r="HZ115" i="14"/>
  <c r="IH156" i="14"/>
  <c r="IP157" i="14"/>
  <c r="HZ118" i="14"/>
  <c r="IH96" i="14"/>
  <c r="IP97" i="14"/>
  <c r="HZ90" i="14"/>
  <c r="IH127" i="14"/>
  <c r="IP143" i="14"/>
  <c r="HZ132" i="14"/>
  <c r="IH94" i="14"/>
  <c r="IP95" i="14"/>
  <c r="HZ145" i="14"/>
  <c r="IH110" i="14"/>
  <c r="IP136" i="14"/>
  <c r="HZ137" i="14"/>
  <c r="IH103" i="14"/>
  <c r="IH140" i="14"/>
  <c r="IP102" i="14"/>
  <c r="HZ151" i="14"/>
  <c r="FP115" i="14"/>
  <c r="FP96" i="14"/>
  <c r="GF100" i="14"/>
  <c r="FP101" i="14"/>
  <c r="FP126" i="14"/>
  <c r="GF157" i="14"/>
  <c r="FP159" i="14"/>
  <c r="FX104" i="14"/>
  <c r="FX137" i="14"/>
  <c r="FP130" i="14"/>
  <c r="FX140" i="14"/>
  <c r="GF102" i="14"/>
  <c r="FP151" i="14"/>
  <c r="FP150" i="14"/>
  <c r="GF90" i="14"/>
  <c r="FX144" i="14"/>
  <c r="FP106" i="14"/>
  <c r="FX119" i="14"/>
  <c r="FX116" i="14"/>
  <c r="GF149" i="14"/>
  <c r="GF99" i="14"/>
  <c r="FP92" i="14"/>
  <c r="GF129" i="14"/>
  <c r="FX107" i="14"/>
  <c r="FP120" i="14"/>
  <c r="GF121" i="14"/>
  <c r="GF146" i="14"/>
  <c r="CJ156" i="14"/>
  <c r="CJ111" i="14"/>
  <c r="CJ96" i="14"/>
  <c r="CJ141" i="14"/>
  <c r="CJ106" i="14"/>
  <c r="CJ133" i="14"/>
  <c r="IP120" i="14"/>
  <c r="IP121" i="14"/>
  <c r="HZ114" i="14"/>
  <c r="IH119" i="14"/>
  <c r="IP92" i="14"/>
  <c r="HZ156" i="14"/>
  <c r="IH157" i="14"/>
  <c r="IP150" i="14"/>
  <c r="HZ96" i="14"/>
  <c r="IH97" i="14"/>
  <c r="IP122" i="14"/>
  <c r="HZ127" i="14"/>
  <c r="IH143" i="14"/>
  <c r="IP101" i="14"/>
  <c r="HZ94" i="14"/>
  <c r="HZ95" i="14"/>
  <c r="IP116" i="14"/>
  <c r="HZ110" i="14"/>
  <c r="IH136" i="14"/>
  <c r="IP98" i="14"/>
  <c r="HZ103" i="14"/>
  <c r="IP148" i="14"/>
  <c r="HZ140" i="14"/>
  <c r="IH102" i="14"/>
  <c r="GF124" i="14"/>
  <c r="FX96" i="14"/>
  <c r="FP100" i="14"/>
  <c r="FX133" i="14"/>
  <c r="FX126" i="14"/>
  <c r="FX157" i="14"/>
  <c r="FX127" i="14"/>
  <c r="FP104" i="14"/>
  <c r="GF137" i="14"/>
  <c r="GF103" i="14"/>
  <c r="FP140" i="14"/>
  <c r="FP102" i="14"/>
  <c r="GF156" i="14"/>
  <c r="FX150" i="14"/>
  <c r="FP90" i="14"/>
  <c r="FX113" i="14"/>
  <c r="FX106" i="14"/>
  <c r="FP119" i="14"/>
  <c r="GF148" i="14"/>
  <c r="FP149" i="14"/>
  <c r="FX99" i="14"/>
  <c r="GF93" i="14"/>
  <c r="FP129" i="14"/>
  <c r="GF107" i="14"/>
  <c r="GF152" i="14"/>
  <c r="FP121" i="14"/>
  <c r="FX146" i="14"/>
  <c r="CJ93" i="14"/>
  <c r="CJ104" i="14"/>
  <c r="CJ97" i="14"/>
  <c r="CJ102" i="14"/>
  <c r="CJ138" i="14"/>
  <c r="CJ158" i="14"/>
  <c r="IH147" i="14"/>
  <c r="IH120" i="14"/>
  <c r="IH121" i="14"/>
  <c r="IP146" i="14"/>
  <c r="HZ119" i="14"/>
  <c r="IH92" i="14"/>
  <c r="IP93" i="14"/>
  <c r="HZ157" i="14"/>
  <c r="HZ150" i="14"/>
  <c r="IP128" i="14"/>
  <c r="HZ97" i="14"/>
  <c r="IH122" i="14"/>
  <c r="IP131" i="14"/>
  <c r="HZ143" i="14"/>
  <c r="IH101" i="14"/>
  <c r="IP126" i="14"/>
  <c r="IH95" i="14"/>
  <c r="IH116" i="14"/>
  <c r="IP111" i="14"/>
  <c r="HZ136" i="14"/>
  <c r="IH98" i="14"/>
  <c r="IP113" i="14"/>
  <c r="IH148" i="14"/>
  <c r="IP109" i="14"/>
  <c r="HZ102" i="14"/>
  <c r="FX124" i="14"/>
  <c r="GF122" i="14"/>
  <c r="FX100" i="14"/>
  <c r="GF133" i="14"/>
  <c r="GF158" i="14"/>
  <c r="FP157" i="14"/>
  <c r="GF127" i="14"/>
  <c r="GF136" i="14"/>
  <c r="FP137" i="14"/>
  <c r="FX103" i="14"/>
  <c r="FX109" i="14"/>
  <c r="FX102" i="14"/>
  <c r="FX156" i="14"/>
  <c r="GF160" i="14"/>
  <c r="FX90" i="14"/>
  <c r="GF113" i="14"/>
  <c r="GF138" i="14"/>
  <c r="GF119" i="14"/>
  <c r="FP148" i="14"/>
  <c r="GF110" i="14"/>
  <c r="FP99" i="14"/>
  <c r="FX93" i="14"/>
  <c r="GF154" i="14"/>
  <c r="FP107" i="14"/>
  <c r="FX152" i="14"/>
  <c r="FX153" i="14"/>
  <c r="FP146" i="14"/>
  <c r="CJ125" i="14"/>
  <c r="CJ136" i="14"/>
  <c r="CJ127" i="14"/>
  <c r="CJ134" i="14"/>
  <c r="CJ131" i="14"/>
  <c r="CJ95" i="14"/>
  <c r="IH139" i="14"/>
  <c r="HZ147" i="14"/>
  <c r="HZ120" i="14"/>
  <c r="HZ121" i="14"/>
  <c r="IH146" i="14"/>
  <c r="IP149" i="14"/>
  <c r="HZ92" i="14"/>
  <c r="IH93" i="14"/>
  <c r="IH150" i="14"/>
  <c r="IH128" i="14"/>
  <c r="IP129" i="14"/>
  <c r="HZ122" i="14"/>
  <c r="IH131" i="14"/>
  <c r="IP100" i="14"/>
  <c r="HZ101" i="14"/>
  <c r="IH126" i="14"/>
  <c r="IP144" i="14"/>
  <c r="HZ116" i="14"/>
  <c r="IH111" i="14"/>
  <c r="IP105" i="14"/>
  <c r="HZ98" i="14"/>
  <c r="IH113" i="14"/>
  <c r="HZ148" i="14"/>
  <c r="IH109" i="14"/>
  <c r="IP134" i="14"/>
  <c r="FP124" i="14"/>
  <c r="FP122" i="14"/>
  <c r="GF132" i="14"/>
  <c r="FP133" i="14"/>
  <c r="FP158" i="14"/>
  <c r="GF118" i="14"/>
  <c r="FP127" i="14"/>
  <c r="FX136" i="14"/>
  <c r="GF98" i="14"/>
  <c r="FP103" i="14"/>
  <c r="GF109" i="14"/>
  <c r="GF134" i="14"/>
  <c r="FP156" i="14"/>
  <c r="FX160" i="14"/>
  <c r="GF112" i="14"/>
  <c r="FP113" i="14"/>
  <c r="FP138" i="14"/>
  <c r="FX139" i="14"/>
  <c r="FX148" i="14"/>
  <c r="FP110" i="14"/>
  <c r="FP93" i="14"/>
  <c r="FP154" i="14"/>
  <c r="FP152" i="14"/>
  <c r="GF153" i="14"/>
  <c r="CJ90" i="14"/>
  <c r="CJ157" i="14"/>
  <c r="CJ105" i="14"/>
  <c r="CJ101" i="14"/>
  <c r="CJ151" i="14"/>
  <c r="CJ119" i="14"/>
  <c r="IP142" i="14"/>
  <c r="HZ107" i="14"/>
  <c r="HZ152" i="14"/>
  <c r="IP153" i="14"/>
  <c r="IP112" i="14"/>
  <c r="HZ149" i="14"/>
  <c r="IH124" i="14"/>
  <c r="IP125" i="14"/>
  <c r="IH159" i="14"/>
  <c r="IP160" i="14"/>
  <c r="HZ129" i="14"/>
  <c r="IH154" i="14"/>
  <c r="IP99" i="14"/>
  <c r="HZ100" i="14"/>
  <c r="IH133" i="14"/>
  <c r="IP158" i="14"/>
  <c r="HZ144" i="14"/>
  <c r="IH117" i="14"/>
  <c r="IP104" i="14"/>
  <c r="HZ105" i="14"/>
  <c r="IH130" i="14"/>
  <c r="IP138" i="14"/>
  <c r="IH108" i="14"/>
  <c r="IP141" i="14"/>
  <c r="HZ134" i="14"/>
  <c r="FX143" i="14"/>
  <c r="FX132" i="14"/>
  <c r="FP94" i="14"/>
  <c r="GF95" i="14"/>
  <c r="FX118" i="14"/>
  <c r="FX111" i="14"/>
  <c r="GF105" i="14"/>
  <c r="FP98" i="14"/>
  <c r="FX108" i="14"/>
  <c r="FX141" i="14"/>
  <c r="FX134" i="14"/>
  <c r="GF125" i="14"/>
  <c r="GF97" i="14"/>
  <c r="FX112" i="14"/>
  <c r="GF145" i="14"/>
  <c r="FX131" i="14"/>
  <c r="FP139" i="14"/>
  <c r="GF117" i="14"/>
  <c r="GF142" i="14"/>
  <c r="FP128" i="14"/>
  <c r="FX147" i="14"/>
  <c r="GF114" i="14"/>
  <c r="CJ115" i="14"/>
  <c r="CJ118" i="14"/>
  <c r="CJ98" i="14"/>
  <c r="CJ108" i="14"/>
  <c r="CJ144" i="14"/>
  <c r="CJ154" i="14"/>
  <c r="CB96" i="14"/>
  <c r="CB156" i="14"/>
  <c r="CJ129" i="14"/>
  <c r="CJ148" i="14"/>
  <c r="CJ94" i="14"/>
  <c r="FX117" i="14"/>
  <c r="FP109" i="14"/>
  <c r="FP132" i="14"/>
  <c r="IP108" i="14"/>
  <c r="HZ126" i="14"/>
  <c r="HZ139" i="14"/>
  <c r="CB137" i="14"/>
  <c r="CB159" i="14"/>
  <c r="CB124" i="14"/>
  <c r="CJ152" i="14"/>
  <c r="CJ128" i="14"/>
  <c r="CJ116" i="14"/>
  <c r="FP153" i="14"/>
  <c r="GF139" i="14"/>
  <c r="GF108" i="14"/>
  <c r="FX122" i="14"/>
  <c r="IP133" i="14"/>
  <c r="HZ93" i="14"/>
  <c r="CB127" i="14"/>
  <c r="CB148" i="14"/>
  <c r="CB145" i="14"/>
  <c r="CB151" i="14"/>
  <c r="CB132" i="14"/>
  <c r="CB105" i="14"/>
  <c r="CB150" i="14"/>
  <c r="CB92" i="14"/>
  <c r="CJ120" i="14"/>
  <c r="CJ139" i="14"/>
  <c r="FX138" i="14"/>
  <c r="FX98" i="14"/>
  <c r="HZ113" i="14"/>
  <c r="IH100" i="14"/>
  <c r="IP124" i="14"/>
  <c r="CB120" i="14"/>
  <c r="CB128" i="14"/>
  <c r="CB116" i="14"/>
  <c r="CB113" i="14"/>
  <c r="CB134" i="14"/>
  <c r="CB154" i="14"/>
  <c r="CB136" i="14"/>
  <c r="CB118" i="14"/>
  <c r="CB115" i="14"/>
  <c r="CJ99" i="14"/>
  <c r="CJ160" i="14"/>
  <c r="FX145" i="14"/>
  <c r="FP136" i="14"/>
  <c r="IP130" i="14"/>
  <c r="HZ131" i="14"/>
  <c r="IH149" i="14"/>
  <c r="CB139" i="14"/>
  <c r="CB144" i="14"/>
  <c r="CB102" i="14"/>
  <c r="CB97" i="14"/>
  <c r="CB104" i="14"/>
  <c r="CJ146" i="14"/>
  <c r="CJ107" i="14"/>
  <c r="CJ142" i="14"/>
  <c r="CJ112" i="14"/>
  <c r="FX154" i="14"/>
  <c r="FP112" i="14"/>
  <c r="GF111" i="14"/>
  <c r="IH105" i="14"/>
  <c r="IP154" i="14"/>
  <c r="HZ146" i="14"/>
  <c r="CB107" i="14"/>
  <c r="CB99" i="14"/>
  <c r="CB158" i="14"/>
  <c r="CB112" i="14"/>
  <c r="CB141" i="14"/>
  <c r="CB160" i="14"/>
  <c r="CB111" i="14"/>
  <c r="CB157" i="14"/>
  <c r="CJ114" i="14"/>
  <c r="CJ147" i="14"/>
  <c r="CJ110" i="14"/>
  <c r="CJ126" i="14"/>
  <c r="GF128" i="14"/>
  <c r="FP160" i="14"/>
  <c r="FP118" i="14"/>
  <c r="HZ111" i="14"/>
  <c r="IH129" i="14"/>
  <c r="IH153" i="14"/>
  <c r="T160" i="14"/>
  <c r="IP147" i="14"/>
  <c r="IP139" i="14"/>
  <c r="IH152" i="14"/>
  <c r="C22" i="16"/>
  <c r="E21" i="16"/>
  <c r="D14" i="16"/>
  <c r="C8" i="16"/>
  <c r="C15" i="16" s="1"/>
  <c r="E7" i="16"/>
  <c r="E14" i="16" s="1"/>
  <c r="C55" i="16"/>
  <c r="E54" i="16"/>
  <c r="IP135" i="14"/>
  <c r="HZ135" i="14"/>
  <c r="FP135" i="14"/>
  <c r="CB135" i="14"/>
  <c r="BT155" i="14"/>
  <c r="IP91" i="14"/>
  <c r="HZ123" i="14"/>
  <c r="FP91" i="14"/>
  <c r="FP123" i="14"/>
  <c r="FP155" i="14"/>
  <c r="IH155" i="14"/>
  <c r="GF135" i="14"/>
  <c r="CJ155" i="14"/>
  <c r="BT91" i="14"/>
  <c r="IP123" i="14"/>
  <c r="HZ155" i="14"/>
  <c r="FX135" i="14"/>
  <c r="GF91" i="14"/>
  <c r="CJ123" i="14"/>
  <c r="CB155" i="14"/>
  <c r="BT135" i="14"/>
  <c r="IP155" i="14"/>
  <c r="FX91" i="14"/>
  <c r="FX155" i="14"/>
  <c r="CB91" i="14"/>
  <c r="BT123" i="14"/>
  <c r="FX123" i="14"/>
  <c r="CJ135" i="14"/>
  <c r="IH135" i="14"/>
  <c r="GF155" i="14"/>
  <c r="IH91" i="14"/>
  <c r="GF123" i="14"/>
  <c r="CJ91" i="14"/>
  <c r="CB123" i="14"/>
  <c r="HZ91" i="14"/>
  <c r="IH123" i="14"/>
  <c r="HZ106" i="14"/>
  <c r="IP106" i="14"/>
  <c r="C29" i="16"/>
  <c r="E28" i="16"/>
  <c r="D41" i="16"/>
  <c r="D47" i="16"/>
  <c r="C35" i="16"/>
  <c r="C31" i="16"/>
  <c r="D43" i="16"/>
  <c r="D44" i="16"/>
  <c r="C32" i="16"/>
  <c r="C37" i="16"/>
  <c r="D49" i="16"/>
  <c r="C36" i="16"/>
  <c r="D48" i="16"/>
  <c r="C30" i="16"/>
  <c r="D42" i="16"/>
  <c r="C33" i="16"/>
  <c r="D45" i="16"/>
  <c r="D50" i="16"/>
  <c r="C34" i="16"/>
  <c r="D46" i="16"/>
  <c r="N87" i="14"/>
  <c r="N94" i="14"/>
  <c r="N125" i="14"/>
  <c r="C158" i="14"/>
  <c r="C154" i="14"/>
  <c r="C150" i="14"/>
  <c r="C146" i="14"/>
  <c r="C142" i="14"/>
  <c r="C138" i="14"/>
  <c r="C134" i="14"/>
  <c r="C130" i="14"/>
  <c r="C126" i="14"/>
  <c r="C122" i="14"/>
  <c r="C118" i="14"/>
  <c r="M118" i="14" s="1"/>
  <c r="C114" i="14"/>
  <c r="C110" i="14"/>
  <c r="C106" i="14"/>
  <c r="C102" i="14"/>
  <c r="C98" i="14"/>
  <c r="C94" i="14"/>
  <c r="C90" i="14"/>
  <c r="C86" i="14"/>
  <c r="M86" i="14" s="1"/>
  <c r="C82" i="14"/>
  <c r="C78" i="14"/>
  <c r="C74" i="14"/>
  <c r="M74" i="14" s="1"/>
  <c r="C70" i="14"/>
  <c r="C66" i="14"/>
  <c r="C62" i="14"/>
  <c r="C157" i="14"/>
  <c r="C153" i="14"/>
  <c r="C149" i="14"/>
  <c r="C145" i="14"/>
  <c r="C141" i="14"/>
  <c r="C137" i="14"/>
  <c r="C133" i="14"/>
  <c r="C129" i="14"/>
  <c r="C125" i="14"/>
  <c r="C121" i="14"/>
  <c r="C117" i="14"/>
  <c r="C113" i="14"/>
  <c r="C109" i="14"/>
  <c r="C105" i="14"/>
  <c r="C101" i="14"/>
  <c r="C97" i="14"/>
  <c r="C93" i="14"/>
  <c r="M93" i="14" s="1"/>
  <c r="C89" i="14"/>
  <c r="C85" i="14"/>
  <c r="C81" i="14"/>
  <c r="C77" i="14"/>
  <c r="C73" i="14"/>
  <c r="C69" i="14"/>
  <c r="C65" i="14"/>
  <c r="C61" i="14"/>
  <c r="C160" i="14"/>
  <c r="M160" i="14" s="1"/>
  <c r="C156" i="14"/>
  <c r="C152" i="14"/>
  <c r="C148" i="14"/>
  <c r="C144" i="14"/>
  <c r="C140" i="14"/>
  <c r="C136" i="14"/>
  <c r="C132" i="14"/>
  <c r="C128" i="14"/>
  <c r="C124" i="14"/>
  <c r="M124" i="14" s="1"/>
  <c r="C120" i="14"/>
  <c r="C116" i="14"/>
  <c r="C112" i="14"/>
  <c r="C108" i="14"/>
  <c r="C104" i="14"/>
  <c r="C100" i="14"/>
  <c r="C96" i="14"/>
  <c r="C92" i="14"/>
  <c r="C88" i="14"/>
  <c r="C84" i="14"/>
  <c r="C80" i="14"/>
  <c r="C76" i="14"/>
  <c r="C72" i="14"/>
  <c r="C68" i="14"/>
  <c r="C64" i="14"/>
  <c r="C60" i="14"/>
  <c r="M60" i="14" s="1"/>
  <c r="C159" i="14"/>
  <c r="C155" i="14"/>
  <c r="C151" i="14"/>
  <c r="C147" i="14"/>
  <c r="C143" i="14"/>
  <c r="C139" i="14"/>
  <c r="C135" i="14"/>
  <c r="C131" i="14"/>
  <c r="C127" i="14"/>
  <c r="C123" i="14"/>
  <c r="C119" i="14"/>
  <c r="C115" i="14"/>
  <c r="C111" i="14"/>
  <c r="C107" i="14"/>
  <c r="C103" i="14"/>
  <c r="C99" i="14"/>
  <c r="C95" i="14"/>
  <c r="C91" i="14"/>
  <c r="C87" i="14"/>
  <c r="C83" i="14"/>
  <c r="C79" i="14"/>
  <c r="C75" i="14"/>
  <c r="C71" i="14"/>
  <c r="C67" i="14"/>
  <c r="C63" i="14"/>
  <c r="N119" i="14"/>
  <c r="C22" i="6"/>
  <c r="AL47" i="40" s="1"/>
  <c r="AF47" i="40" s="1"/>
  <c r="C30" i="6"/>
  <c r="AL55" i="40" s="1"/>
  <c r="AF55" i="40" s="1"/>
  <c r="C38" i="6"/>
  <c r="AL63" i="40" s="1"/>
  <c r="AF63" i="40" s="1"/>
  <c r="C46" i="6"/>
  <c r="AL71" i="40" s="1"/>
  <c r="AF71" i="40" s="1"/>
  <c r="C54" i="6"/>
  <c r="AL79" i="40" s="1"/>
  <c r="AF79" i="40" s="1"/>
  <c r="C62" i="6"/>
  <c r="AL87" i="40" s="1"/>
  <c r="AF87" i="40" s="1"/>
  <c r="C70" i="6"/>
  <c r="AL95" i="40" s="1"/>
  <c r="AF95" i="40" s="1"/>
  <c r="C78" i="6"/>
  <c r="AL103" i="40" s="1"/>
  <c r="AF103" i="40" s="1"/>
  <c r="C86" i="6"/>
  <c r="AL111" i="40" s="1"/>
  <c r="AF111" i="40" s="1"/>
  <c r="C94" i="6"/>
  <c r="AL119" i="40" s="1"/>
  <c r="AF119" i="40" s="1"/>
  <c r="C102" i="6"/>
  <c r="AL127" i="40" s="1"/>
  <c r="AF127" i="40" s="1"/>
  <c r="C110" i="6"/>
  <c r="AL135" i="40" s="1"/>
  <c r="AF135" i="40" s="1"/>
  <c r="C118" i="6"/>
  <c r="AL143" i="40" s="1"/>
  <c r="AF143" i="40" s="1"/>
  <c r="C43" i="6"/>
  <c r="AL68" i="40" s="1"/>
  <c r="AF68" i="40" s="1"/>
  <c r="C83" i="6"/>
  <c r="AL108" i="40" s="1"/>
  <c r="AF108" i="40" s="1"/>
  <c r="C107" i="6"/>
  <c r="AL132" i="40" s="1"/>
  <c r="AF132" i="40" s="1"/>
  <c r="C36" i="6"/>
  <c r="AL61" i="40" s="1"/>
  <c r="AF61" i="40" s="1"/>
  <c r="C68" i="6"/>
  <c r="AL93" i="40" s="1"/>
  <c r="AF93" i="40" s="1"/>
  <c r="C84" i="6"/>
  <c r="AL109" i="40" s="1"/>
  <c r="AF109" i="40" s="1"/>
  <c r="C100" i="6"/>
  <c r="AL125" i="40" s="1"/>
  <c r="AF125" i="40" s="1"/>
  <c r="C23" i="6"/>
  <c r="AL48" i="40" s="1"/>
  <c r="AF48" i="40" s="1"/>
  <c r="C31" i="6"/>
  <c r="AL56" i="40" s="1"/>
  <c r="AF56" i="40" s="1"/>
  <c r="C39" i="6"/>
  <c r="AL64" i="40" s="1"/>
  <c r="AF64" i="40" s="1"/>
  <c r="C47" i="6"/>
  <c r="AL72" i="40" s="1"/>
  <c r="AF72" i="40" s="1"/>
  <c r="C55" i="6"/>
  <c r="AL80" i="40" s="1"/>
  <c r="AF80" i="40" s="1"/>
  <c r="C63" i="6"/>
  <c r="AL88" i="40" s="1"/>
  <c r="AF88" i="40" s="1"/>
  <c r="C71" i="6"/>
  <c r="AL96" i="40" s="1"/>
  <c r="AF96" i="40" s="1"/>
  <c r="C79" i="6"/>
  <c r="AL104" i="40" s="1"/>
  <c r="AF104" i="40" s="1"/>
  <c r="C87" i="6"/>
  <c r="AL112" i="40" s="1"/>
  <c r="AF112" i="40" s="1"/>
  <c r="C95" i="6"/>
  <c r="AL120" i="40" s="1"/>
  <c r="AF120" i="40" s="1"/>
  <c r="C103" i="6"/>
  <c r="AL128" i="40" s="1"/>
  <c r="AF128" i="40" s="1"/>
  <c r="C111" i="6"/>
  <c r="AL136" i="40" s="1"/>
  <c r="AF136" i="40" s="1"/>
  <c r="C119" i="6"/>
  <c r="AL144" i="40" s="1"/>
  <c r="AF144" i="40" s="1"/>
  <c r="C51" i="6"/>
  <c r="AL76" i="40" s="1"/>
  <c r="AF76" i="40" s="1"/>
  <c r="C28" i="6"/>
  <c r="AL53" i="40" s="1"/>
  <c r="AF53" i="40" s="1"/>
  <c r="C24" i="6"/>
  <c r="AL49" i="40" s="1"/>
  <c r="AF49" i="40" s="1"/>
  <c r="C32" i="6"/>
  <c r="AL57" i="40" s="1"/>
  <c r="AF57" i="40" s="1"/>
  <c r="C40" i="6"/>
  <c r="AL65" i="40" s="1"/>
  <c r="AF65" i="40" s="1"/>
  <c r="C48" i="6"/>
  <c r="AL73" i="40" s="1"/>
  <c r="AF73" i="40" s="1"/>
  <c r="C56" i="6"/>
  <c r="AL81" i="40" s="1"/>
  <c r="AF81" i="40" s="1"/>
  <c r="C64" i="6"/>
  <c r="AL89" i="40" s="1"/>
  <c r="AF89" i="40" s="1"/>
  <c r="C72" i="6"/>
  <c r="AL97" i="40" s="1"/>
  <c r="AF97" i="40" s="1"/>
  <c r="C80" i="6"/>
  <c r="AL105" i="40" s="1"/>
  <c r="AF105" i="40" s="1"/>
  <c r="C88" i="6"/>
  <c r="AL113" i="40" s="1"/>
  <c r="AF113" i="40" s="1"/>
  <c r="C96" i="6"/>
  <c r="AL121" i="40" s="1"/>
  <c r="AF121" i="40" s="1"/>
  <c r="C104" i="6"/>
  <c r="AL129" i="40" s="1"/>
  <c r="AF129" i="40" s="1"/>
  <c r="C112" i="6"/>
  <c r="AL137" i="40" s="1"/>
  <c r="AF137" i="40" s="1"/>
  <c r="C120" i="6"/>
  <c r="AL145" i="40" s="1"/>
  <c r="AF145" i="40" s="1"/>
  <c r="C27" i="6"/>
  <c r="AL52" i="40" s="1"/>
  <c r="AF52" i="40" s="1"/>
  <c r="C59" i="6"/>
  <c r="AL84" i="40" s="1"/>
  <c r="AF84" i="40" s="1"/>
  <c r="C99" i="6"/>
  <c r="AL124" i="40" s="1"/>
  <c r="AF124" i="40" s="1"/>
  <c r="C60" i="6"/>
  <c r="AL85" i="40" s="1"/>
  <c r="AF85" i="40" s="1"/>
  <c r="C92" i="6"/>
  <c r="AL117" i="40" s="1"/>
  <c r="AF117" i="40" s="1"/>
  <c r="C25" i="6"/>
  <c r="AL50" i="40" s="1"/>
  <c r="AF50" i="40" s="1"/>
  <c r="C33" i="6"/>
  <c r="AL58" i="40" s="1"/>
  <c r="AF58" i="40" s="1"/>
  <c r="C41" i="6"/>
  <c r="AL66" i="40" s="1"/>
  <c r="AF66" i="40" s="1"/>
  <c r="C49" i="6"/>
  <c r="AL74" i="40" s="1"/>
  <c r="AF74" i="40" s="1"/>
  <c r="C57" i="6"/>
  <c r="AL82" i="40" s="1"/>
  <c r="AF82" i="40" s="1"/>
  <c r="C65" i="6"/>
  <c r="AL90" i="40" s="1"/>
  <c r="AF90" i="40" s="1"/>
  <c r="C73" i="6"/>
  <c r="AL98" i="40" s="1"/>
  <c r="AF98" i="40" s="1"/>
  <c r="C81" i="6"/>
  <c r="AL106" i="40" s="1"/>
  <c r="AF106" i="40" s="1"/>
  <c r="C89" i="6"/>
  <c r="AL114" i="40" s="1"/>
  <c r="AF114" i="40" s="1"/>
  <c r="C97" i="6"/>
  <c r="AL122" i="40" s="1"/>
  <c r="AF122" i="40" s="1"/>
  <c r="C105" i="6"/>
  <c r="AL130" i="40" s="1"/>
  <c r="AF130" i="40" s="1"/>
  <c r="C113" i="6"/>
  <c r="AL138" i="40" s="1"/>
  <c r="AF138" i="40" s="1"/>
  <c r="C35" i="6"/>
  <c r="AL60" i="40" s="1"/>
  <c r="AF60" i="40" s="1"/>
  <c r="C67" i="6"/>
  <c r="AL92" i="40" s="1"/>
  <c r="AF92" i="40" s="1"/>
  <c r="C91" i="6"/>
  <c r="AL116" i="40" s="1"/>
  <c r="AF116" i="40" s="1"/>
  <c r="C76" i="6"/>
  <c r="AL101" i="40" s="1"/>
  <c r="AF101" i="40" s="1"/>
  <c r="C108" i="6"/>
  <c r="AL133" i="40" s="1"/>
  <c r="AF133" i="40" s="1"/>
  <c r="C26" i="6"/>
  <c r="AL51" i="40" s="1"/>
  <c r="AF51" i="40" s="1"/>
  <c r="C34" i="6"/>
  <c r="AL59" i="40" s="1"/>
  <c r="AF59" i="40" s="1"/>
  <c r="C42" i="6"/>
  <c r="AL67" i="40" s="1"/>
  <c r="AF67" i="40" s="1"/>
  <c r="C50" i="6"/>
  <c r="AL75" i="40" s="1"/>
  <c r="AF75" i="40" s="1"/>
  <c r="C58" i="6"/>
  <c r="AL83" i="40" s="1"/>
  <c r="AF83" i="40" s="1"/>
  <c r="C66" i="6"/>
  <c r="AL91" i="40" s="1"/>
  <c r="AF91" i="40" s="1"/>
  <c r="C74" i="6"/>
  <c r="AL99" i="40" s="1"/>
  <c r="AF99" i="40" s="1"/>
  <c r="C82" i="6"/>
  <c r="AL107" i="40" s="1"/>
  <c r="AF107" i="40" s="1"/>
  <c r="C90" i="6"/>
  <c r="AL115" i="40" s="1"/>
  <c r="AF115" i="40" s="1"/>
  <c r="C98" i="6"/>
  <c r="AL123" i="40" s="1"/>
  <c r="AF123" i="40" s="1"/>
  <c r="C106" i="6"/>
  <c r="AL131" i="40" s="1"/>
  <c r="AF131" i="40" s="1"/>
  <c r="C114" i="6"/>
  <c r="AL139" i="40" s="1"/>
  <c r="AF139" i="40" s="1"/>
  <c r="C115" i="6"/>
  <c r="AL140" i="40" s="1"/>
  <c r="AF140" i="40" s="1"/>
  <c r="C44" i="6"/>
  <c r="AL69" i="40" s="1"/>
  <c r="AF69" i="40" s="1"/>
  <c r="C21" i="6"/>
  <c r="AL46" i="40" s="1"/>
  <c r="AF46" i="40" s="1"/>
  <c r="C29" i="6"/>
  <c r="AL54" i="40" s="1"/>
  <c r="AF54" i="40" s="1"/>
  <c r="C37" i="6"/>
  <c r="AL62" i="40" s="1"/>
  <c r="AF62" i="40" s="1"/>
  <c r="C45" i="6"/>
  <c r="AL70" i="40" s="1"/>
  <c r="AF70" i="40" s="1"/>
  <c r="C53" i="6"/>
  <c r="AL78" i="40" s="1"/>
  <c r="AF78" i="40" s="1"/>
  <c r="C61" i="6"/>
  <c r="AL86" i="40" s="1"/>
  <c r="AF86" i="40" s="1"/>
  <c r="C69" i="6"/>
  <c r="AL94" i="40" s="1"/>
  <c r="AF94" i="40" s="1"/>
  <c r="C77" i="6"/>
  <c r="AL102" i="40" s="1"/>
  <c r="AF102" i="40" s="1"/>
  <c r="C85" i="6"/>
  <c r="AL110" i="40" s="1"/>
  <c r="AF110" i="40" s="1"/>
  <c r="C93" i="6"/>
  <c r="AL118" i="40" s="1"/>
  <c r="AF118" i="40" s="1"/>
  <c r="C101" i="6"/>
  <c r="AL126" i="40" s="1"/>
  <c r="AF126" i="40" s="1"/>
  <c r="C109" i="6"/>
  <c r="AL134" i="40" s="1"/>
  <c r="AF134" i="40" s="1"/>
  <c r="C117" i="6"/>
  <c r="AL142" i="40" s="1"/>
  <c r="AF142" i="40" s="1"/>
  <c r="C75" i="6"/>
  <c r="AL100" i="40" s="1"/>
  <c r="AF100" i="40" s="1"/>
  <c r="C52" i="6"/>
  <c r="AL77" i="40" s="1"/>
  <c r="AF77" i="40" s="1"/>
  <c r="C116" i="6"/>
  <c r="AL141" i="40" s="1"/>
  <c r="AF141" i="40" s="1"/>
  <c r="AV66" i="43" l="1"/>
  <c r="AV66" i="45" s="1"/>
  <c r="AX66" i="45"/>
  <c r="AV71" i="43"/>
  <c r="AV71" i="45" s="1"/>
  <c r="AV68" i="43"/>
  <c r="AV68" i="45" s="1"/>
  <c r="AV51" i="43"/>
  <c r="AV51" i="45" s="1"/>
  <c r="AV62" i="43"/>
  <c r="AV62" i="45" s="1"/>
  <c r="AV56" i="43"/>
  <c r="AV56" i="45" s="1"/>
  <c r="AV63" i="43"/>
  <c r="AV63" i="45" s="1"/>
  <c r="AV61" i="43"/>
  <c r="AV61" i="45" s="1"/>
  <c r="AV57" i="43"/>
  <c r="AV57" i="45" s="1"/>
  <c r="AV59" i="43"/>
  <c r="AV59" i="45" s="1"/>
  <c r="AV50" i="43"/>
  <c r="AV50" i="45" s="1"/>
  <c r="AV65" i="43"/>
  <c r="AV65" i="45" s="1"/>
  <c r="AV52" i="43"/>
  <c r="AV52" i="45" s="1"/>
  <c r="AV53" i="43"/>
  <c r="AV53" i="45" s="1"/>
  <c r="CF62" i="43"/>
  <c r="CF62" i="45" s="1"/>
  <c r="CF65" i="43"/>
  <c r="CF65" i="45" s="1"/>
  <c r="CF51" i="43"/>
  <c r="CF51" i="45" s="1"/>
  <c r="CF67" i="43"/>
  <c r="CF67" i="45" s="1"/>
  <c r="CF69" i="43"/>
  <c r="CF69" i="45" s="1"/>
  <c r="CF52" i="43"/>
  <c r="CF52" i="45" s="1"/>
  <c r="CF59" i="43"/>
  <c r="CF59" i="45" s="1"/>
  <c r="CF63" i="43"/>
  <c r="CF63" i="45" s="1"/>
  <c r="CF60" i="43"/>
  <c r="CF60" i="45" s="1"/>
  <c r="CF70" i="43"/>
  <c r="CF70" i="45" s="1"/>
  <c r="CF61" i="43"/>
  <c r="CF61" i="45" s="1"/>
  <c r="CF58" i="43"/>
  <c r="CF58" i="45" s="1"/>
  <c r="CF57" i="43"/>
  <c r="CF57" i="45" s="1"/>
  <c r="CF64" i="43"/>
  <c r="CF64" i="45" s="1"/>
  <c r="CF66" i="43"/>
  <c r="CF66" i="45" s="1"/>
  <c r="CF53" i="43"/>
  <c r="CF53" i="45" s="1"/>
  <c r="CF68" i="43"/>
  <c r="CF68" i="45" s="1"/>
  <c r="CF71" i="43"/>
  <c r="CF71" i="45" s="1"/>
  <c r="CF55" i="43"/>
  <c r="CF55" i="45" s="1"/>
  <c r="CF56" i="43"/>
  <c r="CF56" i="45" s="1"/>
  <c r="CF54" i="43"/>
  <c r="CF54" i="45" s="1"/>
  <c r="AY66" i="43"/>
  <c r="AY66" i="45" s="1"/>
  <c r="AV60" i="43"/>
  <c r="AV60" i="45" s="1"/>
  <c r="AV69" i="43"/>
  <c r="AV69" i="45" s="1"/>
  <c r="AV54" i="43"/>
  <c r="AV54" i="45" s="1"/>
  <c r="AV55" i="43"/>
  <c r="AV55" i="45" s="1"/>
  <c r="AV67" i="43"/>
  <c r="AV67" i="45" s="1"/>
  <c r="AV64" i="43"/>
  <c r="AV64" i="45" s="1"/>
  <c r="AV58" i="43"/>
  <c r="AV58" i="45" s="1"/>
  <c r="AV70" i="43"/>
  <c r="AV70" i="45" s="1"/>
  <c r="AG54" i="40"/>
  <c r="AG65" i="40"/>
  <c r="M90" i="15"/>
  <c r="R90" i="15" s="1"/>
  <c r="BR90" i="15"/>
  <c r="BP90" i="15"/>
  <c r="BL90" i="15"/>
  <c r="BQ90" i="15"/>
  <c r="BM90" i="15"/>
  <c r="BN90" i="15"/>
  <c r="BK90" i="15"/>
  <c r="BO90" i="15"/>
  <c r="M48" i="15"/>
  <c r="P48" i="15" s="1"/>
  <c r="BP48" i="15"/>
  <c r="BQ48" i="15"/>
  <c r="BR48" i="15"/>
  <c r="BM48" i="15"/>
  <c r="BN48" i="15"/>
  <c r="BK48" i="15"/>
  <c r="BO48" i="15"/>
  <c r="BL48" i="15"/>
  <c r="AG117" i="40"/>
  <c r="AG143" i="40"/>
  <c r="M97" i="15"/>
  <c r="BP97" i="15"/>
  <c r="BQ97" i="15"/>
  <c r="BR97" i="15"/>
  <c r="BM97" i="15"/>
  <c r="BN97" i="15"/>
  <c r="BO97" i="15"/>
  <c r="BK97" i="15"/>
  <c r="BL97" i="15"/>
  <c r="M126" i="15"/>
  <c r="P126" i="15" s="1"/>
  <c r="BP126" i="15"/>
  <c r="BQ126" i="15"/>
  <c r="BR126" i="15"/>
  <c r="BL126" i="15"/>
  <c r="BM126" i="15"/>
  <c r="BN126" i="15"/>
  <c r="BK126" i="15"/>
  <c r="BO126" i="15"/>
  <c r="M119" i="15"/>
  <c r="P119" i="15" s="1"/>
  <c r="BP119" i="15"/>
  <c r="BR119" i="15"/>
  <c r="BO119" i="15"/>
  <c r="BK119" i="15"/>
  <c r="BL119" i="15"/>
  <c r="BM119" i="15"/>
  <c r="BN119" i="15"/>
  <c r="BQ119" i="15"/>
  <c r="AG102" i="40"/>
  <c r="AG69" i="40"/>
  <c r="AG91" i="40"/>
  <c r="AG116" i="40"/>
  <c r="AG98" i="40"/>
  <c r="AG85" i="40"/>
  <c r="AG113" i="40"/>
  <c r="AG49" i="40"/>
  <c r="AG104" i="40"/>
  <c r="AG125" i="40"/>
  <c r="AG135" i="40"/>
  <c r="AG71" i="40"/>
  <c r="M69" i="15"/>
  <c r="BQ69" i="15"/>
  <c r="BR69" i="15"/>
  <c r="BP69" i="15"/>
  <c r="BM69" i="15"/>
  <c r="BN69" i="15"/>
  <c r="BO69" i="15"/>
  <c r="BK69" i="15"/>
  <c r="BL69" i="15"/>
  <c r="M101" i="15"/>
  <c r="BQ101" i="15"/>
  <c r="BR101" i="15"/>
  <c r="BP101" i="15"/>
  <c r="BM101" i="15"/>
  <c r="BK101" i="15"/>
  <c r="BN101" i="15"/>
  <c r="BL101" i="15"/>
  <c r="BO101" i="15"/>
  <c r="M133" i="15"/>
  <c r="BQ133" i="15"/>
  <c r="BR133" i="15"/>
  <c r="BP133" i="15"/>
  <c r="BM133" i="15"/>
  <c r="BN133" i="15"/>
  <c r="BO133" i="15"/>
  <c r="BK133" i="15"/>
  <c r="BL133" i="15"/>
  <c r="M66" i="15"/>
  <c r="P66" i="15" s="1"/>
  <c r="BR66" i="15"/>
  <c r="BQ66" i="15"/>
  <c r="BL66" i="15"/>
  <c r="BM66" i="15"/>
  <c r="BN66" i="15"/>
  <c r="BO66" i="15"/>
  <c r="BK66" i="15"/>
  <c r="BP66" i="15"/>
  <c r="M98" i="15"/>
  <c r="P98" i="15" s="1"/>
  <c r="BR98" i="15"/>
  <c r="BQ98" i="15"/>
  <c r="BL98" i="15"/>
  <c r="BM98" i="15"/>
  <c r="BN98" i="15"/>
  <c r="BO98" i="15"/>
  <c r="BP98" i="15"/>
  <c r="BK98" i="15"/>
  <c r="M130" i="15"/>
  <c r="P130" i="15" s="1"/>
  <c r="BR130" i="15"/>
  <c r="BM130" i="15"/>
  <c r="BL130" i="15"/>
  <c r="BN130" i="15"/>
  <c r="BO130" i="15"/>
  <c r="BP130" i="15"/>
  <c r="BQ130" i="15"/>
  <c r="BK130" i="15"/>
  <c r="M59" i="15"/>
  <c r="R59" i="15" s="1"/>
  <c r="BP59" i="15"/>
  <c r="BQ59" i="15"/>
  <c r="BR59" i="15"/>
  <c r="BK59" i="15"/>
  <c r="BL59" i="15"/>
  <c r="BM59" i="15"/>
  <c r="BN59" i="15"/>
  <c r="BO59" i="15"/>
  <c r="M91" i="15"/>
  <c r="R91" i="15" s="1"/>
  <c r="BP91" i="15"/>
  <c r="BQ91" i="15"/>
  <c r="BR91" i="15"/>
  <c r="BO91" i="15"/>
  <c r="BK91" i="15"/>
  <c r="BL91" i="15"/>
  <c r="BM91" i="15"/>
  <c r="BN91" i="15"/>
  <c r="M123" i="15"/>
  <c r="BP123" i="15"/>
  <c r="BQ123" i="15"/>
  <c r="BR123" i="15"/>
  <c r="BK123" i="15"/>
  <c r="BM123" i="15"/>
  <c r="BL123" i="15"/>
  <c r="BN123" i="15"/>
  <c r="BO123" i="15"/>
  <c r="M56" i="15"/>
  <c r="BP56" i="15"/>
  <c r="BQ56" i="15"/>
  <c r="BR56" i="15"/>
  <c r="BM56" i="15"/>
  <c r="BN56" i="15"/>
  <c r="BK56" i="15"/>
  <c r="BO56" i="15"/>
  <c r="BL56" i="15"/>
  <c r="M88" i="15"/>
  <c r="BP88" i="15"/>
  <c r="BQ88" i="15"/>
  <c r="BR88" i="15"/>
  <c r="BK88" i="15"/>
  <c r="BL88" i="15"/>
  <c r="BO88" i="15"/>
  <c r="BM88" i="15"/>
  <c r="BN88" i="15"/>
  <c r="M120" i="15"/>
  <c r="R120" i="15" s="1"/>
  <c r="BP120" i="15"/>
  <c r="BQ120" i="15"/>
  <c r="BR120" i="15"/>
  <c r="BM120" i="15"/>
  <c r="BN120" i="15"/>
  <c r="BO120" i="15"/>
  <c r="BK120" i="15"/>
  <c r="BL120" i="15"/>
  <c r="AG133" i="40"/>
  <c r="AG68" i="40"/>
  <c r="M61" i="15"/>
  <c r="R61" i="15" s="1"/>
  <c r="BQ61" i="15"/>
  <c r="BR61" i="15"/>
  <c r="BM61" i="15"/>
  <c r="BN61" i="15"/>
  <c r="BP61" i="15"/>
  <c r="BO61" i="15"/>
  <c r="BK61" i="15"/>
  <c r="BL61" i="15"/>
  <c r="M122" i="15"/>
  <c r="P122" i="15" s="1"/>
  <c r="BR122" i="15"/>
  <c r="BP122" i="15"/>
  <c r="BN122" i="15"/>
  <c r="BL122" i="15"/>
  <c r="BQ122" i="15"/>
  <c r="BO122" i="15"/>
  <c r="BK122" i="15"/>
  <c r="BM122" i="15"/>
  <c r="M115" i="15"/>
  <c r="BP115" i="15"/>
  <c r="BQ115" i="15"/>
  <c r="BR115" i="15"/>
  <c r="BM115" i="15"/>
  <c r="BK115" i="15"/>
  <c r="BN115" i="15"/>
  <c r="BL115" i="15"/>
  <c r="BO115" i="15"/>
  <c r="AG99" i="40"/>
  <c r="AG57" i="40"/>
  <c r="M65" i="15"/>
  <c r="P65" i="15" s="1"/>
  <c r="BP65" i="15"/>
  <c r="BQ65" i="15"/>
  <c r="BR65" i="15"/>
  <c r="BO65" i="15"/>
  <c r="BK65" i="15"/>
  <c r="BL65" i="15"/>
  <c r="BM65" i="15"/>
  <c r="BN65" i="15"/>
  <c r="M94" i="15"/>
  <c r="R94" i="15" s="1"/>
  <c r="BP94" i="15"/>
  <c r="BQ94" i="15"/>
  <c r="BR94" i="15"/>
  <c r="BM94" i="15"/>
  <c r="BL94" i="15"/>
  <c r="BN94" i="15"/>
  <c r="BO94" i="15"/>
  <c r="BK94" i="15"/>
  <c r="M87" i="15"/>
  <c r="R87" i="15" s="1"/>
  <c r="BP87" i="15"/>
  <c r="BR87" i="15"/>
  <c r="BK87" i="15"/>
  <c r="BM87" i="15"/>
  <c r="BL87" i="15"/>
  <c r="BN87" i="15"/>
  <c r="BO87" i="15"/>
  <c r="BQ87" i="15"/>
  <c r="M84" i="15"/>
  <c r="BP84" i="15"/>
  <c r="BQ84" i="15"/>
  <c r="BM84" i="15"/>
  <c r="BN84" i="15"/>
  <c r="BO84" i="15"/>
  <c r="BK84" i="15"/>
  <c r="BR84" i="15"/>
  <c r="BL84" i="15"/>
  <c r="M116" i="15"/>
  <c r="R116" i="15" s="1"/>
  <c r="BP116" i="15"/>
  <c r="BQ116" i="15"/>
  <c r="BK116" i="15"/>
  <c r="BR116" i="15"/>
  <c r="BM116" i="15"/>
  <c r="BL116" i="15"/>
  <c r="BO116" i="15"/>
  <c r="BN116" i="15"/>
  <c r="AG77" i="40"/>
  <c r="AG140" i="40"/>
  <c r="AG83" i="40"/>
  <c r="AG92" i="40"/>
  <c r="AG90" i="40"/>
  <c r="AG124" i="40"/>
  <c r="AG105" i="40"/>
  <c r="AG53" i="40"/>
  <c r="AG96" i="40"/>
  <c r="AG109" i="40"/>
  <c r="AG127" i="40"/>
  <c r="AG63" i="40"/>
  <c r="M73" i="15"/>
  <c r="R73" i="15" s="1"/>
  <c r="BP73" i="15"/>
  <c r="BQ73" i="15"/>
  <c r="BR73" i="15"/>
  <c r="BN73" i="15"/>
  <c r="BO73" i="15"/>
  <c r="BK73" i="15"/>
  <c r="BM73" i="15"/>
  <c r="BL73" i="15"/>
  <c r="M105" i="15"/>
  <c r="R105" i="15" s="1"/>
  <c r="BP105" i="15"/>
  <c r="BQ105" i="15"/>
  <c r="BR105" i="15"/>
  <c r="BM105" i="15"/>
  <c r="BN105" i="15"/>
  <c r="BO105" i="15"/>
  <c r="BL105" i="15"/>
  <c r="BK105" i="15"/>
  <c r="M137" i="15"/>
  <c r="BP137" i="15"/>
  <c r="BQ137" i="15"/>
  <c r="BR137" i="15"/>
  <c r="BO137" i="15"/>
  <c r="BL137" i="15"/>
  <c r="BN137" i="15"/>
  <c r="BK137" i="15"/>
  <c r="BM137" i="15"/>
  <c r="M70" i="15"/>
  <c r="P70" i="15" s="1"/>
  <c r="BP70" i="15"/>
  <c r="BQ70" i="15"/>
  <c r="BR70" i="15"/>
  <c r="BO70" i="15"/>
  <c r="BL70" i="15"/>
  <c r="BM70" i="15"/>
  <c r="BN70" i="15"/>
  <c r="BK70" i="15"/>
  <c r="M102" i="15"/>
  <c r="BP102" i="15"/>
  <c r="BQ102" i="15"/>
  <c r="BR102" i="15"/>
  <c r="BL102" i="15"/>
  <c r="BM102" i="15"/>
  <c r="BN102" i="15"/>
  <c r="BO102" i="15"/>
  <c r="BK102" i="15"/>
  <c r="M134" i="15"/>
  <c r="BP134" i="15"/>
  <c r="BQ134" i="15"/>
  <c r="BR134" i="15"/>
  <c r="BL134" i="15"/>
  <c r="BM134" i="15"/>
  <c r="BN134" i="15"/>
  <c r="BO134" i="15"/>
  <c r="BK134" i="15"/>
  <c r="M63" i="15"/>
  <c r="BP63" i="15"/>
  <c r="BM63" i="15"/>
  <c r="BN63" i="15"/>
  <c r="BK63" i="15"/>
  <c r="BO63" i="15"/>
  <c r="BL63" i="15"/>
  <c r="BQ63" i="15"/>
  <c r="BR63" i="15"/>
  <c r="M95" i="15"/>
  <c r="P95" i="15" s="1"/>
  <c r="BP95" i="15"/>
  <c r="BK95" i="15"/>
  <c r="BL95" i="15"/>
  <c r="BM95" i="15"/>
  <c r="BQ95" i="15"/>
  <c r="BN95" i="15"/>
  <c r="BR95" i="15"/>
  <c r="BO95" i="15"/>
  <c r="M127" i="15"/>
  <c r="P127" i="15" s="1"/>
  <c r="BP127" i="15"/>
  <c r="BN127" i="15"/>
  <c r="BO127" i="15"/>
  <c r="BK127" i="15"/>
  <c r="BL127" i="15"/>
  <c r="BQ127" i="15"/>
  <c r="BR127" i="15"/>
  <c r="BM127" i="15"/>
  <c r="M60" i="15"/>
  <c r="R60" i="15" s="1"/>
  <c r="BP60" i="15"/>
  <c r="BQ60" i="15"/>
  <c r="BO60" i="15"/>
  <c r="BR60" i="15"/>
  <c r="BK60" i="15"/>
  <c r="BL60" i="15"/>
  <c r="BM60" i="15"/>
  <c r="BN60" i="15"/>
  <c r="M92" i="15"/>
  <c r="P92" i="15" s="1"/>
  <c r="BP92" i="15"/>
  <c r="BQ92" i="15"/>
  <c r="BM92" i="15"/>
  <c r="BR92" i="15"/>
  <c r="BN92" i="15"/>
  <c r="BO92" i="15"/>
  <c r="BK92" i="15"/>
  <c r="BL92" i="15"/>
  <c r="M124" i="15"/>
  <c r="R124" i="15" s="1"/>
  <c r="BP124" i="15"/>
  <c r="BQ124" i="15"/>
  <c r="BR124" i="15"/>
  <c r="BK124" i="15"/>
  <c r="BL124" i="15"/>
  <c r="BO124" i="15"/>
  <c r="BN124" i="15"/>
  <c r="BM124" i="15"/>
  <c r="AG118" i="40"/>
  <c r="AG114" i="40"/>
  <c r="AG120" i="40"/>
  <c r="M125" i="15"/>
  <c r="R125" i="15" s="1"/>
  <c r="BQ125" i="15"/>
  <c r="BR125" i="15"/>
  <c r="BM125" i="15"/>
  <c r="BN125" i="15"/>
  <c r="BO125" i="15"/>
  <c r="BP125" i="15"/>
  <c r="BK125" i="15"/>
  <c r="BL125" i="15"/>
  <c r="M83" i="15"/>
  <c r="R83" i="15" s="1"/>
  <c r="BP83" i="15"/>
  <c r="BQ83" i="15"/>
  <c r="BR83" i="15"/>
  <c r="BK83" i="15"/>
  <c r="BL83" i="15"/>
  <c r="BO83" i="15"/>
  <c r="BN83" i="15"/>
  <c r="BM83" i="15"/>
  <c r="AG101" i="40"/>
  <c r="AG112" i="40"/>
  <c r="M62" i="15"/>
  <c r="P62" i="15" s="1"/>
  <c r="BP62" i="15"/>
  <c r="BQ62" i="15"/>
  <c r="BR62" i="15"/>
  <c r="BL62" i="15"/>
  <c r="BO62" i="15"/>
  <c r="BK62" i="15"/>
  <c r="BM62" i="15"/>
  <c r="BN62" i="15"/>
  <c r="M55" i="15"/>
  <c r="P55" i="15" s="1"/>
  <c r="BP55" i="15"/>
  <c r="BR55" i="15"/>
  <c r="BN55" i="15"/>
  <c r="BO55" i="15"/>
  <c r="BK55" i="15"/>
  <c r="BL55" i="15"/>
  <c r="BQ55" i="15"/>
  <c r="BM55" i="15"/>
  <c r="M52" i="15"/>
  <c r="P52" i="15" s="1"/>
  <c r="BP52" i="15"/>
  <c r="BQ52" i="15"/>
  <c r="BO52" i="15"/>
  <c r="BK52" i="15"/>
  <c r="BR52" i="15"/>
  <c r="BL52" i="15"/>
  <c r="BM52" i="15"/>
  <c r="BN52" i="15"/>
  <c r="AG141" i="40"/>
  <c r="AG94" i="40"/>
  <c r="AG100" i="40"/>
  <c r="AG86" i="40"/>
  <c r="AG139" i="40"/>
  <c r="AG75" i="40"/>
  <c r="AG60" i="40"/>
  <c r="AG82" i="40"/>
  <c r="AG84" i="40"/>
  <c r="AG97" i="40"/>
  <c r="AG76" i="40"/>
  <c r="AG88" i="40"/>
  <c r="AG93" i="40"/>
  <c r="AG119" i="40"/>
  <c r="AG55" i="40"/>
  <c r="M46" i="15"/>
  <c r="P46" i="15" s="1"/>
  <c r="BQ46" i="15"/>
  <c r="BP46" i="15"/>
  <c r="BL46" i="15"/>
  <c r="BK46" i="15"/>
  <c r="BO46" i="15"/>
  <c r="BN46" i="15"/>
  <c r="BM46" i="15"/>
  <c r="BR46" i="15"/>
  <c r="M77" i="15"/>
  <c r="P77" i="15" s="1"/>
  <c r="BQ77" i="15"/>
  <c r="BR77" i="15"/>
  <c r="BP77" i="15"/>
  <c r="BM77" i="15"/>
  <c r="BN77" i="15"/>
  <c r="BO77" i="15"/>
  <c r="BK77" i="15"/>
  <c r="BL77" i="15"/>
  <c r="M109" i="15"/>
  <c r="R109" i="15" s="1"/>
  <c r="BQ109" i="15"/>
  <c r="BR109" i="15"/>
  <c r="BP109" i="15"/>
  <c r="BO109" i="15"/>
  <c r="BK109" i="15"/>
  <c r="BL109" i="15"/>
  <c r="BN109" i="15"/>
  <c r="BM109" i="15"/>
  <c r="M141" i="15"/>
  <c r="P141" i="15" s="1"/>
  <c r="BQ141" i="15"/>
  <c r="BR141" i="15"/>
  <c r="BM141" i="15"/>
  <c r="BN141" i="15"/>
  <c r="BO141" i="15"/>
  <c r="BK141" i="15"/>
  <c r="BL141" i="15"/>
  <c r="BP141" i="15"/>
  <c r="M74" i="15"/>
  <c r="R74" i="15" s="1"/>
  <c r="BR74" i="15"/>
  <c r="BL74" i="15"/>
  <c r="BM74" i="15"/>
  <c r="BN74" i="15"/>
  <c r="BP74" i="15"/>
  <c r="BO74" i="15"/>
  <c r="BK74" i="15"/>
  <c r="BQ74" i="15"/>
  <c r="M106" i="15"/>
  <c r="BR106" i="15"/>
  <c r="BL106" i="15"/>
  <c r="BP106" i="15"/>
  <c r="BK106" i="15"/>
  <c r="BM106" i="15"/>
  <c r="BN106" i="15"/>
  <c r="BQ106" i="15"/>
  <c r="BO106" i="15"/>
  <c r="M138" i="15"/>
  <c r="R138" i="15" s="1"/>
  <c r="BR138" i="15"/>
  <c r="BL138" i="15"/>
  <c r="BM138" i="15"/>
  <c r="BN138" i="15"/>
  <c r="BO138" i="15"/>
  <c r="BP138" i="15"/>
  <c r="BK138" i="15"/>
  <c r="BQ138" i="15"/>
  <c r="M67" i="15"/>
  <c r="BP67" i="15"/>
  <c r="BQ67" i="15"/>
  <c r="BR67" i="15"/>
  <c r="BK67" i="15"/>
  <c r="BL67" i="15"/>
  <c r="BM67" i="15"/>
  <c r="BN67" i="15"/>
  <c r="BO67" i="15"/>
  <c r="M99" i="15"/>
  <c r="P99" i="15" s="1"/>
  <c r="BP99" i="15"/>
  <c r="BQ99" i="15"/>
  <c r="BR99" i="15"/>
  <c r="BN99" i="15"/>
  <c r="BO99" i="15"/>
  <c r="BK99" i="15"/>
  <c r="BL99" i="15"/>
  <c r="BM99" i="15"/>
  <c r="M131" i="15"/>
  <c r="R131" i="15" s="1"/>
  <c r="BP131" i="15"/>
  <c r="BQ131" i="15"/>
  <c r="BR131" i="15"/>
  <c r="BK131" i="15"/>
  <c r="BL131" i="15"/>
  <c r="BM131" i="15"/>
  <c r="BN131" i="15"/>
  <c r="BO131" i="15"/>
  <c r="M64" i="15"/>
  <c r="R64" i="15" s="1"/>
  <c r="BP64" i="15"/>
  <c r="BQ64" i="15"/>
  <c r="BR64" i="15"/>
  <c r="BM64" i="15"/>
  <c r="BK64" i="15"/>
  <c r="BN64" i="15"/>
  <c r="BL64" i="15"/>
  <c r="BO64" i="15"/>
  <c r="M96" i="15"/>
  <c r="R96" i="15" s="1"/>
  <c r="BP96" i="15"/>
  <c r="BQ96" i="15"/>
  <c r="BR96" i="15"/>
  <c r="BO96" i="15"/>
  <c r="BK96" i="15"/>
  <c r="BL96" i="15"/>
  <c r="BN96" i="15"/>
  <c r="BM96" i="15"/>
  <c r="M128" i="15"/>
  <c r="R128" i="15" s="1"/>
  <c r="BP128" i="15"/>
  <c r="BQ128" i="15"/>
  <c r="BR128" i="15"/>
  <c r="BM128" i="15"/>
  <c r="BN128" i="15"/>
  <c r="BK128" i="15"/>
  <c r="BO128" i="15"/>
  <c r="BL128" i="15"/>
  <c r="AG129" i="40"/>
  <c r="M144" i="15"/>
  <c r="R144" i="15" s="1"/>
  <c r="BP144" i="15"/>
  <c r="BQ144" i="15"/>
  <c r="BR144" i="15"/>
  <c r="BK144" i="15"/>
  <c r="BM144" i="15"/>
  <c r="BL144" i="15"/>
  <c r="BN144" i="15"/>
  <c r="BO144" i="15"/>
  <c r="AG106" i="40"/>
  <c r="AG47" i="40"/>
  <c r="M49" i="15"/>
  <c r="P49" i="15" s="1"/>
  <c r="BP49" i="15"/>
  <c r="BQ49" i="15"/>
  <c r="BR49" i="15"/>
  <c r="BN49" i="15"/>
  <c r="BO49" i="15"/>
  <c r="BM49" i="15"/>
  <c r="BK49" i="15"/>
  <c r="BL49" i="15"/>
  <c r="M81" i="15"/>
  <c r="P81" i="15" s="1"/>
  <c r="BP81" i="15"/>
  <c r="BQ81" i="15"/>
  <c r="BR81" i="15"/>
  <c r="BN81" i="15"/>
  <c r="BO81" i="15"/>
  <c r="BK81" i="15"/>
  <c r="BM81" i="15"/>
  <c r="BL81" i="15"/>
  <c r="M113" i="15"/>
  <c r="R113" i="15" s="1"/>
  <c r="BP113" i="15"/>
  <c r="BQ113" i="15"/>
  <c r="BR113" i="15"/>
  <c r="BM113" i="15"/>
  <c r="BN113" i="15"/>
  <c r="BO113" i="15"/>
  <c r="BK113" i="15"/>
  <c r="BL113" i="15"/>
  <c r="M145" i="15"/>
  <c r="P145" i="15" s="1"/>
  <c r="BP145" i="15"/>
  <c r="BR145" i="15"/>
  <c r="BN145" i="15"/>
  <c r="BO145" i="15"/>
  <c r="BQ145" i="15"/>
  <c r="BM145" i="15"/>
  <c r="BK145" i="15"/>
  <c r="BL145" i="15"/>
  <c r="M78" i="15"/>
  <c r="P78" i="15" s="1"/>
  <c r="BP78" i="15"/>
  <c r="BQ78" i="15"/>
  <c r="BR78" i="15"/>
  <c r="BO78" i="15"/>
  <c r="BL78" i="15"/>
  <c r="BM78" i="15"/>
  <c r="BN78" i="15"/>
  <c r="BK78" i="15"/>
  <c r="M110" i="15"/>
  <c r="R110" i="15" s="1"/>
  <c r="BP110" i="15"/>
  <c r="BQ110" i="15"/>
  <c r="BR110" i="15"/>
  <c r="BL110" i="15"/>
  <c r="BM110" i="15"/>
  <c r="BN110" i="15"/>
  <c r="BO110" i="15"/>
  <c r="BK110" i="15"/>
  <c r="M142" i="15"/>
  <c r="P142" i="15" s="1"/>
  <c r="BP142" i="15"/>
  <c r="BQ142" i="15"/>
  <c r="BR142" i="15"/>
  <c r="BO142" i="15"/>
  <c r="BL142" i="15"/>
  <c r="BK142" i="15"/>
  <c r="BM142" i="15"/>
  <c r="BN142" i="15"/>
  <c r="M71" i="15"/>
  <c r="BP71" i="15"/>
  <c r="BM71" i="15"/>
  <c r="BK71" i="15"/>
  <c r="BQ71" i="15"/>
  <c r="BN71" i="15"/>
  <c r="BL71" i="15"/>
  <c r="BR71" i="15"/>
  <c r="BO71" i="15"/>
  <c r="M103" i="15"/>
  <c r="R103" i="15" s="1"/>
  <c r="BP103" i="15"/>
  <c r="BK103" i="15"/>
  <c r="BQ103" i="15"/>
  <c r="BL103" i="15"/>
  <c r="BR103" i="15"/>
  <c r="BM103" i="15"/>
  <c r="BN103" i="15"/>
  <c r="BO103" i="15"/>
  <c r="M135" i="15"/>
  <c r="R135" i="15" s="1"/>
  <c r="BP135" i="15"/>
  <c r="BM135" i="15"/>
  <c r="BN135" i="15"/>
  <c r="BK135" i="15"/>
  <c r="BQ135" i="15"/>
  <c r="BO135" i="15"/>
  <c r="BL135" i="15"/>
  <c r="BR135" i="15"/>
  <c r="M68" i="15"/>
  <c r="R68" i="15" s="1"/>
  <c r="BP68" i="15"/>
  <c r="BQ68" i="15"/>
  <c r="BR68" i="15"/>
  <c r="BN68" i="15"/>
  <c r="BO68" i="15"/>
  <c r="BK68" i="15"/>
  <c r="BL68" i="15"/>
  <c r="BM68" i="15"/>
  <c r="M100" i="15"/>
  <c r="P100" i="15" s="1"/>
  <c r="BP100" i="15"/>
  <c r="BQ100" i="15"/>
  <c r="BR100" i="15"/>
  <c r="BM100" i="15"/>
  <c r="BN100" i="15"/>
  <c r="BK100" i="15"/>
  <c r="BO100" i="15"/>
  <c r="BL100" i="15"/>
  <c r="M132" i="15"/>
  <c r="P132" i="15" s="1"/>
  <c r="BP132" i="15"/>
  <c r="BQ132" i="15"/>
  <c r="BR132" i="15"/>
  <c r="BO132" i="15"/>
  <c r="BK132" i="15"/>
  <c r="BL132" i="15"/>
  <c r="BM132" i="15"/>
  <c r="BN132" i="15"/>
  <c r="AG50" i="40"/>
  <c r="AG87" i="40"/>
  <c r="M58" i="15"/>
  <c r="R58" i="15" s="1"/>
  <c r="BR58" i="15"/>
  <c r="BP58" i="15"/>
  <c r="BM58" i="15"/>
  <c r="BL58" i="15"/>
  <c r="BQ58" i="15"/>
  <c r="BN58" i="15"/>
  <c r="BO58" i="15"/>
  <c r="BK58" i="15"/>
  <c r="M112" i="15"/>
  <c r="R112" i="15" s="1"/>
  <c r="BP112" i="15"/>
  <c r="BQ112" i="15"/>
  <c r="BR112" i="15"/>
  <c r="BM112" i="15"/>
  <c r="BN112" i="15"/>
  <c r="BO112" i="15"/>
  <c r="BK112" i="15"/>
  <c r="BL112" i="15"/>
  <c r="AG46" i="40"/>
  <c r="AG48" i="40"/>
  <c r="M129" i="15"/>
  <c r="P129" i="15" s="1"/>
  <c r="BP129" i="15"/>
  <c r="BQ129" i="15"/>
  <c r="BR129" i="15"/>
  <c r="BK129" i="15"/>
  <c r="BL129" i="15"/>
  <c r="BO129" i="15"/>
  <c r="BM129" i="15"/>
  <c r="BN129" i="15"/>
  <c r="AG78" i="40"/>
  <c r="AG67" i="40"/>
  <c r="AG74" i="40"/>
  <c r="AG89" i="40"/>
  <c r="AG80" i="40"/>
  <c r="AG61" i="40"/>
  <c r="AG70" i="40"/>
  <c r="AG123" i="40"/>
  <c r="AG59" i="40"/>
  <c r="AG130" i="40"/>
  <c r="AG66" i="40"/>
  <c r="AG145" i="40"/>
  <c r="AG81" i="40"/>
  <c r="AG136" i="40"/>
  <c r="AG72" i="40"/>
  <c r="AG132" i="40"/>
  <c r="AG103" i="40"/>
  <c r="M53" i="15"/>
  <c r="R53" i="15" s="1"/>
  <c r="BQ53" i="15"/>
  <c r="BR53" i="15"/>
  <c r="BM53" i="15"/>
  <c r="BN53" i="15"/>
  <c r="BO53" i="15"/>
  <c r="BL53" i="15"/>
  <c r="BP53" i="15"/>
  <c r="BK53" i="15"/>
  <c r="M85" i="15"/>
  <c r="P85" i="15" s="1"/>
  <c r="BQ85" i="15"/>
  <c r="BR85" i="15"/>
  <c r="BM85" i="15"/>
  <c r="BN85" i="15"/>
  <c r="BL85" i="15"/>
  <c r="BP85" i="15"/>
  <c r="BO85" i="15"/>
  <c r="BK85" i="15"/>
  <c r="M117" i="15"/>
  <c r="BQ117" i="15"/>
  <c r="BR117" i="15"/>
  <c r="BN117" i="15"/>
  <c r="BO117" i="15"/>
  <c r="BL117" i="15"/>
  <c r="BK117" i="15"/>
  <c r="BP117" i="15"/>
  <c r="BM117" i="15"/>
  <c r="M50" i="15"/>
  <c r="R50" i="15" s="1"/>
  <c r="BR50" i="15"/>
  <c r="BM50" i="15"/>
  <c r="BL50" i="15"/>
  <c r="BN50" i="15"/>
  <c r="BP50" i="15"/>
  <c r="BO50" i="15"/>
  <c r="BQ50" i="15"/>
  <c r="BK50" i="15"/>
  <c r="M82" i="15"/>
  <c r="R82" i="15" s="1"/>
  <c r="BR82" i="15"/>
  <c r="BL82" i="15"/>
  <c r="BP82" i="15"/>
  <c r="BM82" i="15"/>
  <c r="BQ82" i="15"/>
  <c r="BN82" i="15"/>
  <c r="BO82" i="15"/>
  <c r="BK82" i="15"/>
  <c r="M114" i="15"/>
  <c r="R114" i="15" s="1"/>
  <c r="BR114" i="15"/>
  <c r="BO114" i="15"/>
  <c r="BL114" i="15"/>
  <c r="BP114" i="15"/>
  <c r="BQ114" i="15"/>
  <c r="BM114" i="15"/>
  <c r="BK114" i="15"/>
  <c r="BN114" i="15"/>
  <c r="M146" i="15"/>
  <c r="P146" i="15" s="1"/>
  <c r="BL146" i="15"/>
  <c r="BM146" i="15"/>
  <c r="BN146" i="15"/>
  <c r="BP146" i="15"/>
  <c r="BO146" i="15"/>
  <c r="BK146" i="15"/>
  <c r="BR146" i="15"/>
  <c r="BQ146" i="15"/>
  <c r="M75" i="15"/>
  <c r="P75" i="15" s="1"/>
  <c r="BP75" i="15"/>
  <c r="BQ75" i="15"/>
  <c r="BR75" i="15"/>
  <c r="BK75" i="15"/>
  <c r="BL75" i="15"/>
  <c r="BO75" i="15"/>
  <c r="BN75" i="15"/>
  <c r="BM75" i="15"/>
  <c r="M107" i="15"/>
  <c r="R107" i="15" s="1"/>
  <c r="BP107" i="15"/>
  <c r="BQ107" i="15"/>
  <c r="BR107" i="15"/>
  <c r="BM107" i="15"/>
  <c r="BN107" i="15"/>
  <c r="BK107" i="15"/>
  <c r="BO107" i="15"/>
  <c r="BL107" i="15"/>
  <c r="M139" i="15"/>
  <c r="P139" i="15" s="1"/>
  <c r="BP139" i="15"/>
  <c r="BQ139" i="15"/>
  <c r="BR139" i="15"/>
  <c r="BK139" i="15"/>
  <c r="BL139" i="15"/>
  <c r="BM139" i="15"/>
  <c r="BN139" i="15"/>
  <c r="BO139" i="15"/>
  <c r="M72" i="15"/>
  <c r="BP72" i="15"/>
  <c r="BQ72" i="15"/>
  <c r="BR72" i="15"/>
  <c r="BK72" i="15"/>
  <c r="BM72" i="15"/>
  <c r="BL72" i="15"/>
  <c r="BN72" i="15"/>
  <c r="BO72" i="15"/>
  <c r="M104" i="15"/>
  <c r="R104" i="15" s="1"/>
  <c r="BP104" i="15"/>
  <c r="BQ104" i="15"/>
  <c r="BR104" i="15"/>
  <c r="BN104" i="15"/>
  <c r="BO104" i="15"/>
  <c r="BK104" i="15"/>
  <c r="BL104" i="15"/>
  <c r="BM104" i="15"/>
  <c r="M136" i="15"/>
  <c r="R136" i="15" s="1"/>
  <c r="BP136" i="15"/>
  <c r="BQ136" i="15"/>
  <c r="BR136" i="15"/>
  <c r="BM136" i="15"/>
  <c r="BK136" i="15"/>
  <c r="BN136" i="15"/>
  <c r="BL136" i="15"/>
  <c r="BO136" i="15"/>
  <c r="AG107" i="40"/>
  <c r="AG56" i="40"/>
  <c r="M93" i="15"/>
  <c r="R93" i="15" s="1"/>
  <c r="BQ93" i="15"/>
  <c r="BR93" i="15"/>
  <c r="BP93" i="15"/>
  <c r="BM93" i="15"/>
  <c r="BN93" i="15"/>
  <c r="BO93" i="15"/>
  <c r="BL93" i="15"/>
  <c r="BK93" i="15"/>
  <c r="M51" i="15"/>
  <c r="P51" i="15" s="1"/>
  <c r="BP51" i="15"/>
  <c r="BQ51" i="15"/>
  <c r="BR51" i="15"/>
  <c r="BK51" i="15"/>
  <c r="BL51" i="15"/>
  <c r="BM51" i="15"/>
  <c r="BN51" i="15"/>
  <c r="BO51" i="15"/>
  <c r="M80" i="15"/>
  <c r="P80" i="15" s="1"/>
  <c r="BP80" i="15"/>
  <c r="BQ80" i="15"/>
  <c r="BR80" i="15"/>
  <c r="BK80" i="15"/>
  <c r="BM80" i="15"/>
  <c r="BL80" i="15"/>
  <c r="BN80" i="15"/>
  <c r="BO80" i="15"/>
  <c r="AG110" i="40"/>
  <c r="AG121" i="40"/>
  <c r="AG79" i="40"/>
  <c r="AG142" i="40"/>
  <c r="AG131" i="40"/>
  <c r="AG138" i="40"/>
  <c r="AG52" i="40"/>
  <c r="AG144" i="40"/>
  <c r="AG111" i="40"/>
  <c r="AG134" i="40"/>
  <c r="AG126" i="40"/>
  <c r="AG62" i="40"/>
  <c r="AG115" i="40"/>
  <c r="AG51" i="40"/>
  <c r="AG122" i="40"/>
  <c r="AG58" i="40"/>
  <c r="AG137" i="40"/>
  <c r="AG73" i="40"/>
  <c r="AG128" i="40"/>
  <c r="AG64" i="40"/>
  <c r="AG108" i="40"/>
  <c r="AG95" i="40"/>
  <c r="M57" i="15"/>
  <c r="R57" i="15" s="1"/>
  <c r="BP57" i="15"/>
  <c r="BQ57" i="15"/>
  <c r="BR57" i="15"/>
  <c r="BM57" i="15"/>
  <c r="BN57" i="15"/>
  <c r="BO57" i="15"/>
  <c r="BK57" i="15"/>
  <c r="BL57" i="15"/>
  <c r="M89" i="15"/>
  <c r="P89" i="15" s="1"/>
  <c r="BP89" i="15"/>
  <c r="BQ89" i="15"/>
  <c r="BR89" i="15"/>
  <c r="BM89" i="15"/>
  <c r="BN89" i="15"/>
  <c r="BO89" i="15"/>
  <c r="BK89" i="15"/>
  <c r="BL89" i="15"/>
  <c r="M121" i="15"/>
  <c r="BP121" i="15"/>
  <c r="BQ121" i="15"/>
  <c r="BR121" i="15"/>
  <c r="BM121" i="15"/>
  <c r="BK121" i="15"/>
  <c r="BN121" i="15"/>
  <c r="BL121" i="15"/>
  <c r="BO121" i="15"/>
  <c r="M54" i="15"/>
  <c r="P54" i="15" s="1"/>
  <c r="BP54" i="15"/>
  <c r="BQ54" i="15"/>
  <c r="BR54" i="15"/>
  <c r="BL54" i="15"/>
  <c r="BM54" i="15"/>
  <c r="BK54" i="15"/>
  <c r="BO54" i="15"/>
  <c r="BN54" i="15"/>
  <c r="M86" i="15"/>
  <c r="R86" i="15" s="1"/>
  <c r="BP86" i="15"/>
  <c r="BQ86" i="15"/>
  <c r="BR86" i="15"/>
  <c r="BN86" i="15"/>
  <c r="BL86" i="15"/>
  <c r="BO86" i="15"/>
  <c r="BK86" i="15"/>
  <c r="BM86" i="15"/>
  <c r="M118" i="15"/>
  <c r="R118" i="15" s="1"/>
  <c r="BP118" i="15"/>
  <c r="BQ118" i="15"/>
  <c r="BR118" i="15"/>
  <c r="BL118" i="15"/>
  <c r="BM118" i="15"/>
  <c r="BN118" i="15"/>
  <c r="BO118" i="15"/>
  <c r="BK118" i="15"/>
  <c r="M47" i="15"/>
  <c r="P47" i="15" s="1"/>
  <c r="BP47" i="15"/>
  <c r="BQ47" i="15"/>
  <c r="BN47" i="15"/>
  <c r="BR47" i="15"/>
  <c r="BO47" i="15"/>
  <c r="BK47" i="15"/>
  <c r="BL47" i="15"/>
  <c r="BM47" i="15"/>
  <c r="M79" i="15"/>
  <c r="P79" i="15" s="1"/>
  <c r="BP79" i="15"/>
  <c r="BQ79" i="15"/>
  <c r="BR79" i="15"/>
  <c r="BM79" i="15"/>
  <c r="BK79" i="15"/>
  <c r="BN79" i="15"/>
  <c r="BL79" i="15"/>
  <c r="BO79" i="15"/>
  <c r="M111" i="15"/>
  <c r="R111" i="15" s="1"/>
  <c r="BP111" i="15"/>
  <c r="BQ111" i="15"/>
  <c r="BR111" i="15"/>
  <c r="BK111" i="15"/>
  <c r="BL111" i="15"/>
  <c r="BN111" i="15"/>
  <c r="BM111" i="15"/>
  <c r="BO111" i="15"/>
  <c r="M143" i="15"/>
  <c r="R143" i="15" s="1"/>
  <c r="BP143" i="15"/>
  <c r="BQ143" i="15"/>
  <c r="BR143" i="15"/>
  <c r="BM143" i="15"/>
  <c r="BK143" i="15"/>
  <c r="BN143" i="15"/>
  <c r="BL143" i="15"/>
  <c r="BO143" i="15"/>
  <c r="M76" i="15"/>
  <c r="BP76" i="15"/>
  <c r="BQ76" i="15"/>
  <c r="BM76" i="15"/>
  <c r="BN76" i="15"/>
  <c r="BO76" i="15"/>
  <c r="BK76" i="15"/>
  <c r="BL76" i="15"/>
  <c r="BR76" i="15"/>
  <c r="M108" i="15"/>
  <c r="R108" i="15" s="1"/>
  <c r="BP108" i="15"/>
  <c r="BQ108" i="15"/>
  <c r="BM108" i="15"/>
  <c r="BK108" i="15"/>
  <c r="BN108" i="15"/>
  <c r="BL108" i="15"/>
  <c r="BR108" i="15"/>
  <c r="BO108" i="15"/>
  <c r="M140" i="15"/>
  <c r="P140" i="15" s="1"/>
  <c r="BP140" i="15"/>
  <c r="BQ140" i="15"/>
  <c r="BN140" i="15"/>
  <c r="BO140" i="15"/>
  <c r="BK140" i="15"/>
  <c r="BL140" i="15"/>
  <c r="BM140" i="15"/>
  <c r="BR140" i="15"/>
  <c r="E59" i="6"/>
  <c r="U60" i="14"/>
  <c r="EN60" i="14" s="1"/>
  <c r="Y60" i="14"/>
  <c r="E83" i="6"/>
  <c r="E115" i="15"/>
  <c r="O115" i="15" s="1"/>
  <c r="E75" i="14"/>
  <c r="O75" i="14" s="1"/>
  <c r="E91" i="15"/>
  <c r="O91" i="15" s="1"/>
  <c r="E80" i="15"/>
  <c r="O80" i="15" s="1"/>
  <c r="E112" i="15"/>
  <c r="O112" i="15" s="1"/>
  <c r="E76" i="15"/>
  <c r="O76" i="15" s="1"/>
  <c r="E86" i="15"/>
  <c r="O86" i="15" s="1"/>
  <c r="E59" i="15"/>
  <c r="O59" i="15" s="1"/>
  <c r="E52" i="15"/>
  <c r="O52" i="15" s="1"/>
  <c r="E111" i="15"/>
  <c r="O111" i="15" s="1"/>
  <c r="E105" i="15"/>
  <c r="O105" i="15" s="1"/>
  <c r="E99" i="15"/>
  <c r="O99" i="15" s="1"/>
  <c r="E54" i="15"/>
  <c r="O54" i="15" s="1"/>
  <c r="E106" i="15"/>
  <c r="O106" i="15" s="1"/>
  <c r="E57" i="15"/>
  <c r="O57" i="15" s="1"/>
  <c r="E102" i="15"/>
  <c r="O102" i="15" s="1"/>
  <c r="E139" i="15"/>
  <c r="O139" i="15" s="1"/>
  <c r="E73" i="15"/>
  <c r="O73" i="15" s="1"/>
  <c r="E60" i="15"/>
  <c r="O60" i="15" s="1"/>
  <c r="E134" i="15"/>
  <c r="O134" i="15" s="1"/>
  <c r="E75" i="15"/>
  <c r="O75" i="15" s="1"/>
  <c r="E77" i="15"/>
  <c r="O77" i="15" s="1"/>
  <c r="E61" i="15"/>
  <c r="O61" i="15" s="1"/>
  <c r="E128" i="15"/>
  <c r="O128" i="15" s="1"/>
  <c r="E131" i="15"/>
  <c r="O131" i="15" s="1"/>
  <c r="E92" i="15"/>
  <c r="O92" i="15" s="1"/>
  <c r="E94" i="15"/>
  <c r="O94" i="15" s="1"/>
  <c r="E116" i="15"/>
  <c r="O116" i="15" s="1"/>
  <c r="E97" i="15"/>
  <c r="O97" i="15" s="1"/>
  <c r="E117" i="15"/>
  <c r="O117" i="15" s="1"/>
  <c r="E98" i="15"/>
  <c r="O98" i="15" s="1"/>
  <c r="E130" i="15"/>
  <c r="O130" i="15" s="1"/>
  <c r="E70" i="15"/>
  <c r="O70" i="15" s="1"/>
  <c r="E88" i="15"/>
  <c r="O88" i="15" s="1"/>
  <c r="E138" i="15"/>
  <c r="O138" i="15" s="1"/>
  <c r="E129" i="15"/>
  <c r="O129" i="15" s="1"/>
  <c r="E127" i="15"/>
  <c r="O127" i="15" s="1"/>
  <c r="E141" i="15"/>
  <c r="O141" i="15" s="1"/>
  <c r="E85" i="15"/>
  <c r="O85" i="15" s="1"/>
  <c r="E69" i="15"/>
  <c r="O69" i="15" s="1"/>
  <c r="E142" i="15"/>
  <c r="O142" i="15" s="1"/>
  <c r="P117" i="15"/>
  <c r="R117" i="15"/>
  <c r="R72" i="15"/>
  <c r="P72" i="15"/>
  <c r="E84" i="15"/>
  <c r="O84" i="15" s="1"/>
  <c r="E66" i="15"/>
  <c r="O66" i="15" s="1"/>
  <c r="E48" i="15"/>
  <c r="O48" i="15" s="1"/>
  <c r="E136" i="15"/>
  <c r="O136" i="15" s="1"/>
  <c r="E140" i="15"/>
  <c r="O140" i="15" s="1"/>
  <c r="E82" i="15"/>
  <c r="O82" i="15" s="1"/>
  <c r="R89" i="15"/>
  <c r="P121" i="15"/>
  <c r="R121" i="15"/>
  <c r="P143" i="15"/>
  <c r="R76" i="15"/>
  <c r="P76" i="15"/>
  <c r="E146" i="15"/>
  <c r="O146" i="15" s="1"/>
  <c r="E144" i="15"/>
  <c r="O144" i="15" s="1"/>
  <c r="E123" i="15"/>
  <c r="O123" i="15" s="1"/>
  <c r="E63" i="15"/>
  <c r="O63" i="15" s="1"/>
  <c r="E122" i="15"/>
  <c r="O122" i="15" s="1"/>
  <c r="E89" i="15"/>
  <c r="O89" i="15" s="1"/>
  <c r="E64" i="15"/>
  <c r="O64" i="15" s="1"/>
  <c r="E83" i="15"/>
  <c r="O83" i="15" s="1"/>
  <c r="E96" i="15"/>
  <c r="O96" i="15" s="1"/>
  <c r="E58" i="15"/>
  <c r="O58" i="15" s="1"/>
  <c r="E132" i="15"/>
  <c r="O132" i="15" s="1"/>
  <c r="P61" i="15"/>
  <c r="R115" i="15"/>
  <c r="P115" i="15"/>
  <c r="R48" i="15"/>
  <c r="R80" i="15"/>
  <c r="E67" i="15"/>
  <c r="O67" i="15" s="1"/>
  <c r="E51" i="15"/>
  <c r="O51" i="15" s="1"/>
  <c r="E72" i="15"/>
  <c r="O72" i="15" s="1"/>
  <c r="R97" i="15"/>
  <c r="P97" i="15"/>
  <c r="R84" i="15"/>
  <c r="P84" i="15"/>
  <c r="P116" i="15"/>
  <c r="E119" i="15"/>
  <c r="O119" i="15" s="1"/>
  <c r="E121" i="15"/>
  <c r="O121" i="15" s="1"/>
  <c r="E90" i="15"/>
  <c r="O90" i="15" s="1"/>
  <c r="E78" i="15"/>
  <c r="O78" i="15" s="1"/>
  <c r="E108" i="15"/>
  <c r="O108" i="15" s="1"/>
  <c r="E79" i="15"/>
  <c r="O79" i="15" s="1"/>
  <c r="E62" i="15"/>
  <c r="O62" i="15" s="1"/>
  <c r="E74" i="15"/>
  <c r="O74" i="15" s="1"/>
  <c r="R71" i="15"/>
  <c r="P71" i="15"/>
  <c r="E68" i="15"/>
  <c r="O68" i="15" s="1"/>
  <c r="E104" i="15"/>
  <c r="O104" i="15" s="1"/>
  <c r="E81" i="15"/>
  <c r="O81" i="15" s="1"/>
  <c r="E55" i="15"/>
  <c r="O55" i="15" s="1"/>
  <c r="P69" i="15"/>
  <c r="R69" i="15"/>
  <c r="P101" i="15"/>
  <c r="R101" i="15"/>
  <c r="P133" i="15"/>
  <c r="R133" i="15"/>
  <c r="R123" i="15"/>
  <c r="P123" i="15"/>
  <c r="P56" i="15"/>
  <c r="R56" i="15"/>
  <c r="R88" i="15"/>
  <c r="P88" i="15"/>
  <c r="E120" i="15"/>
  <c r="O120" i="15" s="1"/>
  <c r="E53" i="15"/>
  <c r="O53" i="15" s="1"/>
  <c r="E137" i="15"/>
  <c r="O137" i="15" s="1"/>
  <c r="E109" i="15"/>
  <c r="O109" i="15" s="1"/>
  <c r="E103" i="15"/>
  <c r="O103" i="15" s="1"/>
  <c r="E118" i="15"/>
  <c r="O118" i="15" s="1"/>
  <c r="E114" i="15"/>
  <c r="O114" i="15" s="1"/>
  <c r="P137" i="15"/>
  <c r="R137" i="15"/>
  <c r="P102" i="15"/>
  <c r="R102" i="15"/>
  <c r="P134" i="15"/>
  <c r="R134" i="15"/>
  <c r="P63" i="15"/>
  <c r="R63" i="15"/>
  <c r="E49" i="15"/>
  <c r="O49" i="15" s="1"/>
  <c r="E87" i="15"/>
  <c r="O87" i="15" s="1"/>
  <c r="E65" i="15"/>
  <c r="O65" i="15" s="1"/>
  <c r="E107" i="15"/>
  <c r="O107" i="15" s="1"/>
  <c r="E95" i="15"/>
  <c r="O95" i="15" s="1"/>
  <c r="E93" i="15"/>
  <c r="O93" i="15" s="1"/>
  <c r="E110" i="15"/>
  <c r="O110" i="15" s="1"/>
  <c r="E71" i="15"/>
  <c r="O71" i="15" s="1"/>
  <c r="E143" i="15"/>
  <c r="O143" i="15" s="1"/>
  <c r="E113" i="15"/>
  <c r="O113" i="15" s="1"/>
  <c r="E133" i="15"/>
  <c r="O133" i="15" s="1"/>
  <c r="E50" i="15"/>
  <c r="O50" i="15" s="1"/>
  <c r="E101" i="15"/>
  <c r="O101" i="15" s="1"/>
  <c r="E145" i="15"/>
  <c r="O145" i="15" s="1"/>
  <c r="E100" i="15"/>
  <c r="O100" i="15" s="1"/>
  <c r="E135" i="15"/>
  <c r="O135" i="15" s="1"/>
  <c r="E126" i="15"/>
  <c r="O126" i="15" s="1"/>
  <c r="R46" i="15"/>
  <c r="P106" i="15"/>
  <c r="R106" i="15"/>
  <c r="P67" i="15"/>
  <c r="R67" i="15"/>
  <c r="R99" i="15"/>
  <c r="P131" i="15"/>
  <c r="E124" i="15"/>
  <c r="O124" i="15" s="1"/>
  <c r="E47" i="15"/>
  <c r="O47" i="15" s="1"/>
  <c r="E125" i="15"/>
  <c r="O125" i="15" s="1"/>
  <c r="E56" i="15"/>
  <c r="O56" i="15" s="1"/>
  <c r="E110" i="6"/>
  <c r="E46" i="6"/>
  <c r="C45" i="16"/>
  <c r="C42" i="16"/>
  <c r="C43" i="16"/>
  <c r="C44" i="16"/>
  <c r="C46" i="16"/>
  <c r="C48" i="16"/>
  <c r="C47" i="16"/>
  <c r="C49" i="16"/>
  <c r="E32" i="16"/>
  <c r="C50" i="16"/>
  <c r="E41" i="16"/>
  <c r="IJ155" i="14"/>
  <c r="FZ155" i="14"/>
  <c r="IR155" i="14"/>
  <c r="CD155" i="14"/>
  <c r="IB155" i="14"/>
  <c r="FR155" i="14"/>
  <c r="CL155" i="14"/>
  <c r="GH155" i="14"/>
  <c r="BV155" i="14"/>
  <c r="IB152" i="14"/>
  <c r="IJ67" i="14"/>
  <c r="IB156" i="14"/>
  <c r="IJ78" i="14"/>
  <c r="IR158" i="14"/>
  <c r="IJ73" i="14"/>
  <c r="IJ66" i="14"/>
  <c r="IJ63" i="14"/>
  <c r="IR76" i="14"/>
  <c r="IJ77" i="14"/>
  <c r="IJ61" i="14"/>
  <c r="IR65" i="14"/>
  <c r="IJ60" i="14"/>
  <c r="IJ68" i="14"/>
  <c r="IR79" i="14"/>
  <c r="IB77" i="14"/>
  <c r="IJ153" i="14"/>
  <c r="IB74" i="14"/>
  <c r="IR75" i="14"/>
  <c r="IB61" i="14"/>
  <c r="IR157" i="14"/>
  <c r="IB159" i="14"/>
  <c r="IB78" i="14"/>
  <c r="IJ64" i="14"/>
  <c r="IR154" i="14"/>
  <c r="IJ158" i="14"/>
  <c r="IJ72" i="14"/>
  <c r="IJ157" i="14"/>
  <c r="IR150" i="14"/>
  <c r="IR160" i="14"/>
  <c r="IB60" i="14"/>
  <c r="IR69" i="14"/>
  <c r="IB62" i="14"/>
  <c r="IR63" i="14"/>
  <c r="IB79" i="14"/>
  <c r="IJ76" i="14"/>
  <c r="IR152" i="14"/>
  <c r="IR67" i="14"/>
  <c r="IR74" i="14"/>
  <c r="IB75" i="14"/>
  <c r="IR156" i="14"/>
  <c r="IR159" i="14"/>
  <c r="IJ65" i="14"/>
  <c r="IJ154" i="14"/>
  <c r="IR62" i="14"/>
  <c r="IR73" i="14"/>
  <c r="IB66" i="14"/>
  <c r="IB67" i="14"/>
  <c r="IJ74" i="14"/>
  <c r="IB150" i="14"/>
  <c r="IJ159" i="14"/>
  <c r="IR64" i="14"/>
  <c r="IB160" i="14"/>
  <c r="IJ69" i="14"/>
  <c r="IJ62" i="14"/>
  <c r="IR72" i="14"/>
  <c r="IR61" i="14"/>
  <c r="IB76" i="14"/>
  <c r="IJ150" i="14"/>
  <c r="IB64" i="14"/>
  <c r="IR71" i="14"/>
  <c r="IR151" i="14"/>
  <c r="IJ152" i="14"/>
  <c r="IB153" i="14"/>
  <c r="IR68" i="14"/>
  <c r="IB70" i="14"/>
  <c r="IR78" i="14"/>
  <c r="IB65" i="14"/>
  <c r="IB68" i="14"/>
  <c r="IB73" i="14"/>
  <c r="IR77" i="14"/>
  <c r="IJ71" i="14"/>
  <c r="IJ156" i="14"/>
  <c r="IB154" i="14"/>
  <c r="IB158" i="14"/>
  <c r="IB63" i="14"/>
  <c r="IR70" i="14"/>
  <c r="IJ151" i="14"/>
  <c r="IB69" i="14"/>
  <c r="IR66" i="14"/>
  <c r="IB71" i="14"/>
  <c r="FZ158" i="14"/>
  <c r="FR157" i="14"/>
  <c r="FZ69" i="14"/>
  <c r="FZ66" i="14"/>
  <c r="IR153" i="14"/>
  <c r="IB157" i="14"/>
  <c r="FR62" i="14"/>
  <c r="GH75" i="14"/>
  <c r="FR159" i="14"/>
  <c r="FR64" i="14"/>
  <c r="IJ160" i="14"/>
  <c r="IJ79" i="14"/>
  <c r="GH65" i="14"/>
  <c r="FR68" i="14"/>
  <c r="GH62" i="14"/>
  <c r="FR158" i="14"/>
  <c r="FZ75" i="14"/>
  <c r="GH157" i="14"/>
  <c r="GH73" i="14"/>
  <c r="IJ75" i="14"/>
  <c r="FZ68" i="14"/>
  <c r="GH69" i="14"/>
  <c r="GH64" i="14"/>
  <c r="FR66" i="14"/>
  <c r="IR60" i="14"/>
  <c r="FR65" i="14"/>
  <c r="FZ62" i="14"/>
  <c r="GH158" i="14"/>
  <c r="FZ64" i="14"/>
  <c r="GH72" i="14"/>
  <c r="FR73" i="14"/>
  <c r="IB151" i="14"/>
  <c r="FZ159" i="14"/>
  <c r="GH63" i="14"/>
  <c r="GH78" i="14"/>
  <c r="GH152" i="14"/>
  <c r="FR153" i="14"/>
  <c r="GH67" i="14"/>
  <c r="CL61" i="14"/>
  <c r="CL157" i="14"/>
  <c r="CL65" i="14"/>
  <c r="FR69" i="14"/>
  <c r="GH159" i="14"/>
  <c r="FZ73" i="14"/>
  <c r="FZ76" i="14"/>
  <c r="FZ77" i="14"/>
  <c r="GH156" i="14"/>
  <c r="GH150" i="14"/>
  <c r="FR160" i="14"/>
  <c r="GH153" i="14"/>
  <c r="FZ67" i="14"/>
  <c r="FZ63" i="14"/>
  <c r="FR60" i="14"/>
  <c r="GH79" i="14"/>
  <c r="FR70" i="14"/>
  <c r="FR71" i="14"/>
  <c r="GH151" i="14"/>
  <c r="FZ160" i="14"/>
  <c r="FR74" i="14"/>
  <c r="CL64" i="14"/>
  <c r="FR75" i="14"/>
  <c r="GH66" i="14"/>
  <c r="FZ61" i="14"/>
  <c r="GH70" i="14"/>
  <c r="GH71" i="14"/>
  <c r="FZ151" i="14"/>
  <c r="FZ74" i="14"/>
  <c r="GH154" i="14"/>
  <c r="FR67" i="14"/>
  <c r="CL69" i="14"/>
  <c r="CL150" i="14"/>
  <c r="FR63" i="14"/>
  <c r="FZ60" i="14"/>
  <c r="FR76" i="14"/>
  <c r="GH77" i="14"/>
  <c r="FZ150" i="14"/>
  <c r="GH160" i="14"/>
  <c r="GH74" i="14"/>
  <c r="FZ78" i="14"/>
  <c r="FZ154" i="14"/>
  <c r="CL75" i="14"/>
  <c r="CL159" i="14"/>
  <c r="FZ65" i="14"/>
  <c r="GH60" i="14"/>
  <c r="FZ79" i="14"/>
  <c r="GH76" i="14"/>
  <c r="FR77" i="14"/>
  <c r="FZ152" i="14"/>
  <c r="CL60" i="14"/>
  <c r="CL158" i="14"/>
  <c r="IB72" i="14"/>
  <c r="FZ72" i="14"/>
  <c r="FR78" i="14"/>
  <c r="FZ153" i="14"/>
  <c r="CL70" i="14"/>
  <c r="CL71" i="14"/>
  <c r="CL74" i="14"/>
  <c r="CL160" i="14"/>
  <c r="CL78" i="14"/>
  <c r="CL67" i="14"/>
  <c r="CD156" i="14"/>
  <c r="CD72" i="14"/>
  <c r="CD73" i="14"/>
  <c r="CD70" i="14"/>
  <c r="CD71" i="14"/>
  <c r="CD153" i="14"/>
  <c r="BV71" i="14"/>
  <c r="FR72" i="14"/>
  <c r="FZ71" i="14"/>
  <c r="FZ156" i="14"/>
  <c r="CL68" i="14"/>
  <c r="CD61" i="14"/>
  <c r="CD66" i="14"/>
  <c r="CD154" i="14"/>
  <c r="CD69" i="14"/>
  <c r="BV78" i="14"/>
  <c r="BV152" i="14"/>
  <c r="BV67" i="14"/>
  <c r="GH68" i="14"/>
  <c r="FZ157" i="14"/>
  <c r="FR79" i="14"/>
  <c r="FR156" i="14"/>
  <c r="FR150" i="14"/>
  <c r="FR154" i="14"/>
  <c r="CL156" i="14"/>
  <c r="CL72" i="14"/>
  <c r="CL79" i="14"/>
  <c r="CL151" i="14"/>
  <c r="CD157" i="14"/>
  <c r="CD74" i="14"/>
  <c r="CD158" i="14"/>
  <c r="CD78" i="14"/>
  <c r="FR152" i="14"/>
  <c r="CL66" i="14"/>
  <c r="CL154" i="14"/>
  <c r="CL62" i="14"/>
  <c r="CL153" i="14"/>
  <c r="CD150" i="14"/>
  <c r="CD68" i="14"/>
  <c r="CD79" i="14"/>
  <c r="CD60" i="14"/>
  <c r="CD67" i="14"/>
  <c r="BV74" i="14"/>
  <c r="BV75" i="14"/>
  <c r="IJ70" i="14"/>
  <c r="CL152" i="14"/>
  <c r="CD160" i="14"/>
  <c r="CD151" i="14"/>
  <c r="BV153" i="14"/>
  <c r="GH61" i="14"/>
  <c r="CL73" i="14"/>
  <c r="CL76" i="14"/>
  <c r="CD62" i="14"/>
  <c r="CD76" i="14"/>
  <c r="CD152" i="14"/>
  <c r="BV61" i="14"/>
  <c r="BV68" i="14"/>
  <c r="BV63" i="14"/>
  <c r="FR61" i="14"/>
  <c r="FZ70" i="14"/>
  <c r="CD159" i="14"/>
  <c r="CD75" i="14"/>
  <c r="BV159" i="14"/>
  <c r="BV151" i="14"/>
  <c r="BV158" i="14"/>
  <c r="BV79" i="14"/>
  <c r="BV72" i="14"/>
  <c r="BV66" i="14"/>
  <c r="BV69" i="14"/>
  <c r="FR151" i="14"/>
  <c r="CD65" i="14"/>
  <c r="CD77" i="14"/>
  <c r="BV64" i="14"/>
  <c r="BV65" i="14"/>
  <c r="BV154" i="14"/>
  <c r="BV76" i="14"/>
  <c r="CL77" i="14"/>
  <c r="BV157" i="14"/>
  <c r="BV160" i="14"/>
  <c r="BV62" i="14"/>
  <c r="BV70" i="14"/>
  <c r="BV77" i="14"/>
  <c r="BV156" i="14"/>
  <c r="BV150" i="14"/>
  <c r="BV60" i="14"/>
  <c r="CD64" i="14"/>
  <c r="BV73" i="14"/>
  <c r="CL63" i="14"/>
  <c r="CD63" i="14"/>
  <c r="C56" i="16"/>
  <c r="E56" i="16" s="1"/>
  <c r="E55" i="16"/>
  <c r="C23" i="16"/>
  <c r="E23" i="16" s="1"/>
  <c r="E22" i="16"/>
  <c r="C9" i="16"/>
  <c r="C16" i="16" s="1"/>
  <c r="D15" i="16"/>
  <c r="E8" i="16"/>
  <c r="E15" i="16" s="1"/>
  <c r="C24" i="16"/>
  <c r="E24" i="16" s="1"/>
  <c r="C10" i="16"/>
  <c r="D16" i="16"/>
  <c r="C57" i="16"/>
  <c r="E57" i="16" s="1"/>
  <c r="E29" i="16"/>
  <c r="CC123" i="14"/>
  <c r="FY123" i="14"/>
  <c r="CK135" i="14"/>
  <c r="BU155" i="14"/>
  <c r="IA155" i="14"/>
  <c r="GG135" i="14"/>
  <c r="CC135" i="14"/>
  <c r="BU123" i="14"/>
  <c r="BU135" i="14"/>
  <c r="GG155" i="14"/>
  <c r="IA123" i="14"/>
  <c r="FQ123" i="14"/>
  <c r="FQ155" i="14"/>
  <c r="IQ135" i="14"/>
  <c r="FY135" i="14"/>
  <c r="GG123" i="14"/>
  <c r="CK123" i="14"/>
  <c r="CC155" i="14"/>
  <c r="II135" i="14"/>
  <c r="IQ123" i="14"/>
  <c r="IQ155" i="14"/>
  <c r="FY155" i="14"/>
  <c r="IA135" i="14"/>
  <c r="II123" i="14"/>
  <c r="II155" i="14"/>
  <c r="FQ135" i="14"/>
  <c r="CK155" i="14"/>
  <c r="IA139" i="14"/>
  <c r="II153" i="14"/>
  <c r="IA61" i="14"/>
  <c r="IQ125" i="14"/>
  <c r="IA159" i="14"/>
  <c r="II129" i="14"/>
  <c r="IQ122" i="14"/>
  <c r="IQ132" i="14"/>
  <c r="IA145" i="14"/>
  <c r="II137" i="14"/>
  <c r="II148" i="14"/>
  <c r="IQ153" i="14"/>
  <c r="IQ146" i="14"/>
  <c r="II149" i="14"/>
  <c r="II157" i="14"/>
  <c r="II64" i="14"/>
  <c r="IQ128" i="14"/>
  <c r="IQ154" i="14"/>
  <c r="IA127" i="14"/>
  <c r="IA131" i="14"/>
  <c r="II143" i="14"/>
  <c r="II126" i="14"/>
  <c r="II158" i="14"/>
  <c r="IQ144" i="14"/>
  <c r="II145" i="14"/>
  <c r="IQ136" i="14"/>
  <c r="IA138" i="14"/>
  <c r="IA142" i="14"/>
  <c r="II147" i="14"/>
  <c r="IQ120" i="14"/>
  <c r="IA121" i="14"/>
  <c r="IQ124" i="14"/>
  <c r="II125" i="14"/>
  <c r="IQ150" i="14"/>
  <c r="IQ160" i="14"/>
  <c r="IQ129" i="14"/>
  <c r="IA133" i="14"/>
  <c r="IA62" i="14"/>
  <c r="II130" i="14"/>
  <c r="IQ63" i="14"/>
  <c r="IA148" i="14"/>
  <c r="IQ140" i="14"/>
  <c r="IQ139" i="14"/>
  <c r="IQ152" i="14"/>
  <c r="II121" i="14"/>
  <c r="II146" i="14"/>
  <c r="IQ156" i="14"/>
  <c r="IQ159" i="14"/>
  <c r="II122" i="14"/>
  <c r="II154" i="14"/>
  <c r="II132" i="14"/>
  <c r="IQ62" i="14"/>
  <c r="IA126" i="14"/>
  <c r="IA137" i="14"/>
  <c r="IA153" i="14"/>
  <c r="IA149" i="14"/>
  <c r="IA125" i="14"/>
  <c r="II150" i="14"/>
  <c r="IA64" i="14"/>
  <c r="II128" i="14"/>
  <c r="II160" i="14"/>
  <c r="IA129" i="14"/>
  <c r="IA60" i="14"/>
  <c r="IQ127" i="14"/>
  <c r="IQ131" i="14"/>
  <c r="IA143" i="14"/>
  <c r="IA158" i="14"/>
  <c r="II144" i="14"/>
  <c r="IQ145" i="14"/>
  <c r="II136" i="14"/>
  <c r="IA130" i="14"/>
  <c r="IA63" i="14"/>
  <c r="IQ138" i="14"/>
  <c r="II140" i="14"/>
  <c r="II142" i="14"/>
  <c r="IQ147" i="14"/>
  <c r="IA120" i="14"/>
  <c r="IA152" i="14"/>
  <c r="IQ121" i="14"/>
  <c r="IA156" i="14"/>
  <c r="II61" i="14"/>
  <c r="IQ157" i="14"/>
  <c r="IQ60" i="14"/>
  <c r="II131" i="14"/>
  <c r="IQ143" i="14"/>
  <c r="II133" i="14"/>
  <c r="IQ158" i="14"/>
  <c r="IQ130" i="14"/>
  <c r="II63" i="14"/>
  <c r="II138" i="14"/>
  <c r="IQ141" i="14"/>
  <c r="IA124" i="14"/>
  <c r="IQ64" i="14"/>
  <c r="II60" i="14"/>
  <c r="II62" i="14"/>
  <c r="IA136" i="14"/>
  <c r="IQ151" i="14"/>
  <c r="IA147" i="14"/>
  <c r="II152" i="14"/>
  <c r="II127" i="14"/>
  <c r="IA140" i="14"/>
  <c r="II134" i="14"/>
  <c r="IA150" i="14"/>
  <c r="IA128" i="14"/>
  <c r="IA132" i="14"/>
  <c r="IQ137" i="14"/>
  <c r="IQ148" i="14"/>
  <c r="IA141" i="14"/>
  <c r="IA134" i="14"/>
  <c r="II156" i="14"/>
  <c r="IA154" i="14"/>
  <c r="II151" i="14"/>
  <c r="IQ142" i="14"/>
  <c r="IA146" i="14"/>
  <c r="IQ133" i="14"/>
  <c r="II139" i="14"/>
  <c r="II120" i="14"/>
  <c r="IA157" i="14"/>
  <c r="IA144" i="14"/>
  <c r="FQ64" i="14"/>
  <c r="II141" i="14"/>
  <c r="FQ133" i="14"/>
  <c r="FY62" i="14"/>
  <c r="GG157" i="14"/>
  <c r="FQ159" i="14"/>
  <c r="GG136" i="14"/>
  <c r="II124" i="14"/>
  <c r="IQ126" i="14"/>
  <c r="FY122" i="14"/>
  <c r="GG62" i="14"/>
  <c r="FQ126" i="14"/>
  <c r="FQ158" i="14"/>
  <c r="FQ137" i="14"/>
  <c r="IQ134" i="14"/>
  <c r="FY124" i="14"/>
  <c r="GG122" i="14"/>
  <c r="FQ143" i="14"/>
  <c r="FQ132" i="14"/>
  <c r="FY133" i="14"/>
  <c r="FY159" i="14"/>
  <c r="GG64" i="14"/>
  <c r="FY64" i="14"/>
  <c r="IA160" i="14"/>
  <c r="GG143" i="14"/>
  <c r="FY132" i="14"/>
  <c r="FY126" i="14"/>
  <c r="FY157" i="14"/>
  <c r="FQ127" i="14"/>
  <c r="IQ61" i="14"/>
  <c r="II159" i="14"/>
  <c r="GG124" i="14"/>
  <c r="FQ122" i="14"/>
  <c r="GG132" i="14"/>
  <c r="GG159" i="14"/>
  <c r="FY127" i="14"/>
  <c r="FQ136" i="14"/>
  <c r="GG137" i="14"/>
  <c r="GG130" i="14"/>
  <c r="IQ149" i="14"/>
  <c r="FQ157" i="14"/>
  <c r="FY136" i="14"/>
  <c r="FY137" i="14"/>
  <c r="FQ60" i="14"/>
  <c r="FY134" i="14"/>
  <c r="GG151" i="14"/>
  <c r="GG156" i="14"/>
  <c r="FQ125" i="14"/>
  <c r="FQ160" i="14"/>
  <c r="GG144" i="14"/>
  <c r="FQ139" i="14"/>
  <c r="FY148" i="14"/>
  <c r="GG128" i="14"/>
  <c r="FQ129" i="14"/>
  <c r="IA151" i="14"/>
  <c r="FY63" i="14"/>
  <c r="FQ61" i="14"/>
  <c r="FQ141" i="14"/>
  <c r="FY151" i="14"/>
  <c r="FY131" i="14"/>
  <c r="GG139" i="14"/>
  <c r="FY142" i="14"/>
  <c r="FY154" i="14"/>
  <c r="FQ147" i="14"/>
  <c r="FQ153" i="14"/>
  <c r="FY146" i="14"/>
  <c r="CK64" i="14"/>
  <c r="IA122" i="14"/>
  <c r="GG133" i="14"/>
  <c r="GG158" i="14"/>
  <c r="FY61" i="14"/>
  <c r="FQ134" i="14"/>
  <c r="FY125" i="14"/>
  <c r="GG150" i="14"/>
  <c r="FQ145" i="14"/>
  <c r="FQ138" i="14"/>
  <c r="GG149" i="14"/>
  <c r="GG142" i="14"/>
  <c r="FY129" i="14"/>
  <c r="GG154" i="14"/>
  <c r="GG147" i="14"/>
  <c r="FY121" i="14"/>
  <c r="CK157" i="14"/>
  <c r="CK150" i="14"/>
  <c r="FQ124" i="14"/>
  <c r="FY140" i="14"/>
  <c r="FY141" i="14"/>
  <c r="FY150" i="14"/>
  <c r="GG160" i="14"/>
  <c r="FY139" i="14"/>
  <c r="FY120" i="14"/>
  <c r="FY152" i="14"/>
  <c r="FY153" i="14"/>
  <c r="FQ146" i="14"/>
  <c r="CK124" i="14"/>
  <c r="FY143" i="14"/>
  <c r="FY130" i="14"/>
  <c r="GG61" i="14"/>
  <c r="FY156" i="14"/>
  <c r="GG125" i="14"/>
  <c r="FQ144" i="14"/>
  <c r="FY145" i="14"/>
  <c r="GG148" i="14"/>
  <c r="FQ149" i="14"/>
  <c r="FQ128" i="14"/>
  <c r="GG129" i="14"/>
  <c r="FQ120" i="14"/>
  <c r="FQ152" i="14"/>
  <c r="GG121" i="14"/>
  <c r="CK60" i="14"/>
  <c r="GG126" i="14"/>
  <c r="FY158" i="14"/>
  <c r="GG127" i="14"/>
  <c r="FQ140" i="14"/>
  <c r="GG141" i="14"/>
  <c r="GG134" i="14"/>
  <c r="FQ151" i="14"/>
  <c r="FQ156" i="14"/>
  <c r="FY138" i="14"/>
  <c r="FY147" i="14"/>
  <c r="GG153" i="14"/>
  <c r="GG146" i="14"/>
  <c r="CK156" i="14"/>
  <c r="CK136" i="14"/>
  <c r="CK137" i="14"/>
  <c r="GG60" i="14"/>
  <c r="FY160" i="14"/>
  <c r="CK130" i="14"/>
  <c r="CK160" i="14"/>
  <c r="CK147" i="14"/>
  <c r="CC156" i="14"/>
  <c r="CC125" i="14"/>
  <c r="CC62" i="14"/>
  <c r="CC130" i="14"/>
  <c r="CC64" i="14"/>
  <c r="CC145" i="14"/>
  <c r="CC142" i="14"/>
  <c r="CC152" i="14"/>
  <c r="CC153" i="14"/>
  <c r="BU61" i="14"/>
  <c r="FY60" i="14"/>
  <c r="GG138" i="14"/>
  <c r="GG152" i="14"/>
  <c r="CK126" i="14"/>
  <c r="CK132" i="14"/>
  <c r="CK142" i="14"/>
  <c r="CK128" i="14"/>
  <c r="CC159" i="14"/>
  <c r="CC122" i="14"/>
  <c r="CC154" i="14"/>
  <c r="CC138" i="14"/>
  <c r="CC128" i="14"/>
  <c r="CC126" i="14"/>
  <c r="CC146" i="14"/>
  <c r="BU152" i="14"/>
  <c r="BU121" i="14"/>
  <c r="FQ62" i="14"/>
  <c r="FQ150" i="14"/>
  <c r="FQ131" i="14"/>
  <c r="FQ142" i="14"/>
  <c r="FY128" i="14"/>
  <c r="FQ154" i="14"/>
  <c r="CK131" i="14"/>
  <c r="CK120" i="14"/>
  <c r="CK121" i="14"/>
  <c r="CC129" i="14"/>
  <c r="CC158" i="14"/>
  <c r="CC143" i="14"/>
  <c r="BU138" i="14"/>
  <c r="BU148" i="14"/>
  <c r="BU147" i="14"/>
  <c r="CK154" i="14"/>
  <c r="CC147" i="14"/>
  <c r="BU142" i="14"/>
  <c r="GG63" i="14"/>
  <c r="GG140" i="14"/>
  <c r="FY144" i="14"/>
  <c r="FQ148" i="14"/>
  <c r="FY149" i="14"/>
  <c r="GG120" i="14"/>
  <c r="CK61" i="14"/>
  <c r="CK133" i="14"/>
  <c r="CK129" i="14"/>
  <c r="CK152" i="14"/>
  <c r="CC61" i="14"/>
  <c r="CC160" i="14"/>
  <c r="CC140" i="14"/>
  <c r="CC141" i="14"/>
  <c r="CC151" i="14"/>
  <c r="CC131" i="14"/>
  <c r="CC120" i="14"/>
  <c r="BU144" i="14"/>
  <c r="BU153" i="14"/>
  <c r="FQ63" i="14"/>
  <c r="FQ121" i="14"/>
  <c r="CK63" i="14"/>
  <c r="CK140" i="14"/>
  <c r="CK141" i="14"/>
  <c r="CK151" i="14"/>
  <c r="CK144" i="14"/>
  <c r="CK139" i="14"/>
  <c r="CK153" i="14"/>
  <c r="CC124" i="14"/>
  <c r="CC157" i="14"/>
  <c r="CC134" i="14"/>
  <c r="CC139" i="14"/>
  <c r="CC60" i="14"/>
  <c r="CC133" i="14"/>
  <c r="CC121" i="14"/>
  <c r="BU131" i="14"/>
  <c r="CC150" i="14"/>
  <c r="CC144" i="14"/>
  <c r="CC148" i="14"/>
  <c r="BU157" i="14"/>
  <c r="BU150" i="14"/>
  <c r="BU60" i="14"/>
  <c r="BU127" i="14"/>
  <c r="BU132" i="14"/>
  <c r="BU62" i="14"/>
  <c r="BU126" i="14"/>
  <c r="BU136" i="14"/>
  <c r="BU130" i="14"/>
  <c r="BU63" i="14"/>
  <c r="CK143" i="14"/>
  <c r="CK149" i="14"/>
  <c r="CC137" i="14"/>
  <c r="BU149" i="14"/>
  <c r="BU120" i="14"/>
  <c r="BU154" i="14"/>
  <c r="FQ130" i="14"/>
  <c r="CK159" i="14"/>
  <c r="CK138" i="14"/>
  <c r="CC149" i="14"/>
  <c r="BU139" i="14"/>
  <c r="BU124" i="14"/>
  <c r="BU151" i="14"/>
  <c r="BU64" i="14"/>
  <c r="BU128" i="14"/>
  <c r="BU129" i="14"/>
  <c r="BU143" i="14"/>
  <c r="BU134" i="14"/>
  <c r="CK127" i="14"/>
  <c r="CK134" i="14"/>
  <c r="BU159" i="14"/>
  <c r="BU133" i="14"/>
  <c r="BU158" i="14"/>
  <c r="CK125" i="14"/>
  <c r="CK122" i="14"/>
  <c r="CC127" i="14"/>
  <c r="BU141" i="14"/>
  <c r="BU156" i="14"/>
  <c r="BU125" i="14"/>
  <c r="BU137" i="14"/>
  <c r="BU145" i="14"/>
  <c r="BU122" i="14"/>
  <c r="GG145" i="14"/>
  <c r="BU146" i="14"/>
  <c r="CC63" i="14"/>
  <c r="CK145" i="14"/>
  <c r="CK146" i="14"/>
  <c r="CK148" i="14"/>
  <c r="CK158" i="14"/>
  <c r="CC132" i="14"/>
  <c r="BU140" i="14"/>
  <c r="GG131" i="14"/>
  <c r="CK62" i="14"/>
  <c r="CC136" i="14"/>
  <c r="BU160" i="14"/>
  <c r="E34" i="16"/>
  <c r="E33" i="16"/>
  <c r="E36" i="16"/>
  <c r="E31" i="16"/>
  <c r="E37" i="16"/>
  <c r="E35" i="16"/>
  <c r="E30" i="16"/>
  <c r="E70" i="6"/>
  <c r="V60" i="14"/>
  <c r="V124" i="14"/>
  <c r="V160" i="14"/>
  <c r="V74" i="14"/>
  <c r="V93" i="14"/>
  <c r="V86" i="14"/>
  <c r="V118" i="14"/>
  <c r="U93" i="14"/>
  <c r="W93" i="14"/>
  <c r="Y93" i="14"/>
  <c r="X93" i="14"/>
  <c r="R77" i="38" s="1"/>
  <c r="E36" i="6"/>
  <c r="M79" i="14"/>
  <c r="E80" i="14"/>
  <c r="O80" i="14" s="1"/>
  <c r="M111" i="14"/>
  <c r="E112" i="14"/>
  <c r="O112" i="14" s="1"/>
  <c r="M143" i="14"/>
  <c r="E144" i="14"/>
  <c r="O144" i="14" s="1"/>
  <c r="M68" i="14"/>
  <c r="E69" i="14"/>
  <c r="O69" i="14" s="1"/>
  <c r="M100" i="14"/>
  <c r="E101" i="14"/>
  <c r="O101" i="14" s="1"/>
  <c r="M132" i="14"/>
  <c r="E133" i="14"/>
  <c r="O133" i="14" s="1"/>
  <c r="M89" i="14"/>
  <c r="E90" i="14"/>
  <c r="O90" i="14" s="1"/>
  <c r="M121" i="14"/>
  <c r="E122" i="14"/>
  <c r="O122" i="14" s="1"/>
  <c r="M153" i="14"/>
  <c r="E154" i="14"/>
  <c r="O154" i="14" s="1"/>
  <c r="M78" i="14"/>
  <c r="E79" i="14"/>
  <c r="O79" i="14" s="1"/>
  <c r="M110" i="14"/>
  <c r="E111" i="14"/>
  <c r="O111" i="14" s="1"/>
  <c r="M142" i="14"/>
  <c r="E143" i="14"/>
  <c r="O143" i="14" s="1"/>
  <c r="E61" i="14"/>
  <c r="O61" i="14" s="1"/>
  <c r="M147" i="14"/>
  <c r="E148" i="14"/>
  <c r="O148" i="14" s="1"/>
  <c r="M87" i="14"/>
  <c r="E88" i="14"/>
  <c r="O88" i="14" s="1"/>
  <c r="M119" i="14"/>
  <c r="E120" i="14"/>
  <c r="O120" i="14" s="1"/>
  <c r="M151" i="14"/>
  <c r="E152" i="14"/>
  <c r="O152" i="14" s="1"/>
  <c r="M76" i="14"/>
  <c r="E77" i="14"/>
  <c r="O77" i="14" s="1"/>
  <c r="M108" i="14"/>
  <c r="E109" i="14"/>
  <c r="O109" i="14" s="1"/>
  <c r="M140" i="14"/>
  <c r="E141" i="14"/>
  <c r="O141" i="14" s="1"/>
  <c r="M65" i="14"/>
  <c r="E66" i="14"/>
  <c r="O66" i="14" s="1"/>
  <c r="M97" i="14"/>
  <c r="E98" i="14"/>
  <c r="O98" i="14" s="1"/>
  <c r="M129" i="14"/>
  <c r="E130" i="14"/>
  <c r="O130" i="14" s="1"/>
  <c r="X86" i="14"/>
  <c r="R70" i="38" s="1"/>
  <c r="U86" i="14"/>
  <c r="Y86" i="14"/>
  <c r="W86" i="14"/>
  <c r="Y118" i="14"/>
  <c r="W118" i="14"/>
  <c r="AB118" i="14" s="1"/>
  <c r="X118" i="14"/>
  <c r="R102" i="38" s="1"/>
  <c r="U118" i="14"/>
  <c r="M150" i="14"/>
  <c r="E151" i="14"/>
  <c r="O151" i="14" s="1"/>
  <c r="M136" i="14"/>
  <c r="E137" i="14"/>
  <c r="O137" i="14" s="1"/>
  <c r="M125" i="14"/>
  <c r="E126" i="14"/>
  <c r="O126" i="14" s="1"/>
  <c r="M157" i="14"/>
  <c r="E158" i="14"/>
  <c r="O158" i="14" s="1"/>
  <c r="M114" i="14"/>
  <c r="E115" i="14"/>
  <c r="O115" i="14" s="1"/>
  <c r="M91" i="14"/>
  <c r="E92" i="14"/>
  <c r="O92" i="14" s="1"/>
  <c r="M123" i="14"/>
  <c r="E124" i="14"/>
  <c r="O124" i="14" s="1"/>
  <c r="M155" i="14"/>
  <c r="E156" i="14"/>
  <c r="O156" i="14" s="1"/>
  <c r="M80" i="14"/>
  <c r="E81" i="14"/>
  <c r="O81" i="14" s="1"/>
  <c r="M112" i="14"/>
  <c r="E113" i="14"/>
  <c r="O113" i="14" s="1"/>
  <c r="M144" i="14"/>
  <c r="E145" i="14"/>
  <c r="O145" i="14" s="1"/>
  <c r="M69" i="14"/>
  <c r="E70" i="14"/>
  <c r="O70" i="14" s="1"/>
  <c r="M101" i="14"/>
  <c r="E102" i="14"/>
  <c r="O102" i="14" s="1"/>
  <c r="M133" i="14"/>
  <c r="E134" i="14"/>
  <c r="O134" i="14" s="1"/>
  <c r="M90" i="14"/>
  <c r="E91" i="14"/>
  <c r="O91" i="14" s="1"/>
  <c r="M122" i="14"/>
  <c r="E123" i="14"/>
  <c r="O123" i="14" s="1"/>
  <c r="M154" i="14"/>
  <c r="E155" i="14"/>
  <c r="O155" i="14" s="1"/>
  <c r="M83" i="14"/>
  <c r="E84" i="14"/>
  <c r="O84" i="14" s="1"/>
  <c r="M63" i="14"/>
  <c r="E64" i="14"/>
  <c r="O64" i="14" s="1"/>
  <c r="M95" i="14"/>
  <c r="E96" i="14"/>
  <c r="O96" i="14" s="1"/>
  <c r="M127" i="14"/>
  <c r="E128" i="14"/>
  <c r="O128" i="14" s="1"/>
  <c r="M159" i="14"/>
  <c r="E160" i="14"/>
  <c r="O160" i="14" s="1"/>
  <c r="M84" i="14"/>
  <c r="E85" i="14"/>
  <c r="O85" i="14" s="1"/>
  <c r="M116" i="14"/>
  <c r="E117" i="14"/>
  <c r="O117" i="14" s="1"/>
  <c r="M148" i="14"/>
  <c r="E149" i="14"/>
  <c r="O149" i="14" s="1"/>
  <c r="M73" i="14"/>
  <c r="E74" i="14"/>
  <c r="O74" i="14" s="1"/>
  <c r="M105" i="14"/>
  <c r="E106" i="14"/>
  <c r="O106" i="14" s="1"/>
  <c r="M137" i="14"/>
  <c r="E138" i="14"/>
  <c r="O138" i="14" s="1"/>
  <c r="M62" i="14"/>
  <c r="E63" i="14"/>
  <c r="O63" i="14" s="1"/>
  <c r="M94" i="14"/>
  <c r="E95" i="14"/>
  <c r="O95" i="14" s="1"/>
  <c r="M126" i="14"/>
  <c r="E127" i="14"/>
  <c r="O127" i="14" s="1"/>
  <c r="M158" i="14"/>
  <c r="E159" i="14"/>
  <c r="O159" i="14" s="1"/>
  <c r="M72" i="14"/>
  <c r="E73" i="14"/>
  <c r="O73" i="14" s="1"/>
  <c r="M67" i="14"/>
  <c r="E68" i="14"/>
  <c r="O68" i="14" s="1"/>
  <c r="M99" i="14"/>
  <c r="E100" i="14"/>
  <c r="O100" i="14" s="1"/>
  <c r="M131" i="14"/>
  <c r="E132" i="14"/>
  <c r="O132" i="14" s="1"/>
  <c r="M88" i="14"/>
  <c r="E89" i="14"/>
  <c r="O89" i="14" s="1"/>
  <c r="M120" i="14"/>
  <c r="E121" i="14"/>
  <c r="O121" i="14" s="1"/>
  <c r="M152" i="14"/>
  <c r="E153" i="14"/>
  <c r="O153" i="14" s="1"/>
  <c r="M77" i="14"/>
  <c r="E78" i="14"/>
  <c r="O78" i="14" s="1"/>
  <c r="M109" i="14"/>
  <c r="E110" i="14"/>
  <c r="O110" i="14" s="1"/>
  <c r="M141" i="14"/>
  <c r="E142" i="14"/>
  <c r="O142" i="14" s="1"/>
  <c r="M66" i="14"/>
  <c r="E67" i="14"/>
  <c r="O67" i="14" s="1"/>
  <c r="M98" i="14"/>
  <c r="E99" i="14"/>
  <c r="O99" i="14" s="1"/>
  <c r="M130" i="14"/>
  <c r="E131" i="14"/>
  <c r="O131" i="14" s="1"/>
  <c r="E87" i="14"/>
  <c r="O87" i="14" s="1"/>
  <c r="M115" i="14"/>
  <c r="E116" i="14"/>
  <c r="O116" i="14" s="1"/>
  <c r="M146" i="14"/>
  <c r="E147" i="14"/>
  <c r="O147" i="14" s="1"/>
  <c r="M71" i="14"/>
  <c r="E72" i="14"/>
  <c r="O72" i="14" s="1"/>
  <c r="M103" i="14"/>
  <c r="E104" i="14"/>
  <c r="O104" i="14" s="1"/>
  <c r="M135" i="14"/>
  <c r="E136" i="14"/>
  <c r="O136" i="14" s="1"/>
  <c r="X60" i="14"/>
  <c r="R44" i="38" s="1"/>
  <c r="W60" i="14"/>
  <c r="M92" i="14"/>
  <c r="E93" i="14"/>
  <c r="O93" i="14" s="1"/>
  <c r="X124" i="14"/>
  <c r="R108" i="38" s="1"/>
  <c r="Y124" i="14"/>
  <c r="U124" i="14"/>
  <c r="W124" i="14"/>
  <c r="M156" i="14"/>
  <c r="E157" i="14"/>
  <c r="O157" i="14" s="1"/>
  <c r="M81" i="14"/>
  <c r="E82" i="14"/>
  <c r="O82" i="14" s="1"/>
  <c r="M113" i="14"/>
  <c r="E114" i="14"/>
  <c r="O114" i="14" s="1"/>
  <c r="M145" i="14"/>
  <c r="E146" i="14"/>
  <c r="O146" i="14" s="1"/>
  <c r="M70" i="14"/>
  <c r="E71" i="14"/>
  <c r="O71" i="14" s="1"/>
  <c r="M102" i="14"/>
  <c r="E103" i="14"/>
  <c r="O103" i="14" s="1"/>
  <c r="M134" i="14"/>
  <c r="E135" i="14"/>
  <c r="O135" i="14" s="1"/>
  <c r="E125" i="14"/>
  <c r="O125" i="14" s="1"/>
  <c r="M104" i="14"/>
  <c r="E105" i="14"/>
  <c r="O105" i="14" s="1"/>
  <c r="M61" i="14"/>
  <c r="E62" i="14"/>
  <c r="O62" i="14" s="1"/>
  <c r="M82" i="14"/>
  <c r="E83" i="14"/>
  <c r="O83" i="14" s="1"/>
  <c r="E119" i="14"/>
  <c r="O119" i="14" s="1"/>
  <c r="M75" i="14"/>
  <c r="E76" i="14"/>
  <c r="O76" i="14" s="1"/>
  <c r="M107" i="14"/>
  <c r="E108" i="14"/>
  <c r="O108" i="14" s="1"/>
  <c r="M139" i="14"/>
  <c r="E140" i="14"/>
  <c r="O140" i="14" s="1"/>
  <c r="M64" i="14"/>
  <c r="E65" i="14"/>
  <c r="O65" i="14" s="1"/>
  <c r="M96" i="14"/>
  <c r="E97" i="14"/>
  <c r="O97" i="14" s="1"/>
  <c r="M128" i="14"/>
  <c r="E129" i="14"/>
  <c r="O129" i="14" s="1"/>
  <c r="W160" i="14"/>
  <c r="U160" i="14"/>
  <c r="X160" i="14"/>
  <c r="R144" i="38" s="1"/>
  <c r="Y160" i="14"/>
  <c r="M85" i="14"/>
  <c r="E86" i="14"/>
  <c r="O86" i="14" s="1"/>
  <c r="M117" i="14"/>
  <c r="E118" i="14"/>
  <c r="O118" i="14" s="1"/>
  <c r="M149" i="14"/>
  <c r="E150" i="14"/>
  <c r="O150" i="14" s="1"/>
  <c r="Y74" i="14"/>
  <c r="W74" i="14"/>
  <c r="AB74" i="14" s="1"/>
  <c r="X74" i="14"/>
  <c r="R58" i="38" s="1"/>
  <c r="U74" i="14"/>
  <c r="M106" i="14"/>
  <c r="E107" i="14"/>
  <c r="O107" i="14" s="1"/>
  <c r="M138" i="14"/>
  <c r="E139" i="14"/>
  <c r="O139" i="14" s="1"/>
  <c r="E94" i="14"/>
  <c r="O94" i="14" s="1"/>
  <c r="E76" i="6"/>
  <c r="E98" i="6"/>
  <c r="E91" i="6"/>
  <c r="E102" i="6"/>
  <c r="E38" i="6"/>
  <c r="E100" i="6"/>
  <c r="E89" i="6"/>
  <c r="E32" i="6"/>
  <c r="E25" i="6"/>
  <c r="E96" i="6"/>
  <c r="E74" i="6"/>
  <c r="E78" i="6"/>
  <c r="E68" i="6"/>
  <c r="E106" i="6"/>
  <c r="E85" i="6"/>
  <c r="E37" i="6"/>
  <c r="E21" i="6"/>
  <c r="E93" i="6"/>
  <c r="E29" i="6"/>
  <c r="E84" i="6"/>
  <c r="E63" i="6"/>
  <c r="E75" i="6"/>
  <c r="E61" i="6"/>
  <c r="E86" i="6"/>
  <c r="E22" i="6"/>
  <c r="E118" i="6"/>
  <c r="E54" i="6"/>
  <c r="E27" i="6"/>
  <c r="E82" i="6"/>
  <c r="E108" i="6"/>
  <c r="E71" i="6"/>
  <c r="E119" i="6"/>
  <c r="E94" i="6"/>
  <c r="E30" i="6"/>
  <c r="E67" i="6"/>
  <c r="E77" i="6"/>
  <c r="E58" i="6"/>
  <c r="E72" i="6"/>
  <c r="E111" i="6"/>
  <c r="E47" i="6"/>
  <c r="E55" i="6"/>
  <c r="E114" i="6"/>
  <c r="E50" i="6"/>
  <c r="E60" i="6"/>
  <c r="E101" i="6"/>
  <c r="E103" i="6"/>
  <c r="E39" i="6"/>
  <c r="E43" i="6"/>
  <c r="E34" i="6"/>
  <c r="E105" i="6"/>
  <c r="E41" i="6"/>
  <c r="E112" i="6"/>
  <c r="E48" i="6"/>
  <c r="E62" i="6"/>
  <c r="E88" i="6"/>
  <c r="E45" i="6"/>
  <c r="E109" i="6"/>
  <c r="E66" i="6"/>
  <c r="E73" i="6"/>
  <c r="E52" i="6"/>
  <c r="E80" i="6"/>
  <c r="E44" i="6"/>
  <c r="E65" i="6"/>
  <c r="E117" i="6"/>
  <c r="E92" i="6"/>
  <c r="E57" i="6"/>
  <c r="E64" i="6"/>
  <c r="E53" i="6"/>
  <c r="E115" i="6"/>
  <c r="E51" i="6"/>
  <c r="E42" i="6"/>
  <c r="E28" i="6"/>
  <c r="E113" i="6"/>
  <c r="E49" i="6"/>
  <c r="E120" i="6"/>
  <c r="E56" i="6"/>
  <c r="E95" i="6"/>
  <c r="E31" i="6"/>
  <c r="E24" i="6"/>
  <c r="E107" i="6"/>
  <c r="E69" i="6"/>
  <c r="E87" i="6"/>
  <c r="E23" i="6"/>
  <c r="E81" i="6"/>
  <c r="E116" i="6"/>
  <c r="E99" i="6"/>
  <c r="E35" i="6"/>
  <c r="E90" i="6"/>
  <c r="E26" i="6"/>
  <c r="E97" i="6"/>
  <c r="E33" i="6"/>
  <c r="E104" i="6"/>
  <c r="E40" i="6"/>
  <c r="E79" i="6"/>
  <c r="P57" i="15" l="1"/>
  <c r="R51" i="15"/>
  <c r="P114" i="15"/>
  <c r="R141" i="15"/>
  <c r="R98" i="15"/>
  <c r="P96" i="15"/>
  <c r="R127" i="15"/>
  <c r="P94" i="15"/>
  <c r="Q95" i="15" s="1"/>
  <c r="P73" i="15"/>
  <c r="Q73" i="15" s="1"/>
  <c r="R66" i="15"/>
  <c r="S67" i="15" s="1"/>
  <c r="P50" i="15"/>
  <c r="Q51" i="15" s="1"/>
  <c r="R95" i="15"/>
  <c r="P120" i="15"/>
  <c r="Q121" i="15" s="1"/>
  <c r="P103" i="15"/>
  <c r="Q103" i="15" s="1"/>
  <c r="R49" i="15"/>
  <c r="S49" i="15" s="1"/>
  <c r="P144" i="15"/>
  <c r="Q144" i="15" s="1"/>
  <c r="R122" i="15"/>
  <c r="S122" i="15" s="1"/>
  <c r="P53" i="15"/>
  <c r="Q53" i="15" s="1"/>
  <c r="R145" i="15"/>
  <c r="P107" i="15"/>
  <c r="P111" i="15"/>
  <c r="P74" i="15"/>
  <c r="Q75" i="15" s="1"/>
  <c r="P108" i="15"/>
  <c r="R47" i="15"/>
  <c r="S48" i="15" s="1"/>
  <c r="FD60" i="14"/>
  <c r="R146" i="15"/>
  <c r="EV60" i="14"/>
  <c r="R100" i="15"/>
  <c r="S100" i="15" s="1"/>
  <c r="P87" i="15"/>
  <c r="Q88" i="15" s="1"/>
  <c r="P128" i="15"/>
  <c r="Q129" i="15" s="1"/>
  <c r="R129" i="15"/>
  <c r="S129" i="15" s="1"/>
  <c r="R78" i="15"/>
  <c r="R132" i="15"/>
  <c r="S133" i="15" s="1"/>
  <c r="L59" i="45"/>
  <c r="N58" i="45"/>
  <c r="N59" i="45" s="1"/>
  <c r="L58" i="45"/>
  <c r="Q51" i="43"/>
  <c r="N50" i="45"/>
  <c r="V51" i="45"/>
  <c r="AA50" i="45"/>
  <c r="P82" i="15"/>
  <c r="Q82" i="15" s="1"/>
  <c r="P93" i="15"/>
  <c r="CA55" i="43"/>
  <c r="CA55" i="45" s="1"/>
  <c r="R65" i="15"/>
  <c r="P86" i="15"/>
  <c r="Q86" i="15" s="1"/>
  <c r="BZ54" i="43"/>
  <c r="BZ54" i="45" s="1"/>
  <c r="BZ63" i="43"/>
  <c r="BZ63" i="45" s="1"/>
  <c r="BZ70" i="43"/>
  <c r="BZ70" i="45" s="1"/>
  <c r="BZ55" i="43"/>
  <c r="BZ55" i="45" s="1"/>
  <c r="CA51" i="43"/>
  <c r="CA51" i="45" s="1"/>
  <c r="BZ65" i="43"/>
  <c r="BZ65" i="45" s="1"/>
  <c r="CA70" i="43"/>
  <c r="CA70" i="45" s="1"/>
  <c r="R126" i="15"/>
  <c r="S126" i="15" s="1"/>
  <c r="P90" i="15"/>
  <c r="Q90" i="15" s="1"/>
  <c r="R142" i="15"/>
  <c r="S143" i="15" s="1"/>
  <c r="CA54" i="43"/>
  <c r="CA54" i="45" s="1"/>
  <c r="CA63" i="43"/>
  <c r="CA63" i="45" s="1"/>
  <c r="BZ69" i="43"/>
  <c r="BZ69" i="45" s="1"/>
  <c r="P109" i="15"/>
  <c r="P124" i="15"/>
  <c r="Q124" i="15" s="1"/>
  <c r="R54" i="15"/>
  <c r="P136" i="15"/>
  <c r="Q137" i="15" s="1"/>
  <c r="BZ68" i="43"/>
  <c r="BZ68" i="45" s="1"/>
  <c r="CA69" i="43"/>
  <c r="CA69" i="45" s="1"/>
  <c r="BZ52" i="43"/>
  <c r="BZ52" i="45" s="1"/>
  <c r="BZ51" i="43"/>
  <c r="BZ51" i="45" s="1"/>
  <c r="R92" i="15"/>
  <c r="S93" i="15" s="1"/>
  <c r="P91" i="15"/>
  <c r="R52" i="15"/>
  <c r="S52" i="15" s="1"/>
  <c r="P125" i="15"/>
  <c r="Q126" i="15" s="1"/>
  <c r="P110" i="15"/>
  <c r="CA68" i="43"/>
  <c r="CA68" i="45" s="1"/>
  <c r="CA60" i="43"/>
  <c r="CA60" i="45" s="1"/>
  <c r="BZ67" i="43"/>
  <c r="BZ67" i="45" s="1"/>
  <c r="CA52" i="43"/>
  <c r="CA52" i="45" s="1"/>
  <c r="CA71" i="43"/>
  <c r="CA71" i="45" s="1"/>
  <c r="R77" i="15"/>
  <c r="S77" i="15" s="1"/>
  <c r="R140" i="15"/>
  <c r="P104" i="15"/>
  <c r="BZ56" i="43"/>
  <c r="BZ56" i="45" s="1"/>
  <c r="BZ66" i="43"/>
  <c r="BZ66" i="45" s="1"/>
  <c r="CA53" i="43"/>
  <c r="CA53" i="45" s="1"/>
  <c r="BZ57" i="43"/>
  <c r="BZ57" i="45" s="1"/>
  <c r="BZ61" i="43"/>
  <c r="BZ61" i="45" s="1"/>
  <c r="BZ60" i="43"/>
  <c r="BZ60" i="45" s="1"/>
  <c r="CA67" i="43"/>
  <c r="CA67" i="45" s="1"/>
  <c r="BZ64" i="43"/>
  <c r="BZ64" i="45" s="1"/>
  <c r="CA65" i="43"/>
  <c r="CA65" i="45" s="1"/>
  <c r="P64" i="15"/>
  <c r="Q64" i="15" s="1"/>
  <c r="R119" i="15"/>
  <c r="S119" i="15" s="1"/>
  <c r="CA56" i="43"/>
  <c r="CA56" i="45" s="1"/>
  <c r="CA66" i="43"/>
  <c r="CA66" i="45" s="1"/>
  <c r="BZ53" i="43"/>
  <c r="BZ53" i="45" s="1"/>
  <c r="CA57" i="43"/>
  <c r="CA57" i="45" s="1"/>
  <c r="CA59" i="43"/>
  <c r="CA59" i="45" s="1"/>
  <c r="CA61" i="43"/>
  <c r="CA61" i="45" s="1"/>
  <c r="CA58" i="43"/>
  <c r="CA58" i="45" s="1"/>
  <c r="BZ62" i="43"/>
  <c r="BZ62" i="45" s="1"/>
  <c r="R70" i="15"/>
  <c r="S71" i="15" s="1"/>
  <c r="CA64" i="43"/>
  <c r="CA64" i="45" s="1"/>
  <c r="BZ71" i="43"/>
  <c r="BZ71" i="45" s="1"/>
  <c r="BZ59" i="43"/>
  <c r="BZ59" i="45" s="1"/>
  <c r="BZ58" i="43"/>
  <c r="BZ58" i="45" s="1"/>
  <c r="CA62" i="43"/>
  <c r="CA62" i="45" s="1"/>
  <c r="AA160" i="14"/>
  <c r="S144" i="38"/>
  <c r="AA124" i="14"/>
  <c r="S108" i="38"/>
  <c r="AA86" i="14"/>
  <c r="S70" i="38"/>
  <c r="R81" i="15"/>
  <c r="S81" i="15" s="1"/>
  <c r="R79" i="15"/>
  <c r="S80" i="15" s="1"/>
  <c r="R139" i="15"/>
  <c r="S139" i="15" s="1"/>
  <c r="R85" i="15"/>
  <c r="S85" i="15" s="1"/>
  <c r="P112" i="15"/>
  <c r="P83" i="15"/>
  <c r="Q84" i="15" s="1"/>
  <c r="P58" i="15"/>
  <c r="Q58" i="15" s="1"/>
  <c r="P68" i="15"/>
  <c r="Q68" i="15" s="1"/>
  <c r="AA93" i="14"/>
  <c r="S77" i="38"/>
  <c r="P59" i="15"/>
  <c r="R62" i="15"/>
  <c r="S63" i="15" s="1"/>
  <c r="P113" i="15"/>
  <c r="Q114" i="15" s="1"/>
  <c r="AA118" i="14"/>
  <c r="S102" i="38"/>
  <c r="AA74" i="14"/>
  <c r="S58" i="38"/>
  <c r="P135" i="15"/>
  <c r="P60" i="15"/>
  <c r="Q61" i="15" s="1"/>
  <c r="P105" i="15"/>
  <c r="Q106" i="15" s="1"/>
  <c r="P138" i="15"/>
  <c r="Q139" i="15" s="1"/>
  <c r="R130" i="15"/>
  <c r="S131" i="15" s="1"/>
  <c r="Q85" i="15"/>
  <c r="R55" i="15"/>
  <c r="S56" i="15" s="1"/>
  <c r="P118" i="15"/>
  <c r="Q118" i="15" s="1"/>
  <c r="R75" i="15"/>
  <c r="S76" i="15" s="1"/>
  <c r="AA60" i="14"/>
  <c r="AC60" i="14" s="1"/>
  <c r="S44" i="38"/>
  <c r="Q117" i="15"/>
  <c r="AB160" i="14"/>
  <c r="AB124" i="14"/>
  <c r="AB93" i="14"/>
  <c r="AB60" i="14"/>
  <c r="AB86" i="14"/>
  <c r="Q78" i="15"/>
  <c r="GX60" i="14"/>
  <c r="HF60" i="14" s="1"/>
  <c r="GX124" i="14"/>
  <c r="HF124" i="14" s="1"/>
  <c r="GX118" i="14"/>
  <c r="HF118" i="14" s="1"/>
  <c r="GX93" i="14"/>
  <c r="HF93" i="14" s="1"/>
  <c r="GX74" i="14"/>
  <c r="HF74" i="14" s="1"/>
  <c r="GX86" i="14"/>
  <c r="HF86" i="14" s="1"/>
  <c r="GX160" i="14"/>
  <c r="HF160" i="14" s="1"/>
  <c r="D7" i="6"/>
  <c r="G31" i="6" s="1"/>
  <c r="S110" i="15"/>
  <c r="Q100" i="15"/>
  <c r="S136" i="15"/>
  <c r="S57" i="15"/>
  <c r="S89" i="15"/>
  <c r="S72" i="15"/>
  <c r="S113" i="15"/>
  <c r="Q57" i="15"/>
  <c r="Q47" i="15"/>
  <c r="S50" i="15"/>
  <c r="S121" i="15"/>
  <c r="S124" i="15"/>
  <c r="Q79" i="15"/>
  <c r="S90" i="15"/>
  <c r="S107" i="15"/>
  <c r="Q97" i="15"/>
  <c r="Q132" i="15"/>
  <c r="S97" i="15"/>
  <c r="Q142" i="15"/>
  <c r="Q146" i="15"/>
  <c r="Q101" i="15"/>
  <c r="Q141" i="15"/>
  <c r="S69" i="15"/>
  <c r="Q89" i="15"/>
  <c r="Q120" i="15"/>
  <c r="S111" i="15"/>
  <c r="Q63" i="15"/>
  <c r="S125" i="15"/>
  <c r="Q66" i="15"/>
  <c r="Q81" i="15"/>
  <c r="S109" i="15"/>
  <c r="Q48" i="15"/>
  <c r="Q127" i="15"/>
  <c r="Q130" i="15"/>
  <c r="S138" i="15"/>
  <c r="Q143" i="15"/>
  <c r="S96" i="15"/>
  <c r="Q72" i="15"/>
  <c r="S104" i="15"/>
  <c r="S116" i="15"/>
  <c r="Q62" i="15"/>
  <c r="Q115" i="15"/>
  <c r="S65" i="15"/>
  <c r="Q56" i="15"/>
  <c r="Q102" i="15"/>
  <c r="Q123" i="15"/>
  <c r="S115" i="15"/>
  <c r="S118" i="15"/>
  <c r="Q134" i="15"/>
  <c r="S101" i="15"/>
  <c r="S59" i="15"/>
  <c r="S144" i="15"/>
  <c r="S87" i="15"/>
  <c r="S108" i="15"/>
  <c r="Q133" i="15"/>
  <c r="S99" i="15"/>
  <c r="S102" i="15"/>
  <c r="S95" i="15"/>
  <c r="S68" i="15"/>
  <c r="Q96" i="15"/>
  <c r="S103" i="15"/>
  <c r="Q99" i="15"/>
  <c r="S53" i="15"/>
  <c r="S88" i="15"/>
  <c r="S73" i="15"/>
  <c r="S83" i="15"/>
  <c r="S61" i="15"/>
  <c r="S106" i="15"/>
  <c r="Q98" i="15"/>
  <c r="Q145" i="15"/>
  <c r="Q49" i="15"/>
  <c r="S84" i="15"/>
  <c r="S94" i="15"/>
  <c r="Q55" i="15"/>
  <c r="S58" i="15"/>
  <c r="Q76" i="15"/>
  <c r="S64" i="15"/>
  <c r="S60" i="15"/>
  <c r="Q67" i="15"/>
  <c r="S117" i="15"/>
  <c r="S98" i="15"/>
  <c r="Q52" i="15"/>
  <c r="S91" i="15"/>
  <c r="Q77" i="15"/>
  <c r="S112" i="15"/>
  <c r="S137" i="15"/>
  <c r="S114" i="15"/>
  <c r="Q70" i="15"/>
  <c r="Q140" i="15"/>
  <c r="S128" i="15"/>
  <c r="S135" i="15"/>
  <c r="Q71" i="15"/>
  <c r="S74" i="15"/>
  <c r="Q131" i="15"/>
  <c r="S134" i="15"/>
  <c r="Q116" i="15"/>
  <c r="Q80" i="15"/>
  <c r="Q122" i="15"/>
  <c r="S105" i="15"/>
  <c r="S51" i="15"/>
  <c r="S160" i="14"/>
  <c r="E44" i="16"/>
  <c r="E49" i="16"/>
  <c r="E46" i="16"/>
  <c r="E45" i="16"/>
  <c r="E50" i="16"/>
  <c r="E47" i="16"/>
  <c r="E42" i="16"/>
  <c r="E43" i="16"/>
  <c r="E48" i="16"/>
  <c r="R160" i="14"/>
  <c r="Q160" i="14"/>
  <c r="P160" i="14"/>
  <c r="C17" i="16"/>
  <c r="E10" i="16"/>
  <c r="E17" i="16" s="1"/>
  <c r="E9" i="16"/>
  <c r="E16" i="16" s="1"/>
  <c r="EV74" i="14"/>
  <c r="FD74" i="14"/>
  <c r="EN74" i="14"/>
  <c r="EV160" i="14"/>
  <c r="FD160" i="14"/>
  <c r="EN160" i="14"/>
  <c r="EN86" i="14"/>
  <c r="EV86" i="14"/>
  <c r="FD86" i="14"/>
  <c r="EV93" i="14"/>
  <c r="EN93" i="14"/>
  <c r="FD93" i="14"/>
  <c r="FD118" i="14"/>
  <c r="EN118" i="14"/>
  <c r="EV118" i="14"/>
  <c r="FD124" i="14"/>
  <c r="EN124" i="14"/>
  <c r="EV124" i="14"/>
  <c r="V61" i="14"/>
  <c r="V64" i="14"/>
  <c r="V106" i="14"/>
  <c r="V139" i="14"/>
  <c r="V102" i="14"/>
  <c r="V81" i="14"/>
  <c r="V135" i="14"/>
  <c r="V115" i="14"/>
  <c r="V78" i="14"/>
  <c r="V132" i="14"/>
  <c r="V111" i="14"/>
  <c r="V117" i="14"/>
  <c r="V92" i="14"/>
  <c r="V141" i="14"/>
  <c r="V120" i="14"/>
  <c r="V67" i="14"/>
  <c r="V94" i="14"/>
  <c r="V73" i="14"/>
  <c r="V159" i="14"/>
  <c r="V133" i="14"/>
  <c r="V112" i="14"/>
  <c r="V91" i="14"/>
  <c r="V136" i="14"/>
  <c r="V97" i="14"/>
  <c r="V76" i="14"/>
  <c r="V147" i="14"/>
  <c r="V128" i="14"/>
  <c r="V107" i="14"/>
  <c r="V70" i="14"/>
  <c r="V156" i="14"/>
  <c r="V103" i="14"/>
  <c r="V153" i="14"/>
  <c r="V100" i="14"/>
  <c r="V79" i="14"/>
  <c r="V83" i="14"/>
  <c r="V85" i="14"/>
  <c r="V104" i="14"/>
  <c r="V130" i="14"/>
  <c r="V109" i="14"/>
  <c r="V88" i="14"/>
  <c r="V72" i="14"/>
  <c r="V62" i="14"/>
  <c r="V148" i="14"/>
  <c r="V127" i="14"/>
  <c r="V154" i="14"/>
  <c r="V101" i="14"/>
  <c r="V80" i="14"/>
  <c r="V114" i="14"/>
  <c r="V150" i="14"/>
  <c r="V65" i="14"/>
  <c r="V151" i="14"/>
  <c r="V96" i="14"/>
  <c r="V75" i="14"/>
  <c r="V145" i="14"/>
  <c r="V71" i="14"/>
  <c r="V142" i="14"/>
  <c r="V121" i="14"/>
  <c r="V68" i="14"/>
  <c r="V98" i="14"/>
  <c r="V77" i="14"/>
  <c r="V131" i="14"/>
  <c r="V158" i="14"/>
  <c r="V137" i="14"/>
  <c r="V116" i="14"/>
  <c r="V95" i="14"/>
  <c r="V122" i="14"/>
  <c r="V69" i="14"/>
  <c r="V155" i="14"/>
  <c r="V157" i="14"/>
  <c r="V140" i="14"/>
  <c r="V119" i="14"/>
  <c r="V146" i="14"/>
  <c r="V110" i="14"/>
  <c r="V89" i="14"/>
  <c r="V143" i="14"/>
  <c r="V138" i="14"/>
  <c r="V134" i="14"/>
  <c r="V113" i="14"/>
  <c r="V149" i="14"/>
  <c r="V82" i="14"/>
  <c r="V66" i="14"/>
  <c r="V152" i="14"/>
  <c r="V99" i="14"/>
  <c r="V126" i="14"/>
  <c r="V105" i="14"/>
  <c r="V84" i="14"/>
  <c r="V63" i="14"/>
  <c r="V90" i="14"/>
  <c r="V144" i="14"/>
  <c r="V123" i="14"/>
  <c r="V125" i="14"/>
  <c r="V129" i="14"/>
  <c r="V108" i="14"/>
  <c r="V87" i="14"/>
  <c r="Y137" i="14"/>
  <c r="W137" i="14"/>
  <c r="X137" i="14"/>
  <c r="R121" i="38" s="1"/>
  <c r="U137" i="14"/>
  <c r="W65" i="14"/>
  <c r="U65" i="14"/>
  <c r="X65" i="14"/>
  <c r="R49" i="38" s="1"/>
  <c r="Y65" i="14"/>
  <c r="X106" i="14"/>
  <c r="R90" i="38" s="1"/>
  <c r="W106" i="14"/>
  <c r="U106" i="14"/>
  <c r="Y106" i="14"/>
  <c r="Y149" i="14"/>
  <c r="W149" i="14"/>
  <c r="U149" i="14"/>
  <c r="X149" i="14"/>
  <c r="R133" i="38" s="1"/>
  <c r="Y64" i="14"/>
  <c r="U64" i="14"/>
  <c r="X64" i="14"/>
  <c r="R48" i="38" s="1"/>
  <c r="W64" i="14"/>
  <c r="AB64" i="14" s="1"/>
  <c r="X134" i="14"/>
  <c r="R118" i="38" s="1"/>
  <c r="Y134" i="14"/>
  <c r="W134" i="14"/>
  <c r="U134" i="14"/>
  <c r="Y113" i="14"/>
  <c r="X113" i="14"/>
  <c r="R97" i="38" s="1"/>
  <c r="W113" i="14"/>
  <c r="U113" i="14"/>
  <c r="Z60" i="14"/>
  <c r="W71" i="14"/>
  <c r="X71" i="14"/>
  <c r="R55" i="38" s="1"/>
  <c r="Y71" i="14"/>
  <c r="U71" i="14"/>
  <c r="Z86" i="14"/>
  <c r="T70" i="38" s="1"/>
  <c r="Y153" i="14"/>
  <c r="W153" i="14"/>
  <c r="X153" i="14"/>
  <c r="R137" i="38" s="1"/>
  <c r="U153" i="14"/>
  <c r="X100" i="14"/>
  <c r="R84" i="38" s="1"/>
  <c r="Y100" i="14"/>
  <c r="U100" i="14"/>
  <c r="W100" i="14"/>
  <c r="X79" i="14"/>
  <c r="R63" i="38" s="1"/>
  <c r="Y79" i="14"/>
  <c r="U79" i="14"/>
  <c r="W79" i="14"/>
  <c r="U98" i="14"/>
  <c r="Y98" i="14"/>
  <c r="X98" i="14"/>
  <c r="R82" i="38" s="1"/>
  <c r="W98" i="14"/>
  <c r="Y158" i="14"/>
  <c r="U158" i="14"/>
  <c r="W158" i="14"/>
  <c r="X158" i="14"/>
  <c r="R142" i="38" s="1"/>
  <c r="Y95" i="14"/>
  <c r="U95" i="14"/>
  <c r="W95" i="14"/>
  <c r="X95" i="14"/>
  <c r="R79" i="38" s="1"/>
  <c r="X155" i="14"/>
  <c r="R139" i="38" s="1"/>
  <c r="W155" i="14"/>
  <c r="Y155" i="14"/>
  <c r="U155" i="14"/>
  <c r="U117" i="14"/>
  <c r="Y117" i="14"/>
  <c r="W117" i="14"/>
  <c r="X117" i="14"/>
  <c r="R101" i="38" s="1"/>
  <c r="U139" i="14"/>
  <c r="X139" i="14"/>
  <c r="R123" i="38" s="1"/>
  <c r="Y139" i="14"/>
  <c r="W139" i="14"/>
  <c r="AB139" i="14" s="1"/>
  <c r="U102" i="14"/>
  <c r="X102" i="14"/>
  <c r="R86" i="38" s="1"/>
  <c r="Y102" i="14"/>
  <c r="W102" i="14"/>
  <c r="Y81" i="14"/>
  <c r="U81" i="14"/>
  <c r="W81" i="14"/>
  <c r="X81" i="14"/>
  <c r="R65" i="38" s="1"/>
  <c r="Y146" i="14"/>
  <c r="X146" i="14"/>
  <c r="R130" i="38" s="1"/>
  <c r="W146" i="14"/>
  <c r="U146" i="14"/>
  <c r="U142" i="14"/>
  <c r="X142" i="14"/>
  <c r="R126" i="38" s="1"/>
  <c r="W142" i="14"/>
  <c r="Y142" i="14"/>
  <c r="Y121" i="14"/>
  <c r="X121" i="14"/>
  <c r="R105" i="38" s="1"/>
  <c r="W121" i="14"/>
  <c r="U121" i="14"/>
  <c r="X68" i="14"/>
  <c r="R52" i="38" s="1"/>
  <c r="W68" i="14"/>
  <c r="AB68" i="14" s="1"/>
  <c r="U68" i="14"/>
  <c r="Y68" i="14"/>
  <c r="X61" i="14"/>
  <c r="R45" i="38" s="1"/>
  <c r="U61" i="14"/>
  <c r="W61" i="14"/>
  <c r="Y61" i="14"/>
  <c r="Y66" i="14"/>
  <c r="W66" i="14"/>
  <c r="U66" i="14"/>
  <c r="X66" i="14"/>
  <c r="R50" i="38" s="1"/>
  <c r="X152" i="14"/>
  <c r="R136" i="38" s="1"/>
  <c r="W152" i="14"/>
  <c r="U152" i="14"/>
  <c r="Y152" i="14"/>
  <c r="U99" i="14"/>
  <c r="X99" i="14"/>
  <c r="R83" i="38" s="1"/>
  <c r="W99" i="14"/>
  <c r="AB99" i="14" s="1"/>
  <c r="Y99" i="14"/>
  <c r="Y126" i="14"/>
  <c r="W126" i="14"/>
  <c r="X126" i="14"/>
  <c r="R110" i="38" s="1"/>
  <c r="U126" i="14"/>
  <c r="Y105" i="14"/>
  <c r="U105" i="14"/>
  <c r="X105" i="14"/>
  <c r="R89" i="38" s="1"/>
  <c r="W105" i="14"/>
  <c r="X84" i="14"/>
  <c r="R68" i="38" s="1"/>
  <c r="W84" i="14"/>
  <c r="AB84" i="14" s="1"/>
  <c r="U84" i="14"/>
  <c r="Y84" i="14"/>
  <c r="X63" i="14"/>
  <c r="R47" i="38" s="1"/>
  <c r="Y63" i="14"/>
  <c r="U63" i="14"/>
  <c r="W63" i="14"/>
  <c r="Y90" i="14"/>
  <c r="W90" i="14"/>
  <c r="X90" i="14"/>
  <c r="R74" i="38" s="1"/>
  <c r="U90" i="14"/>
  <c r="U144" i="14"/>
  <c r="X144" i="14"/>
  <c r="R128" i="38" s="1"/>
  <c r="W144" i="14"/>
  <c r="Y144" i="14"/>
  <c r="X123" i="14"/>
  <c r="R107" i="38" s="1"/>
  <c r="Y123" i="14"/>
  <c r="W123" i="14"/>
  <c r="U123" i="14"/>
  <c r="Y125" i="14"/>
  <c r="W125" i="14"/>
  <c r="U125" i="14"/>
  <c r="X125" i="14"/>
  <c r="R109" i="38" s="1"/>
  <c r="Z118" i="14"/>
  <c r="T102" i="38" s="1"/>
  <c r="X140" i="14"/>
  <c r="R124" i="38" s="1"/>
  <c r="W140" i="14"/>
  <c r="Y140" i="14"/>
  <c r="U140" i="14"/>
  <c r="X119" i="14"/>
  <c r="R103" i="38" s="1"/>
  <c r="W119" i="14"/>
  <c r="U119" i="14"/>
  <c r="Y119" i="14"/>
  <c r="Z74" i="14"/>
  <c r="T58" i="38" s="1"/>
  <c r="U85" i="14"/>
  <c r="W85" i="14"/>
  <c r="Y85" i="14"/>
  <c r="X85" i="14"/>
  <c r="R69" i="38" s="1"/>
  <c r="W128" i="14"/>
  <c r="AB128" i="14" s="1"/>
  <c r="Y128" i="14"/>
  <c r="U128" i="14"/>
  <c r="X128" i="14"/>
  <c r="R112" i="38" s="1"/>
  <c r="X107" i="14"/>
  <c r="R91" i="38" s="1"/>
  <c r="U107" i="14"/>
  <c r="W107" i="14"/>
  <c r="Y107" i="14"/>
  <c r="W70" i="14"/>
  <c r="X70" i="14"/>
  <c r="R54" i="38" s="1"/>
  <c r="Y70" i="14"/>
  <c r="U70" i="14"/>
  <c r="X156" i="14"/>
  <c r="R140" i="38" s="1"/>
  <c r="W156" i="14"/>
  <c r="Y156" i="14"/>
  <c r="U156" i="14"/>
  <c r="X92" i="14"/>
  <c r="R76" i="38" s="1"/>
  <c r="W92" i="14"/>
  <c r="Y92" i="14"/>
  <c r="U92" i="14"/>
  <c r="U135" i="14"/>
  <c r="Y135" i="14"/>
  <c r="X135" i="14"/>
  <c r="R119" i="38" s="1"/>
  <c r="W135" i="14"/>
  <c r="X115" i="14"/>
  <c r="R99" i="38" s="1"/>
  <c r="Y115" i="14"/>
  <c r="U115" i="14"/>
  <c r="W115" i="14"/>
  <c r="W110" i="14"/>
  <c r="X110" i="14"/>
  <c r="R94" i="38" s="1"/>
  <c r="Y110" i="14"/>
  <c r="U110" i="14"/>
  <c r="Y89" i="14"/>
  <c r="W89" i="14"/>
  <c r="X89" i="14"/>
  <c r="R73" i="38" s="1"/>
  <c r="U89" i="14"/>
  <c r="Y143" i="14"/>
  <c r="U143" i="14"/>
  <c r="W143" i="14"/>
  <c r="X143" i="14"/>
  <c r="R127" i="38" s="1"/>
  <c r="Z93" i="14"/>
  <c r="T77" i="38" s="1"/>
  <c r="Z160" i="14"/>
  <c r="T144" i="38" s="1"/>
  <c r="W104" i="14"/>
  <c r="AB104" i="14" s="1"/>
  <c r="Y104" i="14"/>
  <c r="U104" i="14"/>
  <c r="X104" i="14"/>
  <c r="R88" i="38" s="1"/>
  <c r="W141" i="14"/>
  <c r="Y141" i="14"/>
  <c r="U141" i="14"/>
  <c r="X141" i="14"/>
  <c r="R125" i="38" s="1"/>
  <c r="W120" i="14"/>
  <c r="Y120" i="14"/>
  <c r="U120" i="14"/>
  <c r="X120" i="14"/>
  <c r="R104" i="38" s="1"/>
  <c r="U67" i="14"/>
  <c r="X67" i="14"/>
  <c r="R51" i="38" s="1"/>
  <c r="Y67" i="14"/>
  <c r="W67" i="14"/>
  <c r="Y94" i="14"/>
  <c r="U94" i="14"/>
  <c r="X94" i="14"/>
  <c r="R78" i="38" s="1"/>
  <c r="W94" i="14"/>
  <c r="Y73" i="14"/>
  <c r="W73" i="14"/>
  <c r="AB73" i="14" s="1"/>
  <c r="X73" i="14"/>
  <c r="R57" i="38" s="1"/>
  <c r="U73" i="14"/>
  <c r="U159" i="14"/>
  <c r="Y159" i="14"/>
  <c r="W159" i="14"/>
  <c r="X159" i="14"/>
  <c r="R143" i="38" s="1"/>
  <c r="W83" i="14"/>
  <c r="X83" i="14"/>
  <c r="R67" i="38" s="1"/>
  <c r="U83" i="14"/>
  <c r="Y83" i="14"/>
  <c r="U133" i="14"/>
  <c r="W133" i="14"/>
  <c r="Y133" i="14"/>
  <c r="X133" i="14"/>
  <c r="R117" i="38" s="1"/>
  <c r="W112" i="14"/>
  <c r="Y112" i="14"/>
  <c r="X112" i="14"/>
  <c r="R96" i="38" s="1"/>
  <c r="U112" i="14"/>
  <c r="X91" i="14"/>
  <c r="R75" i="38" s="1"/>
  <c r="W91" i="14"/>
  <c r="AB91" i="14" s="1"/>
  <c r="Y91" i="14"/>
  <c r="U91" i="14"/>
  <c r="Y136" i="14"/>
  <c r="U136" i="14"/>
  <c r="X136" i="14"/>
  <c r="R120" i="38" s="1"/>
  <c r="W136" i="14"/>
  <c r="Y129" i="14"/>
  <c r="W129" i="14"/>
  <c r="U129" i="14"/>
  <c r="X129" i="14"/>
  <c r="R113" i="38" s="1"/>
  <c r="X108" i="14"/>
  <c r="R92" i="38" s="1"/>
  <c r="Y108" i="14"/>
  <c r="U108" i="14"/>
  <c r="W108" i="14"/>
  <c r="W87" i="14"/>
  <c r="X87" i="14"/>
  <c r="R71" i="38" s="1"/>
  <c r="U87" i="14"/>
  <c r="Y87" i="14"/>
  <c r="U77" i="14"/>
  <c r="W77" i="14"/>
  <c r="Y77" i="14"/>
  <c r="X77" i="14"/>
  <c r="R61" i="38" s="1"/>
  <c r="X116" i="14"/>
  <c r="R100" i="38" s="1"/>
  <c r="Y116" i="14"/>
  <c r="U116" i="14"/>
  <c r="W116" i="14"/>
  <c r="AB116" i="14" s="1"/>
  <c r="Y122" i="14"/>
  <c r="X122" i="14"/>
  <c r="R106" i="38" s="1"/>
  <c r="W122" i="14"/>
  <c r="U122" i="14"/>
  <c r="W69" i="14"/>
  <c r="X69" i="14"/>
  <c r="R53" i="38" s="1"/>
  <c r="U69" i="14"/>
  <c r="Y69" i="14"/>
  <c r="W157" i="14"/>
  <c r="Y157" i="14"/>
  <c r="U157" i="14"/>
  <c r="X157" i="14"/>
  <c r="R141" i="38" s="1"/>
  <c r="U138" i="14"/>
  <c r="Y138" i="14"/>
  <c r="X138" i="14"/>
  <c r="R122" i="38" s="1"/>
  <c r="W138" i="14"/>
  <c r="W96" i="14"/>
  <c r="Y96" i="14"/>
  <c r="S80" i="38" s="1"/>
  <c r="X96" i="14"/>
  <c r="R80" i="38" s="1"/>
  <c r="U96" i="14"/>
  <c r="U75" i="14"/>
  <c r="X75" i="14"/>
  <c r="R59" i="38" s="1"/>
  <c r="W75" i="14"/>
  <c r="Y75" i="14"/>
  <c r="Y145" i="14"/>
  <c r="W145" i="14"/>
  <c r="U145" i="14"/>
  <c r="X145" i="14"/>
  <c r="R129" i="38" s="1"/>
  <c r="Y103" i="14"/>
  <c r="W103" i="14"/>
  <c r="U103" i="14"/>
  <c r="X103" i="14"/>
  <c r="R87" i="38" s="1"/>
  <c r="W78" i="14"/>
  <c r="AB78" i="14" s="1"/>
  <c r="U78" i="14"/>
  <c r="X78" i="14"/>
  <c r="R62" i="38" s="1"/>
  <c r="Y78" i="14"/>
  <c r="X132" i="14"/>
  <c r="R116" i="38" s="1"/>
  <c r="W132" i="14"/>
  <c r="U132" i="14"/>
  <c r="Y132" i="14"/>
  <c r="W111" i="14"/>
  <c r="X111" i="14"/>
  <c r="R95" i="38" s="1"/>
  <c r="U111" i="14"/>
  <c r="Y111" i="14"/>
  <c r="Y82" i="14"/>
  <c r="X82" i="14"/>
  <c r="R66" i="38" s="1"/>
  <c r="U82" i="14"/>
  <c r="W82" i="14"/>
  <c r="AB82" i="14" s="1"/>
  <c r="X131" i="14"/>
  <c r="R115" i="38" s="1"/>
  <c r="W131" i="14"/>
  <c r="Y131" i="14"/>
  <c r="U131" i="14"/>
  <c r="W151" i="14"/>
  <c r="X151" i="14"/>
  <c r="R135" i="38" s="1"/>
  <c r="U151" i="14"/>
  <c r="Y151" i="14"/>
  <c r="Z124" i="14"/>
  <c r="T108" i="38" s="1"/>
  <c r="U130" i="14"/>
  <c r="X130" i="14"/>
  <c r="R114" i="38" s="1"/>
  <c r="W130" i="14"/>
  <c r="Y130" i="14"/>
  <c r="Y109" i="14"/>
  <c r="W109" i="14"/>
  <c r="AB109" i="14" s="1"/>
  <c r="U109" i="14"/>
  <c r="X109" i="14"/>
  <c r="R93" i="38" s="1"/>
  <c r="W88" i="14"/>
  <c r="Y88" i="14"/>
  <c r="X88" i="14"/>
  <c r="R72" i="38" s="1"/>
  <c r="U88" i="14"/>
  <c r="W72" i="14"/>
  <c r="Y72" i="14"/>
  <c r="X72" i="14"/>
  <c r="R56" i="38" s="1"/>
  <c r="U72" i="14"/>
  <c r="U62" i="14"/>
  <c r="X62" i="14"/>
  <c r="R46" i="38" s="1"/>
  <c r="Y62" i="14"/>
  <c r="W62" i="14"/>
  <c r="X148" i="14"/>
  <c r="R132" i="38" s="1"/>
  <c r="Y148" i="14"/>
  <c r="W148" i="14"/>
  <c r="U148" i="14"/>
  <c r="W127" i="14"/>
  <c r="U127" i="14"/>
  <c r="X127" i="14"/>
  <c r="R111" i="38" s="1"/>
  <c r="Y127" i="14"/>
  <c r="Y154" i="14"/>
  <c r="W154" i="14"/>
  <c r="X154" i="14"/>
  <c r="R138" i="38" s="1"/>
  <c r="U154" i="14"/>
  <c r="U101" i="14"/>
  <c r="Y101" i="14"/>
  <c r="W101" i="14"/>
  <c r="X101" i="14"/>
  <c r="R85" i="38" s="1"/>
  <c r="W80" i="14"/>
  <c r="Y80" i="14"/>
  <c r="U80" i="14"/>
  <c r="X80" i="14"/>
  <c r="R64" i="38" s="1"/>
  <c r="Y114" i="14"/>
  <c r="X114" i="14"/>
  <c r="R98" i="38" s="1"/>
  <c r="W114" i="14"/>
  <c r="U114" i="14"/>
  <c r="X150" i="14"/>
  <c r="R134" i="38" s="1"/>
  <c r="U150" i="14"/>
  <c r="Y150" i="14"/>
  <c r="W150" i="14"/>
  <c r="AB150" i="14" s="1"/>
  <c r="Y97" i="14"/>
  <c r="W97" i="14"/>
  <c r="X97" i="14"/>
  <c r="R81" i="38" s="1"/>
  <c r="U97" i="14"/>
  <c r="X76" i="14"/>
  <c r="R60" i="38" s="1"/>
  <c r="W76" i="14"/>
  <c r="U76" i="14"/>
  <c r="Y76" i="14"/>
  <c r="X147" i="14"/>
  <c r="R131" i="38" s="1"/>
  <c r="Y147" i="14"/>
  <c r="U147" i="14"/>
  <c r="W147" i="14"/>
  <c r="Q94" i="15" l="1"/>
  <c r="S47" i="15"/>
  <c r="Q54" i="15"/>
  <c r="S146" i="15"/>
  <c r="Q50" i="15"/>
  <c r="AB134" i="14"/>
  <c r="Q93" i="15"/>
  <c r="S145" i="15"/>
  <c r="S66" i="15"/>
  <c r="S62" i="15"/>
  <c r="S127" i="15"/>
  <c r="Q112" i="15"/>
  <c r="Q111" i="15"/>
  <c r="S123" i="15"/>
  <c r="S132" i="15"/>
  <c r="Q108" i="15"/>
  <c r="Q109" i="15"/>
  <c r="Q107" i="15"/>
  <c r="Q74" i="15"/>
  <c r="Q105" i="15"/>
  <c r="S130" i="15"/>
  <c r="Q128" i="15"/>
  <c r="Q69" i="15"/>
  <c r="Q104" i="15"/>
  <c r="Q110" i="15"/>
  <c r="Q91" i="15"/>
  <c r="S120" i="15"/>
  <c r="Q87" i="15"/>
  <c r="S82" i="15"/>
  <c r="Q92" i="15"/>
  <c r="Q113" i="15"/>
  <c r="S75" i="15"/>
  <c r="S55" i="15"/>
  <c r="Q83" i="15"/>
  <c r="Q65" i="15"/>
  <c r="L54" i="45"/>
  <c r="L51" i="45"/>
  <c r="L50" i="45"/>
  <c r="L55" i="45"/>
  <c r="AF50" i="45"/>
  <c r="AA50" i="43"/>
  <c r="N54" i="43" s="1"/>
  <c r="N54" i="45"/>
  <c r="V51" i="43"/>
  <c r="N51" i="45"/>
  <c r="L52" i="43"/>
  <c r="N50" i="43"/>
  <c r="S70" i="15"/>
  <c r="AB67" i="14"/>
  <c r="Q125" i="15"/>
  <c r="S54" i="15"/>
  <c r="S140" i="15"/>
  <c r="AB114" i="14"/>
  <c r="S141" i="15"/>
  <c r="S92" i="15"/>
  <c r="S142" i="15"/>
  <c r="Q136" i="15"/>
  <c r="AD60" i="14"/>
  <c r="S86" i="15"/>
  <c r="Q138" i="15"/>
  <c r="Q135" i="15"/>
  <c r="S78" i="15"/>
  <c r="Q60" i="15"/>
  <c r="Q119" i="15"/>
  <c r="AB145" i="14"/>
  <c r="AA73" i="14"/>
  <c r="S57" i="38"/>
  <c r="AA109" i="14"/>
  <c r="S93" i="38"/>
  <c r="AA138" i="14"/>
  <c r="S122" i="38"/>
  <c r="AA116" i="14"/>
  <c r="S100" i="38"/>
  <c r="AA159" i="14"/>
  <c r="S143" i="38"/>
  <c r="AA120" i="14"/>
  <c r="S104" i="38"/>
  <c r="AA104" i="14"/>
  <c r="S88" i="38"/>
  <c r="AA123" i="14"/>
  <c r="S107" i="38"/>
  <c r="AA117" i="14"/>
  <c r="S101" i="38"/>
  <c r="AA98" i="14"/>
  <c r="S82" i="38"/>
  <c r="AA100" i="14"/>
  <c r="S84" i="38"/>
  <c r="AA71" i="14"/>
  <c r="S55" i="38"/>
  <c r="AA65" i="14"/>
  <c r="S49" i="38"/>
  <c r="S79" i="15"/>
  <c r="BA70" i="38"/>
  <c r="AZ70" i="38"/>
  <c r="AA122" i="14"/>
  <c r="S106" i="38"/>
  <c r="AA82" i="14"/>
  <c r="S66" i="38"/>
  <c r="AA129" i="14"/>
  <c r="S113" i="38"/>
  <c r="AA94" i="14"/>
  <c r="S78" i="38"/>
  <c r="AA92" i="14"/>
  <c r="S76" i="38"/>
  <c r="AA70" i="14"/>
  <c r="S54" i="38"/>
  <c r="AA119" i="14"/>
  <c r="S103" i="38"/>
  <c r="AA90" i="14"/>
  <c r="S74" i="38"/>
  <c r="AA126" i="14"/>
  <c r="S110" i="38"/>
  <c r="AA121" i="14"/>
  <c r="S105" i="38"/>
  <c r="AA146" i="14"/>
  <c r="S130" i="38"/>
  <c r="AA95" i="14"/>
  <c r="S79" i="38"/>
  <c r="BA58" i="38"/>
  <c r="AZ58" i="38"/>
  <c r="AA125" i="14"/>
  <c r="S109" i="38"/>
  <c r="AA62" i="14"/>
  <c r="S46" i="38"/>
  <c r="AA111" i="14"/>
  <c r="S95" i="38"/>
  <c r="AA78" i="14"/>
  <c r="S62" i="38"/>
  <c r="AA83" i="14"/>
  <c r="S67" i="38"/>
  <c r="AA115" i="14"/>
  <c r="S99" i="38"/>
  <c r="AA128" i="14"/>
  <c r="S112" i="38"/>
  <c r="AA144" i="14"/>
  <c r="S128" i="38"/>
  <c r="AA99" i="14"/>
  <c r="S83" i="38"/>
  <c r="AA68" i="14"/>
  <c r="S52" i="38"/>
  <c r="AA142" i="14"/>
  <c r="S126" i="38"/>
  <c r="AA134" i="14"/>
  <c r="S118" i="38"/>
  <c r="AZ108" i="38"/>
  <c r="BA108" i="38"/>
  <c r="AA136" i="14"/>
  <c r="S120" i="38"/>
  <c r="AA85" i="14"/>
  <c r="S69" i="38"/>
  <c r="AA158" i="14"/>
  <c r="S142" i="38"/>
  <c r="AA154" i="14"/>
  <c r="S138" i="38"/>
  <c r="AA127" i="14"/>
  <c r="S111" i="38"/>
  <c r="AA130" i="14"/>
  <c r="S114" i="38"/>
  <c r="AA103" i="14"/>
  <c r="S87" i="38"/>
  <c r="AA147" i="14"/>
  <c r="S131" i="38"/>
  <c r="AA101" i="14"/>
  <c r="S85" i="38"/>
  <c r="AA88" i="14"/>
  <c r="S72" i="38"/>
  <c r="AA131" i="14"/>
  <c r="S115" i="38"/>
  <c r="AA77" i="14"/>
  <c r="S61" i="38"/>
  <c r="AA67" i="14"/>
  <c r="S51" i="38"/>
  <c r="AA89" i="14"/>
  <c r="S73" i="38"/>
  <c r="AA139" i="14"/>
  <c r="S123" i="38"/>
  <c r="AA155" i="14"/>
  <c r="S139" i="38"/>
  <c r="AR60" i="14"/>
  <c r="T44" i="38"/>
  <c r="AA149" i="14"/>
  <c r="S133" i="38"/>
  <c r="Q59" i="15"/>
  <c r="AA153" i="14"/>
  <c r="S137" i="38"/>
  <c r="AA97" i="14"/>
  <c r="S81" i="38"/>
  <c r="AA114" i="14"/>
  <c r="S98" i="38"/>
  <c r="AZ80" i="38"/>
  <c r="BA80" i="38"/>
  <c r="AA157" i="14"/>
  <c r="S141" i="38"/>
  <c r="AA108" i="14"/>
  <c r="S92" i="38"/>
  <c r="AA112" i="14"/>
  <c r="S96" i="38"/>
  <c r="AA141" i="14"/>
  <c r="S125" i="38"/>
  <c r="AA107" i="14"/>
  <c r="S91" i="38"/>
  <c r="AA63" i="14"/>
  <c r="S47" i="38"/>
  <c r="AA79" i="14"/>
  <c r="S63" i="38"/>
  <c r="AA106" i="14"/>
  <c r="S90" i="38"/>
  <c r="AZ44" i="38"/>
  <c r="BA44" i="38"/>
  <c r="BA77" i="38"/>
  <c r="AZ77" i="38"/>
  <c r="AZ144" i="38"/>
  <c r="BA144" i="38"/>
  <c r="AA66" i="14"/>
  <c r="S50" i="38"/>
  <c r="AA145" i="14"/>
  <c r="S129" i="38"/>
  <c r="AA110" i="14"/>
  <c r="S94" i="38"/>
  <c r="AA105" i="14"/>
  <c r="S89" i="38"/>
  <c r="AA150" i="14"/>
  <c r="S134" i="38"/>
  <c r="AA151" i="14"/>
  <c r="S135" i="38"/>
  <c r="AA69" i="14"/>
  <c r="S53" i="38"/>
  <c r="AA87" i="14"/>
  <c r="S71" i="38"/>
  <c r="AA135" i="14"/>
  <c r="S119" i="38"/>
  <c r="AA140" i="14"/>
  <c r="S124" i="38"/>
  <c r="AA84" i="14"/>
  <c r="S68" i="38"/>
  <c r="AA152" i="14"/>
  <c r="S136" i="38"/>
  <c r="AA61" i="14"/>
  <c r="S45" i="38"/>
  <c r="AA76" i="14"/>
  <c r="S60" i="38"/>
  <c r="AA156" i="14"/>
  <c r="S140" i="38"/>
  <c r="AA81" i="14"/>
  <c r="S65" i="38"/>
  <c r="AA132" i="14"/>
  <c r="S116" i="38"/>
  <c r="AA75" i="14"/>
  <c r="S59" i="38"/>
  <c r="AA80" i="14"/>
  <c r="S64" i="38"/>
  <c r="AA148" i="14"/>
  <c r="S132" i="38"/>
  <c r="AA72" i="14"/>
  <c r="S56" i="38"/>
  <c r="AA91" i="14"/>
  <c r="S75" i="38"/>
  <c r="AA133" i="14"/>
  <c r="S117" i="38"/>
  <c r="AA143" i="14"/>
  <c r="S127" i="38"/>
  <c r="AA102" i="14"/>
  <c r="S86" i="38"/>
  <c r="AA113" i="14"/>
  <c r="S97" i="38"/>
  <c r="AA64" i="14"/>
  <c r="S48" i="38"/>
  <c r="AA137" i="14"/>
  <c r="S121" i="38"/>
  <c r="BA102" i="38"/>
  <c r="AZ102" i="38"/>
  <c r="AB87" i="14"/>
  <c r="AB101" i="14"/>
  <c r="AB130" i="14"/>
  <c r="AB135" i="14"/>
  <c r="AB103" i="14"/>
  <c r="AB120" i="14"/>
  <c r="AB80" i="14"/>
  <c r="AB136" i="14"/>
  <c r="AB63" i="14"/>
  <c r="AB71" i="14"/>
  <c r="AB149" i="14"/>
  <c r="AB89" i="14"/>
  <c r="AB79" i="14"/>
  <c r="AB88" i="14"/>
  <c r="AB125" i="14"/>
  <c r="AB153" i="14"/>
  <c r="AB111" i="14"/>
  <c r="AB159" i="14"/>
  <c r="AB83" i="14"/>
  <c r="AB98" i="14"/>
  <c r="AB115" i="14"/>
  <c r="AB90" i="14"/>
  <c r="AB143" i="14"/>
  <c r="AB148" i="14"/>
  <c r="AB106" i="14"/>
  <c r="AB151" i="14"/>
  <c r="AB69" i="14"/>
  <c r="AB66" i="14"/>
  <c r="AB76" i="14"/>
  <c r="AB110" i="14"/>
  <c r="AB61" i="14"/>
  <c r="AB72" i="14"/>
  <c r="AB105" i="14"/>
  <c r="AB97" i="14"/>
  <c r="AB70" i="14"/>
  <c r="AB142" i="14"/>
  <c r="AB92" i="14"/>
  <c r="AB108" i="14"/>
  <c r="AB131" i="14"/>
  <c r="AB157" i="14"/>
  <c r="AB112" i="14"/>
  <c r="AB141" i="14"/>
  <c r="AB113" i="14"/>
  <c r="AB102" i="14"/>
  <c r="AB154" i="14"/>
  <c r="AB75" i="14"/>
  <c r="AB140" i="14"/>
  <c r="AB146" i="14"/>
  <c r="AB122" i="14"/>
  <c r="AB119" i="14"/>
  <c r="AB144" i="14"/>
  <c r="AB81" i="14"/>
  <c r="AB158" i="14"/>
  <c r="AB65" i="14"/>
  <c r="AB155" i="14"/>
  <c r="AB77" i="14"/>
  <c r="AB107" i="14"/>
  <c r="AB138" i="14"/>
  <c r="AB94" i="14"/>
  <c r="AB156" i="14"/>
  <c r="AB85" i="14"/>
  <c r="AB100" i="14"/>
  <c r="AB137" i="14"/>
  <c r="AB123" i="14"/>
  <c r="AB121" i="14"/>
  <c r="AB117" i="14"/>
  <c r="AB95" i="14"/>
  <c r="AB132" i="14"/>
  <c r="AB129" i="14"/>
  <c r="AB133" i="14"/>
  <c r="AB126" i="14"/>
  <c r="AB152" i="14"/>
  <c r="HN124" i="14"/>
  <c r="AB127" i="14"/>
  <c r="AB96" i="14"/>
  <c r="AB147" i="14"/>
  <c r="AB62" i="14"/>
  <c r="HN93" i="14"/>
  <c r="HN118" i="14"/>
  <c r="HN160" i="14"/>
  <c r="AR74" i="14"/>
  <c r="IW74" i="14"/>
  <c r="BH118" i="14"/>
  <c r="IW118" i="14"/>
  <c r="AR160" i="14"/>
  <c r="IW160" i="14"/>
  <c r="IX160" i="14" s="1"/>
  <c r="IZ160" i="14" s="1"/>
  <c r="AR93" i="14"/>
  <c r="IW93" i="14"/>
  <c r="IW60" i="14"/>
  <c r="AR124" i="14"/>
  <c r="IW124" i="14"/>
  <c r="BH86" i="14"/>
  <c r="IW86" i="14"/>
  <c r="BH74" i="14"/>
  <c r="GX67" i="14"/>
  <c r="HN67" i="14" s="1"/>
  <c r="GX113" i="14"/>
  <c r="HN113" i="14" s="1"/>
  <c r="GX97" i="14"/>
  <c r="HF97" i="14" s="1"/>
  <c r="GX80" i="14"/>
  <c r="HF80" i="14" s="1"/>
  <c r="GX103" i="14"/>
  <c r="HN103" i="14" s="1"/>
  <c r="GX96" i="14"/>
  <c r="HF96" i="14" s="1"/>
  <c r="GX133" i="14"/>
  <c r="HN133" i="14" s="1"/>
  <c r="GX92" i="14"/>
  <c r="HF92" i="14" s="1"/>
  <c r="GX61" i="14"/>
  <c r="HF61" i="14" s="1"/>
  <c r="GX117" i="14"/>
  <c r="HN117" i="14" s="1"/>
  <c r="GX79" i="14"/>
  <c r="HF79" i="14" s="1"/>
  <c r="GX64" i="14"/>
  <c r="HN64" i="14" s="1"/>
  <c r="BH124" i="14"/>
  <c r="AZ74" i="14"/>
  <c r="GX127" i="14"/>
  <c r="HN127" i="14" s="1"/>
  <c r="GX114" i="14"/>
  <c r="HF114" i="14" s="1"/>
  <c r="GX154" i="14"/>
  <c r="HF154" i="14" s="1"/>
  <c r="GX75" i="14"/>
  <c r="HF75" i="14" s="1"/>
  <c r="GX159" i="14"/>
  <c r="HN159" i="14" s="1"/>
  <c r="GX104" i="14"/>
  <c r="HF104" i="14" s="1"/>
  <c r="GX135" i="14"/>
  <c r="HF135" i="14" s="1"/>
  <c r="GX85" i="14"/>
  <c r="HN85" i="14" s="1"/>
  <c r="GX90" i="14"/>
  <c r="HF90" i="14" s="1"/>
  <c r="GX99" i="14"/>
  <c r="HF99" i="14" s="1"/>
  <c r="GX81" i="14"/>
  <c r="HF81" i="14" s="1"/>
  <c r="AZ124" i="14"/>
  <c r="AZ118" i="14"/>
  <c r="BH93" i="14"/>
  <c r="GX136" i="14"/>
  <c r="HN136" i="14" s="1"/>
  <c r="GX73" i="14"/>
  <c r="HF73" i="14" s="1"/>
  <c r="GX148" i="14"/>
  <c r="HF148" i="14" s="1"/>
  <c r="GX82" i="14"/>
  <c r="HN82" i="14" s="1"/>
  <c r="GX111" i="14"/>
  <c r="HF111" i="14" s="1"/>
  <c r="GX138" i="14"/>
  <c r="HF138" i="14" s="1"/>
  <c r="GX157" i="14"/>
  <c r="HN157" i="14" s="1"/>
  <c r="GX122" i="14"/>
  <c r="HF122" i="14" s="1"/>
  <c r="GX94" i="14"/>
  <c r="HN94" i="14" s="1"/>
  <c r="GX110" i="14"/>
  <c r="HF110" i="14" s="1"/>
  <c r="GX125" i="14"/>
  <c r="HF125" i="14" s="1"/>
  <c r="GX121" i="14"/>
  <c r="HN121" i="14" s="1"/>
  <c r="GX139" i="14"/>
  <c r="HF139" i="14" s="1"/>
  <c r="GX95" i="14"/>
  <c r="HN95" i="14" s="1"/>
  <c r="GX65" i="14"/>
  <c r="HN65" i="14" s="1"/>
  <c r="AR118" i="14"/>
  <c r="AZ93" i="14"/>
  <c r="GX109" i="14"/>
  <c r="HN109" i="14" s="1"/>
  <c r="AA96" i="14"/>
  <c r="AC96" i="14" s="1"/>
  <c r="GX120" i="14"/>
  <c r="HN120" i="14" s="1"/>
  <c r="GX152" i="14"/>
  <c r="HN152" i="14" s="1"/>
  <c r="GX158" i="14"/>
  <c r="HF158" i="14" s="1"/>
  <c r="GX150" i="14"/>
  <c r="HF150" i="14" s="1"/>
  <c r="GX88" i="14"/>
  <c r="HF88" i="14" s="1"/>
  <c r="GX130" i="14"/>
  <c r="HN130" i="14" s="1"/>
  <c r="GX151" i="14"/>
  <c r="HF151" i="14" s="1"/>
  <c r="GX87" i="14"/>
  <c r="HF87" i="14" s="1"/>
  <c r="GX70" i="14"/>
  <c r="HF70" i="14" s="1"/>
  <c r="GX144" i="14"/>
  <c r="HN144" i="14" s="1"/>
  <c r="GX84" i="14"/>
  <c r="HN84" i="14" s="1"/>
  <c r="GX98" i="14"/>
  <c r="HF98" i="14" s="1"/>
  <c r="GX71" i="14"/>
  <c r="HF71" i="14" s="1"/>
  <c r="HN74" i="14"/>
  <c r="AZ160" i="14"/>
  <c r="GX131" i="14"/>
  <c r="HF131" i="14" s="1"/>
  <c r="GX69" i="14"/>
  <c r="HF69" i="14" s="1"/>
  <c r="GX119" i="14"/>
  <c r="HF119" i="14" s="1"/>
  <c r="GX76" i="14"/>
  <c r="HN76" i="14" s="1"/>
  <c r="GX147" i="14"/>
  <c r="HN147" i="14" s="1"/>
  <c r="GX78" i="14"/>
  <c r="HN78" i="14" s="1"/>
  <c r="GX129" i="14"/>
  <c r="HN129" i="14" s="1"/>
  <c r="GX112" i="14"/>
  <c r="HF112" i="14" s="1"/>
  <c r="GX141" i="14"/>
  <c r="HF141" i="14" s="1"/>
  <c r="GX89" i="14"/>
  <c r="HN89" i="14" s="1"/>
  <c r="GX115" i="14"/>
  <c r="HF115" i="14" s="1"/>
  <c r="GX140" i="14"/>
  <c r="HN140" i="14" s="1"/>
  <c r="GX63" i="14"/>
  <c r="HF63" i="14" s="1"/>
  <c r="GX66" i="14"/>
  <c r="HN66" i="14" s="1"/>
  <c r="GX146" i="14"/>
  <c r="HF146" i="14" s="1"/>
  <c r="GX153" i="14"/>
  <c r="HF153" i="14" s="1"/>
  <c r="GX134" i="14"/>
  <c r="HN134" i="14" s="1"/>
  <c r="GX106" i="14"/>
  <c r="HF106" i="14" s="1"/>
  <c r="BH160" i="14"/>
  <c r="AZ60" i="14"/>
  <c r="AZ86" i="14"/>
  <c r="GX101" i="14"/>
  <c r="HN101" i="14" s="1"/>
  <c r="GX145" i="14"/>
  <c r="HN145" i="14" s="1"/>
  <c r="GX77" i="14"/>
  <c r="HN77" i="14" s="1"/>
  <c r="GX108" i="14"/>
  <c r="HF108" i="14" s="1"/>
  <c r="GX156" i="14"/>
  <c r="HF156" i="14" s="1"/>
  <c r="GX128" i="14"/>
  <c r="HN128" i="14" s="1"/>
  <c r="GX126" i="14"/>
  <c r="HN126" i="14" s="1"/>
  <c r="GX102" i="14"/>
  <c r="HF102" i="14" s="1"/>
  <c r="GX100" i="14"/>
  <c r="HF100" i="14" s="1"/>
  <c r="HN86" i="14"/>
  <c r="BH60" i="14"/>
  <c r="AR86" i="14"/>
  <c r="GX142" i="14"/>
  <c r="HF142" i="14" s="1"/>
  <c r="GX149" i="14"/>
  <c r="HF149" i="14" s="1"/>
  <c r="GX62" i="14"/>
  <c r="HF62" i="14" s="1"/>
  <c r="GX72" i="14"/>
  <c r="HN72" i="14" s="1"/>
  <c r="GX132" i="14"/>
  <c r="HN132" i="14" s="1"/>
  <c r="GX116" i="14"/>
  <c r="HN116" i="14" s="1"/>
  <c r="GX91" i="14"/>
  <c r="HN91" i="14" s="1"/>
  <c r="GX83" i="14"/>
  <c r="HN83" i="14" s="1"/>
  <c r="GX143" i="14"/>
  <c r="HN143" i="14" s="1"/>
  <c r="GX107" i="14"/>
  <c r="HF107" i="14" s="1"/>
  <c r="GX123" i="14"/>
  <c r="HN123" i="14" s="1"/>
  <c r="GX105" i="14"/>
  <c r="HF105" i="14" s="1"/>
  <c r="GX68" i="14"/>
  <c r="HF68" i="14" s="1"/>
  <c r="GX155" i="14"/>
  <c r="HN155" i="14" s="1"/>
  <c r="GX137" i="14"/>
  <c r="HF137" i="14" s="1"/>
  <c r="G23" i="6"/>
  <c r="H23" i="6" s="1"/>
  <c r="G109" i="6"/>
  <c r="H109" i="6" s="1"/>
  <c r="G77" i="6"/>
  <c r="H77" i="6" s="1"/>
  <c r="G28" i="6"/>
  <c r="H28" i="6" s="1"/>
  <c r="G73" i="6"/>
  <c r="H73" i="6" s="1"/>
  <c r="G65" i="6"/>
  <c r="H65" i="6" s="1"/>
  <c r="G112" i="6"/>
  <c r="H112" i="6" s="1"/>
  <c r="G94" i="6"/>
  <c r="H94" i="6" s="1"/>
  <c r="G51" i="6"/>
  <c r="H51" i="6" s="1"/>
  <c r="G104" i="6"/>
  <c r="H104" i="6" s="1"/>
  <c r="G59" i="6"/>
  <c r="H59" i="6" s="1"/>
  <c r="G85" i="6"/>
  <c r="H85" i="6" s="1"/>
  <c r="G90" i="6"/>
  <c r="H90" i="6" s="1"/>
  <c r="G48" i="6"/>
  <c r="H48" i="6" s="1"/>
  <c r="G115" i="6"/>
  <c r="H115" i="6" s="1"/>
  <c r="G22" i="6"/>
  <c r="H22" i="6" s="1"/>
  <c r="G45" i="6"/>
  <c r="H45" i="6" s="1"/>
  <c r="G82" i="6"/>
  <c r="H82" i="6" s="1"/>
  <c r="G40" i="6"/>
  <c r="H40" i="6" s="1"/>
  <c r="G92" i="6"/>
  <c r="H92" i="6" s="1"/>
  <c r="G26" i="6"/>
  <c r="H26" i="6" s="1"/>
  <c r="G87" i="6"/>
  <c r="H87" i="6" s="1"/>
  <c r="G84" i="6"/>
  <c r="H84" i="6" s="1"/>
  <c r="D9" i="6"/>
  <c r="G79" i="6"/>
  <c r="H79" i="6" s="1"/>
  <c r="G38" i="6"/>
  <c r="H38" i="6" s="1"/>
  <c r="G76" i="6"/>
  <c r="H76" i="6" s="1"/>
  <c r="G74" i="6"/>
  <c r="H74" i="6" s="1"/>
  <c r="G96" i="6"/>
  <c r="H96" i="6" s="1"/>
  <c r="G117" i="6"/>
  <c r="H117" i="6" s="1"/>
  <c r="G102" i="6"/>
  <c r="H102" i="6" s="1"/>
  <c r="G93" i="6"/>
  <c r="H93" i="6" s="1"/>
  <c r="G29" i="6"/>
  <c r="H29" i="6" s="1"/>
  <c r="G68" i="6"/>
  <c r="H68" i="6" s="1"/>
  <c r="G99" i="6"/>
  <c r="H99" i="6" s="1"/>
  <c r="G35" i="6"/>
  <c r="H35" i="6" s="1"/>
  <c r="G66" i="6"/>
  <c r="H66" i="6" s="1"/>
  <c r="G113" i="6"/>
  <c r="H113" i="6" s="1"/>
  <c r="G49" i="6"/>
  <c r="H49" i="6" s="1"/>
  <c r="G88" i="6"/>
  <c r="H88" i="6" s="1"/>
  <c r="G24" i="6"/>
  <c r="H24" i="6" s="1"/>
  <c r="G63" i="6"/>
  <c r="H63" i="6" s="1"/>
  <c r="G37" i="6"/>
  <c r="H37" i="6" s="1"/>
  <c r="G107" i="6"/>
  <c r="H107" i="6" s="1"/>
  <c r="G20" i="6"/>
  <c r="H20" i="6" s="1"/>
  <c r="G57" i="6"/>
  <c r="H57" i="6" s="1"/>
  <c r="G71" i="6"/>
  <c r="H71" i="6" s="1"/>
  <c r="G53" i="6"/>
  <c r="H53" i="6" s="1"/>
  <c r="G70" i="6"/>
  <c r="H70" i="6" s="1"/>
  <c r="G61" i="6"/>
  <c r="H61" i="6" s="1"/>
  <c r="G21" i="6"/>
  <c r="H21" i="6" s="1"/>
  <c r="G60" i="6"/>
  <c r="H60" i="6" s="1"/>
  <c r="G91" i="6"/>
  <c r="H91" i="6" s="1"/>
  <c r="G27" i="6"/>
  <c r="H27" i="6" s="1"/>
  <c r="G58" i="6"/>
  <c r="H58" i="6" s="1"/>
  <c r="G105" i="6"/>
  <c r="H105" i="6" s="1"/>
  <c r="G41" i="6"/>
  <c r="H41" i="6" s="1"/>
  <c r="G80" i="6"/>
  <c r="H80" i="6" s="1"/>
  <c r="G119" i="6"/>
  <c r="H119" i="6" s="1"/>
  <c r="G55" i="6"/>
  <c r="H55" i="6" s="1"/>
  <c r="G62" i="6"/>
  <c r="H62" i="6" s="1"/>
  <c r="G43" i="6"/>
  <c r="H43" i="6" s="1"/>
  <c r="G32" i="6"/>
  <c r="H32" i="6" s="1"/>
  <c r="G110" i="6"/>
  <c r="H110" i="6" s="1"/>
  <c r="G30" i="6"/>
  <c r="H30" i="6" s="1"/>
  <c r="G118" i="6"/>
  <c r="H118" i="6" s="1"/>
  <c r="G116" i="6"/>
  <c r="H116" i="6" s="1"/>
  <c r="G52" i="6"/>
  <c r="H52" i="6" s="1"/>
  <c r="G83" i="6"/>
  <c r="H83" i="6" s="1"/>
  <c r="G114" i="6"/>
  <c r="H114" i="6" s="1"/>
  <c r="G50" i="6"/>
  <c r="H50" i="6" s="1"/>
  <c r="G97" i="6"/>
  <c r="H97" i="6" s="1"/>
  <c r="G33" i="6"/>
  <c r="H33" i="6" s="1"/>
  <c r="G72" i="6"/>
  <c r="H72" i="6" s="1"/>
  <c r="G111" i="6"/>
  <c r="H111" i="6" s="1"/>
  <c r="G47" i="6"/>
  <c r="H47" i="6" s="1"/>
  <c r="G78" i="6"/>
  <c r="H78" i="6" s="1"/>
  <c r="G101" i="6"/>
  <c r="H101" i="6" s="1"/>
  <c r="G86" i="6"/>
  <c r="H86" i="6" s="1"/>
  <c r="G108" i="6"/>
  <c r="H108" i="6" s="1"/>
  <c r="G44" i="6"/>
  <c r="H44" i="6" s="1"/>
  <c r="G75" i="6"/>
  <c r="H75" i="6" s="1"/>
  <c r="G106" i="6"/>
  <c r="H106" i="6" s="1"/>
  <c r="G42" i="6"/>
  <c r="H42" i="6" s="1"/>
  <c r="G89" i="6"/>
  <c r="H89" i="6" s="1"/>
  <c r="G25" i="6"/>
  <c r="H25" i="6" s="1"/>
  <c r="G64" i="6"/>
  <c r="H64" i="6" s="1"/>
  <c r="G103" i="6"/>
  <c r="H103" i="6" s="1"/>
  <c r="G39" i="6"/>
  <c r="H39" i="6" s="1"/>
  <c r="G46" i="6"/>
  <c r="H46" i="6" s="1"/>
  <c r="G69" i="6"/>
  <c r="H69" i="6" s="1"/>
  <c r="G54" i="6"/>
  <c r="H54" i="6" s="1"/>
  <c r="G100" i="6"/>
  <c r="H100" i="6" s="1"/>
  <c r="G36" i="6"/>
  <c r="H36" i="6" s="1"/>
  <c r="G67" i="6"/>
  <c r="H67" i="6" s="1"/>
  <c r="G98" i="6"/>
  <c r="H98" i="6" s="1"/>
  <c r="G34" i="6"/>
  <c r="H34" i="6" s="1"/>
  <c r="G81" i="6"/>
  <c r="H81" i="6" s="1"/>
  <c r="G120" i="6"/>
  <c r="H120" i="6" s="1"/>
  <c r="G56" i="6"/>
  <c r="H56" i="6" s="1"/>
  <c r="G95" i="6"/>
  <c r="H95" i="6" s="1"/>
  <c r="HN122" i="14"/>
  <c r="EV150" i="14"/>
  <c r="EN150" i="14"/>
  <c r="FD150" i="14"/>
  <c r="FD96" i="14"/>
  <c r="EN96" i="14"/>
  <c r="EV96" i="14"/>
  <c r="FD120" i="14"/>
  <c r="EN120" i="14"/>
  <c r="EV120" i="14"/>
  <c r="EV144" i="14"/>
  <c r="FD144" i="14"/>
  <c r="EN144" i="14"/>
  <c r="EV127" i="14"/>
  <c r="EN127" i="14"/>
  <c r="FD127" i="14"/>
  <c r="EN119" i="14"/>
  <c r="EV119" i="14"/>
  <c r="FD119" i="14"/>
  <c r="EN113" i="14"/>
  <c r="FD113" i="14"/>
  <c r="EV113" i="14"/>
  <c r="EV154" i="14"/>
  <c r="FD154" i="14"/>
  <c r="EN154" i="14"/>
  <c r="FD103" i="14"/>
  <c r="EV103" i="14"/>
  <c r="EN103" i="14"/>
  <c r="EV116" i="14"/>
  <c r="FD116" i="14"/>
  <c r="EN116" i="14"/>
  <c r="EV104" i="14"/>
  <c r="FD104" i="14"/>
  <c r="EN104" i="14"/>
  <c r="EN143" i="14"/>
  <c r="EV143" i="14"/>
  <c r="FD143" i="14"/>
  <c r="EV110" i="14"/>
  <c r="FD110" i="14"/>
  <c r="EN110" i="14"/>
  <c r="EV107" i="14"/>
  <c r="FD107" i="14"/>
  <c r="EN107" i="14"/>
  <c r="EN90" i="14"/>
  <c r="EV90" i="14"/>
  <c r="FD90" i="14"/>
  <c r="EV114" i="14"/>
  <c r="EN114" i="14"/>
  <c r="FD114" i="14"/>
  <c r="EV88" i="14"/>
  <c r="FD88" i="14"/>
  <c r="EN88" i="14"/>
  <c r="FD111" i="14"/>
  <c r="EV111" i="14"/>
  <c r="EN111" i="14"/>
  <c r="EN157" i="14"/>
  <c r="EV157" i="14"/>
  <c r="FD157" i="14"/>
  <c r="EN70" i="14"/>
  <c r="EV70" i="14"/>
  <c r="FD70" i="14"/>
  <c r="EV105" i="14"/>
  <c r="EN105" i="14"/>
  <c r="FD105" i="14"/>
  <c r="FD102" i="14"/>
  <c r="EN102" i="14"/>
  <c r="EV102" i="14"/>
  <c r="EV158" i="14"/>
  <c r="EN158" i="14"/>
  <c r="FD158" i="14"/>
  <c r="EV71" i="14"/>
  <c r="EN71" i="14"/>
  <c r="FD71" i="14"/>
  <c r="HN60" i="14"/>
  <c r="EV100" i="14"/>
  <c r="EN100" i="14"/>
  <c r="FD100" i="14"/>
  <c r="EV87" i="14"/>
  <c r="FD87" i="14"/>
  <c r="EN87" i="14"/>
  <c r="EN136" i="14"/>
  <c r="EV136" i="14"/>
  <c r="FD136" i="14"/>
  <c r="EN112" i="14"/>
  <c r="EV112" i="14"/>
  <c r="FD112" i="14"/>
  <c r="EN125" i="14"/>
  <c r="FD125" i="14"/>
  <c r="EV125" i="14"/>
  <c r="EV61" i="14"/>
  <c r="EN61" i="14"/>
  <c r="FD61" i="14"/>
  <c r="FD121" i="14"/>
  <c r="EV121" i="14"/>
  <c r="EN121" i="14"/>
  <c r="FD142" i="14"/>
  <c r="EN142" i="14"/>
  <c r="EV142" i="14"/>
  <c r="EN79" i="14"/>
  <c r="EV79" i="14"/>
  <c r="FD79" i="14"/>
  <c r="EN65" i="14"/>
  <c r="EV65" i="14"/>
  <c r="FD65" i="14"/>
  <c r="EV147" i="14"/>
  <c r="FD147" i="14"/>
  <c r="EN147" i="14"/>
  <c r="EN130" i="14"/>
  <c r="FD130" i="14"/>
  <c r="EV130" i="14"/>
  <c r="EV132" i="14"/>
  <c r="FD132" i="14"/>
  <c r="EN132" i="14"/>
  <c r="FD138" i="14"/>
  <c r="EN138" i="14"/>
  <c r="EV138" i="14"/>
  <c r="EV73" i="14"/>
  <c r="EN73" i="14"/>
  <c r="FD73" i="14"/>
  <c r="EN115" i="14"/>
  <c r="EV115" i="14"/>
  <c r="FD115" i="14"/>
  <c r="EN139" i="14"/>
  <c r="EV139" i="14"/>
  <c r="FD139" i="14"/>
  <c r="EV80" i="14"/>
  <c r="FD80" i="14"/>
  <c r="EN80" i="14"/>
  <c r="FD77" i="14"/>
  <c r="EN77" i="14"/>
  <c r="EV77" i="14"/>
  <c r="EV92" i="14"/>
  <c r="EN92" i="14"/>
  <c r="FD92" i="14"/>
  <c r="FD152" i="14"/>
  <c r="EV152" i="14"/>
  <c r="EN152" i="14"/>
  <c r="FD149" i="14"/>
  <c r="EN149" i="14"/>
  <c r="EV149" i="14"/>
  <c r="EV76" i="14"/>
  <c r="FD76" i="14"/>
  <c r="EN76" i="14"/>
  <c r="EN67" i="14"/>
  <c r="EV67" i="14"/>
  <c r="FD67" i="14"/>
  <c r="EN141" i="14"/>
  <c r="EV141" i="14"/>
  <c r="FD141" i="14"/>
  <c r="FD89" i="14"/>
  <c r="EN89" i="14"/>
  <c r="EV89" i="14"/>
  <c r="FD85" i="14"/>
  <c r="EN85" i="14"/>
  <c r="EV85" i="14"/>
  <c r="EV140" i="14"/>
  <c r="EN140" i="14"/>
  <c r="FD140" i="14"/>
  <c r="EV84" i="14"/>
  <c r="FD84" i="14"/>
  <c r="EN84" i="14"/>
  <c r="FD81" i="14"/>
  <c r="EN81" i="14"/>
  <c r="EV81" i="14"/>
  <c r="FD117" i="14"/>
  <c r="EN117" i="14"/>
  <c r="EV117" i="14"/>
  <c r="EV153" i="14"/>
  <c r="EN153" i="14"/>
  <c r="FD153" i="14"/>
  <c r="FD64" i="14"/>
  <c r="EN64" i="14"/>
  <c r="EV64" i="14"/>
  <c r="EN131" i="14"/>
  <c r="EV131" i="14"/>
  <c r="FD131" i="14"/>
  <c r="EN69" i="14"/>
  <c r="EV69" i="14"/>
  <c r="FD69" i="14"/>
  <c r="EN63" i="14"/>
  <c r="EV63" i="14"/>
  <c r="FD63" i="14"/>
  <c r="FD68" i="14"/>
  <c r="EN68" i="14"/>
  <c r="EV68" i="14"/>
  <c r="EN98" i="14"/>
  <c r="FD98" i="14"/>
  <c r="EV98" i="14"/>
  <c r="EV148" i="14"/>
  <c r="FD148" i="14"/>
  <c r="EN148" i="14"/>
  <c r="FD72" i="14"/>
  <c r="EN72" i="14"/>
  <c r="EV72" i="14"/>
  <c r="EV82" i="14"/>
  <c r="EN82" i="14"/>
  <c r="FD82" i="14"/>
  <c r="FD78" i="14"/>
  <c r="EN78" i="14"/>
  <c r="EV78" i="14"/>
  <c r="EN75" i="14"/>
  <c r="EV75" i="14"/>
  <c r="FD75" i="14"/>
  <c r="EN129" i="14"/>
  <c r="EV129" i="14"/>
  <c r="FD129" i="14"/>
  <c r="EV159" i="14"/>
  <c r="FD159" i="14"/>
  <c r="EN159" i="14"/>
  <c r="EV156" i="14"/>
  <c r="FD156" i="14"/>
  <c r="EN156" i="14"/>
  <c r="FD128" i="14"/>
  <c r="EN128" i="14"/>
  <c r="EV128" i="14"/>
  <c r="EV126" i="14"/>
  <c r="EN126" i="14"/>
  <c r="FD126" i="14"/>
  <c r="FD99" i="14"/>
  <c r="EN99" i="14"/>
  <c r="EV99" i="14"/>
  <c r="EV66" i="14"/>
  <c r="FD66" i="14"/>
  <c r="EN66" i="14"/>
  <c r="EV146" i="14"/>
  <c r="FD146" i="14"/>
  <c r="EN146" i="14"/>
  <c r="EV95" i="14"/>
  <c r="EN95" i="14"/>
  <c r="FD95" i="14"/>
  <c r="FD134" i="14"/>
  <c r="EN134" i="14"/>
  <c r="EV134" i="14"/>
  <c r="EN106" i="14"/>
  <c r="EV106" i="14"/>
  <c r="FD106" i="14"/>
  <c r="FD101" i="14"/>
  <c r="EN101" i="14"/>
  <c r="EV101" i="14"/>
  <c r="EV123" i="14"/>
  <c r="EN123" i="14"/>
  <c r="FD123" i="14"/>
  <c r="FD97" i="14"/>
  <c r="EV97" i="14"/>
  <c r="EN97" i="14"/>
  <c r="EN109" i="14"/>
  <c r="EV109" i="14"/>
  <c r="FD109" i="14"/>
  <c r="FD108" i="14"/>
  <c r="EN108" i="14"/>
  <c r="EV108" i="14"/>
  <c r="EN62" i="14"/>
  <c r="EV62" i="14"/>
  <c r="FD62" i="14"/>
  <c r="EV151" i="14"/>
  <c r="FD151" i="14"/>
  <c r="EN151" i="14"/>
  <c r="EN122" i="14"/>
  <c r="EV122" i="14"/>
  <c r="FD122" i="14"/>
  <c r="FD133" i="14"/>
  <c r="EN133" i="14"/>
  <c r="EV133" i="14"/>
  <c r="FD145" i="14"/>
  <c r="EN145" i="14"/>
  <c r="EV145" i="14"/>
  <c r="FD91" i="14"/>
  <c r="EN91" i="14"/>
  <c r="EV91" i="14"/>
  <c r="FD83" i="14"/>
  <c r="EN83" i="14"/>
  <c r="EV83" i="14"/>
  <c r="FD94" i="14"/>
  <c r="EN94" i="14"/>
  <c r="EV94" i="14"/>
  <c r="FD135" i="14"/>
  <c r="EN135" i="14"/>
  <c r="EV135" i="14"/>
  <c r="EN155" i="14"/>
  <c r="EV155" i="14"/>
  <c r="FD155" i="14"/>
  <c r="EV137" i="14"/>
  <c r="EN137" i="14"/>
  <c r="FD137" i="14"/>
  <c r="AC124" i="14"/>
  <c r="AD124" i="14" s="1"/>
  <c r="AC74" i="14"/>
  <c r="AD74" i="14" s="1"/>
  <c r="AC118" i="14"/>
  <c r="AD118" i="14" s="1"/>
  <c r="AC86" i="14"/>
  <c r="AD86" i="14" s="1"/>
  <c r="AC93" i="14"/>
  <c r="AD93" i="14" s="1"/>
  <c r="AE160" i="14"/>
  <c r="AC160" i="14"/>
  <c r="AD160" i="14" s="1"/>
  <c r="Z127" i="14"/>
  <c r="T111" i="38" s="1"/>
  <c r="Z80" i="14"/>
  <c r="T64" i="38" s="1"/>
  <c r="Z145" i="14"/>
  <c r="T129" i="38" s="1"/>
  <c r="Z77" i="14"/>
  <c r="T61" i="38" s="1"/>
  <c r="Z67" i="14"/>
  <c r="T51" i="38" s="1"/>
  <c r="Z120" i="14"/>
  <c r="T104" i="38" s="1"/>
  <c r="Z115" i="14"/>
  <c r="T99" i="38" s="1"/>
  <c r="Z156" i="14"/>
  <c r="T140" i="38" s="1"/>
  <c r="Z61" i="14"/>
  <c r="T45" i="38" s="1"/>
  <c r="Z102" i="14"/>
  <c r="T86" i="38" s="1"/>
  <c r="Z158" i="14"/>
  <c r="T142" i="38" s="1"/>
  <c r="Z153" i="14"/>
  <c r="T137" i="38" s="1"/>
  <c r="Z113" i="14"/>
  <c r="T97" i="38" s="1"/>
  <c r="Z97" i="14"/>
  <c r="T81" i="38" s="1"/>
  <c r="Z143" i="14"/>
  <c r="T127" i="38" s="1"/>
  <c r="Z147" i="14"/>
  <c r="T131" i="38" s="1"/>
  <c r="Z109" i="14"/>
  <c r="T93" i="38" s="1"/>
  <c r="Z78" i="14"/>
  <c r="T62" i="38" s="1"/>
  <c r="Z157" i="14"/>
  <c r="T141" i="38" s="1"/>
  <c r="Z110" i="14"/>
  <c r="T94" i="38" s="1"/>
  <c r="Z85" i="14"/>
  <c r="T69" i="38" s="1"/>
  <c r="Z63" i="14"/>
  <c r="T47" i="38" s="1"/>
  <c r="Z148" i="14"/>
  <c r="T132" i="38" s="1"/>
  <c r="Z83" i="14"/>
  <c r="T67" i="38" s="1"/>
  <c r="Z150" i="14"/>
  <c r="T134" i="38" s="1"/>
  <c r="Z88" i="14"/>
  <c r="T72" i="38" s="1"/>
  <c r="Z131" i="14"/>
  <c r="T115" i="38" s="1"/>
  <c r="Z138" i="14"/>
  <c r="T122" i="38" s="1"/>
  <c r="Z116" i="14"/>
  <c r="T100" i="38" s="1"/>
  <c r="Z133" i="14"/>
  <c r="T117" i="38" s="1"/>
  <c r="Z92" i="14"/>
  <c r="T76" i="38" s="1"/>
  <c r="Z125" i="14"/>
  <c r="T109" i="38" s="1"/>
  <c r="Z144" i="14"/>
  <c r="T128" i="38" s="1"/>
  <c r="Z100" i="14"/>
  <c r="T84" i="38" s="1"/>
  <c r="Z159" i="14"/>
  <c r="T143" i="38" s="1"/>
  <c r="Z71" i="14"/>
  <c r="T55" i="38" s="1"/>
  <c r="Z114" i="14"/>
  <c r="T98" i="38" s="1"/>
  <c r="Z130" i="14"/>
  <c r="T114" i="38" s="1"/>
  <c r="Z82" i="14"/>
  <c r="T66" i="38" s="1"/>
  <c r="Z103" i="14"/>
  <c r="T87" i="38" s="1"/>
  <c r="Z136" i="14"/>
  <c r="T120" i="38" s="1"/>
  <c r="Z90" i="14"/>
  <c r="T74" i="38" s="1"/>
  <c r="Z142" i="14"/>
  <c r="T126" i="38" s="1"/>
  <c r="Z155" i="14"/>
  <c r="T139" i="38" s="1"/>
  <c r="Z95" i="14"/>
  <c r="T79" i="38" s="1"/>
  <c r="Z79" i="14"/>
  <c r="T63" i="38" s="1"/>
  <c r="Z149" i="14"/>
  <c r="T133" i="38" s="1"/>
  <c r="Z65" i="14"/>
  <c r="T49" i="38" s="1"/>
  <c r="Z121" i="14"/>
  <c r="T105" i="38" s="1"/>
  <c r="Z154" i="14"/>
  <c r="T138" i="38" s="1"/>
  <c r="Z62" i="14"/>
  <c r="T46" i="38" s="1"/>
  <c r="Z72" i="14"/>
  <c r="T56" i="38" s="1"/>
  <c r="Z151" i="14"/>
  <c r="T135" i="38" s="1"/>
  <c r="Z132" i="14"/>
  <c r="T116" i="38" s="1"/>
  <c r="Z75" i="14"/>
  <c r="T59" i="38" s="1"/>
  <c r="Z96" i="14"/>
  <c r="T80" i="38" s="1"/>
  <c r="Z69" i="14"/>
  <c r="T53" i="38" s="1"/>
  <c r="Z87" i="14"/>
  <c r="T71" i="38" s="1"/>
  <c r="Z108" i="14"/>
  <c r="T92" i="38" s="1"/>
  <c r="Z129" i="14"/>
  <c r="T113" i="38" s="1"/>
  <c r="Z94" i="14"/>
  <c r="T78" i="38" s="1"/>
  <c r="Z104" i="14"/>
  <c r="T88" i="38" s="1"/>
  <c r="Z107" i="14"/>
  <c r="T91" i="38" s="1"/>
  <c r="Z128" i="14"/>
  <c r="T112" i="38" s="1"/>
  <c r="Z84" i="14"/>
  <c r="T68" i="38" s="1"/>
  <c r="Z126" i="14"/>
  <c r="T110" i="38" s="1"/>
  <c r="Z152" i="14"/>
  <c r="T136" i="38" s="1"/>
  <c r="Z146" i="14"/>
  <c r="T130" i="38" s="1"/>
  <c r="Z81" i="14"/>
  <c r="T65" i="38" s="1"/>
  <c r="Z76" i="14"/>
  <c r="T60" i="38" s="1"/>
  <c r="Z101" i="14"/>
  <c r="T85" i="38" s="1"/>
  <c r="Z122" i="14"/>
  <c r="T106" i="38" s="1"/>
  <c r="Z112" i="14"/>
  <c r="T96" i="38" s="1"/>
  <c r="Z89" i="14"/>
  <c r="T73" i="38" s="1"/>
  <c r="Z135" i="14"/>
  <c r="T119" i="38" s="1"/>
  <c r="Z66" i="14"/>
  <c r="T50" i="38" s="1"/>
  <c r="Z139" i="14"/>
  <c r="T123" i="38" s="1"/>
  <c r="Z117" i="14"/>
  <c r="T101" i="38" s="1"/>
  <c r="Z98" i="14"/>
  <c r="T82" i="38" s="1"/>
  <c r="Z134" i="14"/>
  <c r="T118" i="38" s="1"/>
  <c r="Z64" i="14"/>
  <c r="T48" i="38" s="1"/>
  <c r="Z106" i="14"/>
  <c r="T90" i="38" s="1"/>
  <c r="Z137" i="14"/>
  <c r="T121" i="38" s="1"/>
  <c r="Z119" i="14"/>
  <c r="T103" i="38" s="1"/>
  <c r="Z111" i="14"/>
  <c r="T95" i="38" s="1"/>
  <c r="Z91" i="14"/>
  <c r="T75" i="38" s="1"/>
  <c r="Z73" i="14"/>
  <c r="T57" i="38" s="1"/>
  <c r="Z141" i="14"/>
  <c r="T125" i="38" s="1"/>
  <c r="Z70" i="14"/>
  <c r="T54" i="38" s="1"/>
  <c r="Z140" i="14"/>
  <c r="T124" i="38" s="1"/>
  <c r="Z123" i="14"/>
  <c r="T107" i="38" s="1"/>
  <c r="Z105" i="14"/>
  <c r="T89" i="38" s="1"/>
  <c r="Z99" i="14"/>
  <c r="T83" i="38" s="1"/>
  <c r="Z68" i="14"/>
  <c r="T52" i="38" s="1"/>
  <c r="H31" i="6"/>
  <c r="L53" i="43" l="1"/>
  <c r="N51" i="43"/>
  <c r="AF50" i="43"/>
  <c r="N55" i="43" s="1"/>
  <c r="N55" i="45"/>
  <c r="HF82" i="14"/>
  <c r="BA140" i="38"/>
  <c r="AZ140" i="38"/>
  <c r="AZ91" i="38"/>
  <c r="BA91" i="38"/>
  <c r="BA141" i="38"/>
  <c r="AZ141" i="38"/>
  <c r="AZ137" i="38"/>
  <c r="BA137" i="38"/>
  <c r="AZ55" i="38"/>
  <c r="BA55" i="38"/>
  <c r="AZ107" i="38"/>
  <c r="BA107" i="38"/>
  <c r="AZ100" i="38"/>
  <c r="BA100" i="38"/>
  <c r="BA86" i="38"/>
  <c r="AZ86" i="38"/>
  <c r="AZ56" i="38"/>
  <c r="BA56" i="38"/>
  <c r="BA116" i="38"/>
  <c r="AZ116" i="38"/>
  <c r="BA45" i="38"/>
  <c r="AZ45" i="38"/>
  <c r="AZ119" i="38"/>
  <c r="BA119" i="38"/>
  <c r="AZ134" i="38"/>
  <c r="BA134" i="38"/>
  <c r="BA123" i="38"/>
  <c r="AZ123" i="38"/>
  <c r="AZ115" i="38"/>
  <c r="BA115" i="38"/>
  <c r="BA87" i="38"/>
  <c r="AZ87" i="38"/>
  <c r="AZ142" i="38"/>
  <c r="BA142" i="38"/>
  <c r="BA118" i="38"/>
  <c r="AZ118" i="38"/>
  <c r="AZ128" i="38"/>
  <c r="BA128" i="38"/>
  <c r="BA62" i="38"/>
  <c r="AZ62" i="38"/>
  <c r="BA110" i="38"/>
  <c r="AZ110" i="38"/>
  <c r="BA76" i="38"/>
  <c r="AZ76" i="38"/>
  <c r="BA106" i="38"/>
  <c r="AZ106" i="38"/>
  <c r="AF160" i="14"/>
  <c r="GM160" i="14" s="1"/>
  <c r="GN160" i="14" s="1"/>
  <c r="AZ50" i="38"/>
  <c r="BA50" i="38"/>
  <c r="AZ90" i="38"/>
  <c r="BA90" i="38"/>
  <c r="AZ125" i="38"/>
  <c r="BA125" i="38"/>
  <c r="BA84" i="38"/>
  <c r="AZ84" i="38"/>
  <c r="AZ88" i="38"/>
  <c r="BA88" i="38"/>
  <c r="BA122" i="38"/>
  <c r="AZ122" i="38"/>
  <c r="AZ53" i="38"/>
  <c r="BA53" i="38"/>
  <c r="BA121" i="38"/>
  <c r="AZ121" i="38"/>
  <c r="AZ127" i="38"/>
  <c r="BA127" i="38"/>
  <c r="AZ132" i="38"/>
  <c r="BA132" i="38"/>
  <c r="BA65" i="38"/>
  <c r="AZ65" i="38"/>
  <c r="BA136" i="38"/>
  <c r="AZ136" i="38"/>
  <c r="AZ71" i="38"/>
  <c r="BA71" i="38"/>
  <c r="AZ89" i="38"/>
  <c r="BA89" i="38"/>
  <c r="BA133" i="38"/>
  <c r="AZ133" i="38"/>
  <c r="BA73" i="38"/>
  <c r="AZ73" i="38"/>
  <c r="BA72" i="38"/>
  <c r="AZ72" i="38"/>
  <c r="AZ114" i="38"/>
  <c r="BA114" i="38"/>
  <c r="AZ69" i="38"/>
  <c r="BA69" i="38"/>
  <c r="BA126" i="38"/>
  <c r="AZ126" i="38"/>
  <c r="BA112" i="38"/>
  <c r="AZ112" i="38"/>
  <c r="BA95" i="38"/>
  <c r="AZ95" i="38"/>
  <c r="BA79" i="38"/>
  <c r="AZ79" i="38"/>
  <c r="AZ74" i="38"/>
  <c r="BA74" i="38"/>
  <c r="BA78" i="38"/>
  <c r="AZ78" i="38"/>
  <c r="AZ94" i="38"/>
  <c r="BA94" i="38"/>
  <c r="HN96" i="14"/>
  <c r="BA63" i="38"/>
  <c r="AZ63" i="38"/>
  <c r="AZ96" i="38"/>
  <c r="BA96" i="38"/>
  <c r="BA98" i="38"/>
  <c r="AZ98" i="38"/>
  <c r="AZ82" i="38"/>
  <c r="BA82" i="38"/>
  <c r="BA104" i="38"/>
  <c r="AZ104" i="38"/>
  <c r="AZ93" i="38"/>
  <c r="BA93" i="38"/>
  <c r="BA48" i="38"/>
  <c r="AZ48" i="38"/>
  <c r="BA64" i="38"/>
  <c r="AZ64" i="38"/>
  <c r="BA68" i="38"/>
  <c r="AZ68" i="38"/>
  <c r="AZ51" i="38"/>
  <c r="BA51" i="38"/>
  <c r="BA85" i="38"/>
  <c r="AZ85" i="38"/>
  <c r="AZ111" i="38"/>
  <c r="BA111" i="38"/>
  <c r="BA120" i="38"/>
  <c r="AZ120" i="38"/>
  <c r="BA52" i="38"/>
  <c r="AZ52" i="38"/>
  <c r="BA99" i="38"/>
  <c r="AZ99" i="38"/>
  <c r="AZ46" i="38"/>
  <c r="BA46" i="38"/>
  <c r="AZ130" i="38"/>
  <c r="BA130" i="38"/>
  <c r="AZ103" i="38"/>
  <c r="BA103" i="38"/>
  <c r="BA113" i="38"/>
  <c r="AZ113" i="38"/>
  <c r="AZ117" i="38"/>
  <c r="BA117" i="38"/>
  <c r="HF91" i="14"/>
  <c r="AZ47" i="38"/>
  <c r="BA47" i="38"/>
  <c r="AZ92" i="38"/>
  <c r="BA92" i="38"/>
  <c r="AZ81" i="38"/>
  <c r="BA81" i="38"/>
  <c r="AZ49" i="38"/>
  <c r="BA49" i="38"/>
  <c r="BA101" i="38"/>
  <c r="AZ101" i="38"/>
  <c r="BA143" i="38"/>
  <c r="AZ143" i="38"/>
  <c r="BA57" i="38"/>
  <c r="AZ57" i="38"/>
  <c r="BA97" i="38"/>
  <c r="AZ97" i="38"/>
  <c r="AZ75" i="38"/>
  <c r="BA75" i="38"/>
  <c r="AZ59" i="38"/>
  <c r="BA59" i="38"/>
  <c r="AZ60" i="38"/>
  <c r="BA60" i="38"/>
  <c r="BA124" i="38"/>
  <c r="AZ124" i="38"/>
  <c r="AZ135" i="38"/>
  <c r="BA135" i="38"/>
  <c r="BA129" i="38"/>
  <c r="AZ129" i="38"/>
  <c r="BA139" i="38"/>
  <c r="AZ139" i="38"/>
  <c r="BA61" i="38"/>
  <c r="AZ61" i="38"/>
  <c r="AZ131" i="38"/>
  <c r="BA131" i="38"/>
  <c r="BA138" i="38"/>
  <c r="AZ138" i="38"/>
  <c r="AZ83" i="38"/>
  <c r="BA83" i="38"/>
  <c r="BA67" i="38"/>
  <c r="AZ67" i="38"/>
  <c r="AZ109" i="38"/>
  <c r="BA109" i="38"/>
  <c r="BA105" i="38"/>
  <c r="AZ105" i="38"/>
  <c r="AZ54" i="38"/>
  <c r="BA54" i="38"/>
  <c r="AZ66" i="38"/>
  <c r="BA66" i="38"/>
  <c r="HN156" i="14"/>
  <c r="F20" i="6"/>
  <c r="J20" i="6"/>
  <c r="U20" i="6" s="1"/>
  <c r="HF121" i="14"/>
  <c r="HN90" i="14"/>
  <c r="HF101" i="14"/>
  <c r="HF132" i="14"/>
  <c r="HN63" i="14"/>
  <c r="HF159" i="14"/>
  <c r="HN102" i="14"/>
  <c r="HF65" i="14"/>
  <c r="HN151" i="14"/>
  <c r="HF147" i="14"/>
  <c r="HF157" i="14"/>
  <c r="HN137" i="14"/>
  <c r="HF127" i="14"/>
  <c r="HN80" i="14"/>
  <c r="HF84" i="14"/>
  <c r="HN108" i="14"/>
  <c r="HN125" i="14"/>
  <c r="HF113" i="14"/>
  <c r="HN92" i="14"/>
  <c r="HN141" i="14"/>
  <c r="HN158" i="14"/>
  <c r="HF134" i="14"/>
  <c r="HN148" i="14"/>
  <c r="HN62" i="14"/>
  <c r="HF72" i="14"/>
  <c r="HN153" i="14"/>
  <c r="HN146" i="14"/>
  <c r="HN142" i="14"/>
  <c r="HF152" i="14"/>
  <c r="HF144" i="14"/>
  <c r="HN105" i="14"/>
  <c r="HF76" i="14"/>
  <c r="HF133" i="14"/>
  <c r="HN104" i="14"/>
  <c r="HF94" i="14"/>
  <c r="HF83" i="14"/>
  <c r="HN87" i="14"/>
  <c r="HF78" i="14"/>
  <c r="HN69" i="14"/>
  <c r="HN88" i="14"/>
  <c r="HF89" i="14"/>
  <c r="HN106" i="14"/>
  <c r="HF103" i="14"/>
  <c r="HN98" i="14"/>
  <c r="HN99" i="14"/>
  <c r="HN114" i="14"/>
  <c r="HN79" i="14"/>
  <c r="HN150" i="14"/>
  <c r="HF109" i="14"/>
  <c r="HF143" i="14"/>
  <c r="HN139" i="14"/>
  <c r="HF129" i="14"/>
  <c r="HN119" i="14"/>
  <c r="HN110" i="14"/>
  <c r="HN135" i="14"/>
  <c r="HN81" i="14"/>
  <c r="HF64" i="14"/>
  <c r="HF95" i="14"/>
  <c r="HF120" i="14"/>
  <c r="HF145" i="14"/>
  <c r="HN115" i="14"/>
  <c r="HN68" i="14"/>
  <c r="HN70" i="14"/>
  <c r="HN71" i="14"/>
  <c r="HN73" i="14"/>
  <c r="HF128" i="14"/>
  <c r="HF67" i="14"/>
  <c r="HN149" i="14"/>
  <c r="HN107" i="14"/>
  <c r="HF116" i="14"/>
  <c r="HF140" i="14"/>
  <c r="HF85" i="14"/>
  <c r="HF136" i="14"/>
  <c r="HF155" i="14"/>
  <c r="HF126" i="14"/>
  <c r="HF77" i="14"/>
  <c r="HF130" i="14"/>
  <c r="HN111" i="14"/>
  <c r="HN138" i="14"/>
  <c r="AZ105" i="14"/>
  <c r="IW105" i="14"/>
  <c r="BH119" i="14"/>
  <c r="IW119" i="14"/>
  <c r="AZ66" i="14"/>
  <c r="IW66" i="14"/>
  <c r="AZ146" i="14"/>
  <c r="IW146" i="14"/>
  <c r="AZ129" i="14"/>
  <c r="IW129" i="14"/>
  <c r="AR72" i="14"/>
  <c r="IW72" i="14"/>
  <c r="AZ155" i="14"/>
  <c r="IW155" i="14"/>
  <c r="AR71" i="14"/>
  <c r="IW71" i="14"/>
  <c r="AZ138" i="14"/>
  <c r="IW138" i="14"/>
  <c r="AZ110" i="14"/>
  <c r="IW110" i="14"/>
  <c r="AZ153" i="14"/>
  <c r="IW153" i="14"/>
  <c r="BH77" i="14"/>
  <c r="IW77" i="14"/>
  <c r="AR123" i="14"/>
  <c r="IW123" i="14"/>
  <c r="BH137" i="14"/>
  <c r="IW137" i="14"/>
  <c r="BH135" i="14"/>
  <c r="IW135" i="14"/>
  <c r="AR152" i="14"/>
  <c r="IW152" i="14"/>
  <c r="AR108" i="14"/>
  <c r="IW108" i="14"/>
  <c r="AZ62" i="14"/>
  <c r="IW62" i="14"/>
  <c r="BH142" i="14"/>
  <c r="IW142" i="14"/>
  <c r="BH159" i="14"/>
  <c r="IW159" i="14"/>
  <c r="AZ131" i="14"/>
  <c r="IW131" i="14"/>
  <c r="AZ157" i="14"/>
  <c r="IW157" i="14"/>
  <c r="AR158" i="14"/>
  <c r="IW158" i="14"/>
  <c r="AR145" i="14"/>
  <c r="IW145" i="14"/>
  <c r="AR140" i="14"/>
  <c r="IW140" i="14"/>
  <c r="AZ106" i="14"/>
  <c r="IW106" i="14"/>
  <c r="BH89" i="14"/>
  <c r="IW89" i="14"/>
  <c r="BH126" i="14"/>
  <c r="IW126" i="14"/>
  <c r="BH87" i="14"/>
  <c r="IW87" i="14"/>
  <c r="AZ154" i="14"/>
  <c r="IW154" i="14"/>
  <c r="AZ90" i="14"/>
  <c r="IW90" i="14"/>
  <c r="AR100" i="14"/>
  <c r="IW100" i="14"/>
  <c r="AR88" i="14"/>
  <c r="IW88" i="14"/>
  <c r="BH78" i="14"/>
  <c r="IW78" i="14"/>
  <c r="BH102" i="14"/>
  <c r="IW102" i="14"/>
  <c r="BH80" i="14"/>
  <c r="IW80" i="14"/>
  <c r="BH70" i="14"/>
  <c r="IW70" i="14"/>
  <c r="AZ64" i="14"/>
  <c r="IW64" i="14"/>
  <c r="AR112" i="14"/>
  <c r="IW112" i="14"/>
  <c r="AR84" i="14"/>
  <c r="IW84" i="14"/>
  <c r="AZ69" i="14"/>
  <c r="IW69" i="14"/>
  <c r="AZ121" i="14"/>
  <c r="IW121" i="14"/>
  <c r="AZ136" i="14"/>
  <c r="IW136" i="14"/>
  <c r="BH144" i="14"/>
  <c r="IW144" i="14"/>
  <c r="AR150" i="14"/>
  <c r="IW150" i="14"/>
  <c r="AR109" i="14"/>
  <c r="IW109" i="14"/>
  <c r="BH61" i="14"/>
  <c r="IW61" i="14"/>
  <c r="AR127" i="14"/>
  <c r="IW127" i="14"/>
  <c r="BH134" i="14"/>
  <c r="IW134" i="14"/>
  <c r="BH128" i="14"/>
  <c r="IW128" i="14"/>
  <c r="AZ96" i="14"/>
  <c r="IW96" i="14"/>
  <c r="AZ65" i="14"/>
  <c r="IW65" i="14"/>
  <c r="BH103" i="14"/>
  <c r="IW103" i="14"/>
  <c r="AR125" i="14"/>
  <c r="IW125" i="14"/>
  <c r="AZ83" i="14"/>
  <c r="IW83" i="14"/>
  <c r="BH147" i="14"/>
  <c r="IW147" i="14"/>
  <c r="AR156" i="14"/>
  <c r="IW156" i="14"/>
  <c r="AR141" i="14"/>
  <c r="IW141" i="14"/>
  <c r="AR98" i="14"/>
  <c r="IW98" i="14"/>
  <c r="AR107" i="14"/>
  <c r="IW107" i="14"/>
  <c r="AR75" i="14"/>
  <c r="IW75" i="14"/>
  <c r="AZ149" i="14"/>
  <c r="IW149" i="14"/>
  <c r="AZ82" i="14"/>
  <c r="IW82" i="14"/>
  <c r="AR92" i="14"/>
  <c r="IW92" i="14"/>
  <c r="AZ148" i="14"/>
  <c r="IW148" i="14"/>
  <c r="AZ143" i="14"/>
  <c r="IW143" i="14"/>
  <c r="BH115" i="14"/>
  <c r="IW115" i="14"/>
  <c r="AZ122" i="14"/>
  <c r="IW122" i="14"/>
  <c r="AZ73" i="14"/>
  <c r="IW73" i="14"/>
  <c r="AR101" i="14"/>
  <c r="IW101" i="14"/>
  <c r="AZ68" i="14"/>
  <c r="IW68" i="14"/>
  <c r="AZ91" i="14"/>
  <c r="IW91" i="14"/>
  <c r="BH117" i="14"/>
  <c r="IW117" i="14"/>
  <c r="AR76" i="14"/>
  <c r="IW76" i="14"/>
  <c r="AR104" i="14"/>
  <c r="IW104" i="14"/>
  <c r="AR132" i="14"/>
  <c r="IW132" i="14"/>
  <c r="BH79" i="14"/>
  <c r="IW79" i="14"/>
  <c r="AZ130" i="14"/>
  <c r="IW130" i="14"/>
  <c r="AR133" i="14"/>
  <c r="IW133" i="14"/>
  <c r="BH63" i="14"/>
  <c r="IW63" i="14"/>
  <c r="AR97" i="14"/>
  <c r="IW97" i="14"/>
  <c r="AR120" i="14"/>
  <c r="IW120" i="14"/>
  <c r="AR99" i="14"/>
  <c r="IW99" i="14"/>
  <c r="BH111" i="14"/>
  <c r="IW111" i="14"/>
  <c r="AR139" i="14"/>
  <c r="IW139" i="14"/>
  <c r="AZ81" i="14"/>
  <c r="IW81" i="14"/>
  <c r="BH94" i="14"/>
  <c r="IW94" i="14"/>
  <c r="BH151" i="14"/>
  <c r="IW151" i="14"/>
  <c r="AZ95" i="14"/>
  <c r="IW95" i="14"/>
  <c r="AZ114" i="14"/>
  <c r="IW114" i="14"/>
  <c r="AR116" i="14"/>
  <c r="IW116" i="14"/>
  <c r="AR85" i="14"/>
  <c r="IW85" i="14"/>
  <c r="AR113" i="14"/>
  <c r="IW113" i="14"/>
  <c r="BH67" i="14"/>
  <c r="IW67" i="14"/>
  <c r="BH127" i="14"/>
  <c r="AR95" i="14"/>
  <c r="BH158" i="14"/>
  <c r="BH133" i="14"/>
  <c r="AR143" i="14"/>
  <c r="AR130" i="14"/>
  <c r="AZ135" i="14"/>
  <c r="AR148" i="14"/>
  <c r="AZ79" i="14"/>
  <c r="BH97" i="14"/>
  <c r="AZ151" i="14"/>
  <c r="AZ89" i="14"/>
  <c r="AR110" i="14"/>
  <c r="BH140" i="14"/>
  <c r="BH98" i="14"/>
  <c r="AR157" i="14"/>
  <c r="BH123" i="14"/>
  <c r="BH150" i="14"/>
  <c r="AZ137" i="14"/>
  <c r="AZ75" i="14"/>
  <c r="AR114" i="14"/>
  <c r="BH113" i="14"/>
  <c r="BH107" i="14"/>
  <c r="AZ104" i="14"/>
  <c r="AR69" i="14"/>
  <c r="AR77" i="14"/>
  <c r="BH91" i="14"/>
  <c r="AR61" i="14"/>
  <c r="BH112" i="14"/>
  <c r="AR68" i="14"/>
  <c r="AZ67" i="14"/>
  <c r="AR62" i="14"/>
  <c r="AZ102" i="14"/>
  <c r="BH145" i="14"/>
  <c r="BH71" i="14"/>
  <c r="AR115" i="14"/>
  <c r="HN97" i="14"/>
  <c r="HF123" i="14"/>
  <c r="HN112" i="14"/>
  <c r="BH104" i="14"/>
  <c r="AZ133" i="14"/>
  <c r="BH69" i="14"/>
  <c r="AZ147" i="14"/>
  <c r="AR106" i="14"/>
  <c r="AZ140" i="14"/>
  <c r="BH143" i="14"/>
  <c r="AZ80" i="14"/>
  <c r="AZ98" i="14"/>
  <c r="AZ126" i="14"/>
  <c r="AZ144" i="14"/>
  <c r="BH130" i="14"/>
  <c r="BH76" i="14"/>
  <c r="AR102" i="14"/>
  <c r="AR79" i="14"/>
  <c r="AZ94" i="14"/>
  <c r="AR122" i="14"/>
  <c r="AZ145" i="14"/>
  <c r="AR91" i="14"/>
  <c r="AZ97" i="14"/>
  <c r="AZ61" i="14"/>
  <c r="AR135" i="14"/>
  <c r="AZ112" i="14"/>
  <c r="AZ78" i="14"/>
  <c r="AR151" i="14"/>
  <c r="BH114" i="14"/>
  <c r="AZ63" i="14"/>
  <c r="AZ115" i="14"/>
  <c r="BH95" i="14"/>
  <c r="BH110" i="14"/>
  <c r="AR67" i="14"/>
  <c r="AZ111" i="14"/>
  <c r="AZ113" i="14"/>
  <c r="AR81" i="14"/>
  <c r="BH152" i="14"/>
  <c r="AZ123" i="14"/>
  <c r="AZ107" i="14"/>
  <c r="BH62" i="14"/>
  <c r="AR96" i="14"/>
  <c r="AR147" i="14"/>
  <c r="BH106" i="14"/>
  <c r="AR83" i="14"/>
  <c r="AR80" i="14"/>
  <c r="BH139" i="14"/>
  <c r="AR126" i="14"/>
  <c r="AR144" i="14"/>
  <c r="AZ76" i="14"/>
  <c r="AR94" i="14"/>
  <c r="BH122" i="14"/>
  <c r="AR66" i="14"/>
  <c r="AZ128" i="14"/>
  <c r="AR129" i="14"/>
  <c r="AR78" i="14"/>
  <c r="AR63" i="14"/>
  <c r="BH92" i="14"/>
  <c r="AR111" i="14"/>
  <c r="AR65" i="14"/>
  <c r="BH100" i="14"/>
  <c r="BH81" i="14"/>
  <c r="AZ152" i="14"/>
  <c r="AZ125" i="14"/>
  <c r="BH136" i="14"/>
  <c r="BH154" i="14"/>
  <c r="HF117" i="14"/>
  <c r="HN131" i="14"/>
  <c r="HN100" i="14"/>
  <c r="HN75" i="14"/>
  <c r="AZ134" i="14"/>
  <c r="BH156" i="14"/>
  <c r="AR73" i="14"/>
  <c r="BH96" i="14"/>
  <c r="AR146" i="14"/>
  <c r="BH83" i="14"/>
  <c r="BH109" i="14"/>
  <c r="AZ139" i="14"/>
  <c r="AZ72" i="14"/>
  <c r="BH66" i="14"/>
  <c r="AR128" i="14"/>
  <c r="BH129" i="14"/>
  <c r="AZ117" i="14"/>
  <c r="AZ92" i="14"/>
  <c r="AR105" i="14"/>
  <c r="BH65" i="14"/>
  <c r="AZ100" i="14"/>
  <c r="BH125" i="14"/>
  <c r="AR136" i="14"/>
  <c r="AR154" i="14"/>
  <c r="BH155" i="14"/>
  <c r="AR134" i="14"/>
  <c r="AZ156" i="14"/>
  <c r="BH73" i="14"/>
  <c r="BH149" i="14"/>
  <c r="BH146" i="14"/>
  <c r="AZ109" i="14"/>
  <c r="BH84" i="14"/>
  <c r="AZ120" i="14"/>
  <c r="BH72" i="14"/>
  <c r="AR138" i="14"/>
  <c r="AR117" i="14"/>
  <c r="BH85" i="14"/>
  <c r="AR64" i="14"/>
  <c r="BH141" i="14"/>
  <c r="BH116" i="14"/>
  <c r="BH88" i="14"/>
  <c r="BH105" i="14"/>
  <c r="AZ142" i="14"/>
  <c r="AR90" i="14"/>
  <c r="BH131" i="14"/>
  <c r="AR155" i="14"/>
  <c r="HN61" i="14"/>
  <c r="HF66" i="14"/>
  <c r="HN154" i="14"/>
  <c r="AZ103" i="14"/>
  <c r="BH132" i="14"/>
  <c r="AR149" i="14"/>
  <c r="AZ84" i="14"/>
  <c r="BH120" i="14"/>
  <c r="AR82" i="14"/>
  <c r="AR153" i="14"/>
  <c r="AR121" i="14"/>
  <c r="BH138" i="14"/>
  <c r="BH99" i="14"/>
  <c r="AZ70" i="14"/>
  <c r="AZ87" i="14"/>
  <c r="AZ101" i="14"/>
  <c r="AZ85" i="14"/>
  <c r="BH64" i="14"/>
  <c r="AZ141" i="14"/>
  <c r="AZ116" i="14"/>
  <c r="AZ88" i="14"/>
  <c r="AR142" i="14"/>
  <c r="BH90" i="14"/>
  <c r="AZ119" i="14"/>
  <c r="AZ159" i="14"/>
  <c r="BH108" i="14"/>
  <c r="AR131" i="14"/>
  <c r="AZ158" i="14"/>
  <c r="AR103" i="14"/>
  <c r="AZ150" i="14"/>
  <c r="AZ132" i="14"/>
  <c r="AR137" i="14"/>
  <c r="AZ127" i="14"/>
  <c r="BH82" i="14"/>
  <c r="BH148" i="14"/>
  <c r="BH153" i="14"/>
  <c r="BH121" i="14"/>
  <c r="AR89" i="14"/>
  <c r="AZ77" i="14"/>
  <c r="AZ71" i="14"/>
  <c r="AZ99" i="14"/>
  <c r="AR70" i="14"/>
  <c r="AR87" i="14"/>
  <c r="BH75" i="14"/>
  <c r="BH101" i="14"/>
  <c r="BH68" i="14"/>
  <c r="BH157" i="14"/>
  <c r="AR119" i="14"/>
  <c r="AR159" i="14"/>
  <c r="AZ108" i="14"/>
  <c r="F26" i="6"/>
  <c r="I69" i="6"/>
  <c r="J69" i="6" s="1"/>
  <c r="I21" i="6"/>
  <c r="J21" i="6" s="1"/>
  <c r="U21" i="6" s="1"/>
  <c r="I59" i="6"/>
  <c r="J59" i="6" s="1"/>
  <c r="I94" i="6"/>
  <c r="J94" i="6" s="1"/>
  <c r="I99" i="6"/>
  <c r="J99" i="6" s="1"/>
  <c r="I58" i="6"/>
  <c r="J58" i="6" s="1"/>
  <c r="I98" i="6"/>
  <c r="J98" i="6" s="1"/>
  <c r="I44" i="6"/>
  <c r="J44" i="6" s="1"/>
  <c r="I26" i="6"/>
  <c r="J26" i="6" s="1"/>
  <c r="F27" i="6"/>
  <c r="I37" i="6"/>
  <c r="J37" i="6" s="1"/>
  <c r="I78" i="6"/>
  <c r="J78" i="6" s="1"/>
  <c r="I82" i="6"/>
  <c r="J82" i="6" s="1"/>
  <c r="I96" i="6"/>
  <c r="J96" i="6" s="1"/>
  <c r="I22" i="6"/>
  <c r="J22" i="6" s="1"/>
  <c r="I57" i="6"/>
  <c r="J57" i="6" s="1"/>
  <c r="I40" i="6"/>
  <c r="J40" i="6" s="1"/>
  <c r="I113" i="6"/>
  <c r="J113" i="6" s="1"/>
  <c r="I112" i="6"/>
  <c r="J112" i="6" s="1"/>
  <c r="F104" i="6"/>
  <c r="AD96" i="14"/>
  <c r="IY160" i="14"/>
  <c r="JA160" i="14" s="1"/>
  <c r="JB160" i="14" s="1"/>
  <c r="AC135" i="14"/>
  <c r="AD135" i="14" s="1"/>
  <c r="AC111" i="14"/>
  <c r="AD111" i="14" s="1"/>
  <c r="AC157" i="14"/>
  <c r="AD157" i="14" s="1"/>
  <c r="AC64" i="14"/>
  <c r="AD64" i="14" s="1"/>
  <c r="AC89" i="14"/>
  <c r="AD89" i="14" s="1"/>
  <c r="AC70" i="14"/>
  <c r="AD70" i="14" s="1"/>
  <c r="AC107" i="14"/>
  <c r="AD107" i="14" s="1"/>
  <c r="AC99" i="14"/>
  <c r="AD99" i="14" s="1"/>
  <c r="AC68" i="14"/>
  <c r="AD68" i="14" s="1"/>
  <c r="AC139" i="14"/>
  <c r="AD139" i="14" s="1"/>
  <c r="AC71" i="14"/>
  <c r="AD71" i="14" s="1"/>
  <c r="AC67" i="14"/>
  <c r="AD67" i="14" s="1"/>
  <c r="AC134" i="14"/>
  <c r="AD134" i="14" s="1"/>
  <c r="AC83" i="14"/>
  <c r="AD83" i="14" s="1"/>
  <c r="AC80" i="14"/>
  <c r="AD80" i="14" s="1"/>
  <c r="AC98" i="14"/>
  <c r="AD98" i="14" s="1"/>
  <c r="AC158" i="14"/>
  <c r="AD158" i="14" s="1"/>
  <c r="AC66" i="14"/>
  <c r="AD66" i="14" s="1"/>
  <c r="AC110" i="14"/>
  <c r="AD110" i="14" s="1"/>
  <c r="AC81" i="14"/>
  <c r="AD81" i="14" s="1"/>
  <c r="AC65" i="14"/>
  <c r="AD65" i="14" s="1"/>
  <c r="AC94" i="14"/>
  <c r="AD94" i="14" s="1"/>
  <c r="AC147" i="14"/>
  <c r="AD147" i="14" s="1"/>
  <c r="AC100" i="14"/>
  <c r="AD100" i="14" s="1"/>
  <c r="AC90" i="14"/>
  <c r="AD90" i="14" s="1"/>
  <c r="AC136" i="14"/>
  <c r="AD136" i="14" s="1"/>
  <c r="AC140" i="14"/>
  <c r="AD140" i="14" s="1"/>
  <c r="AC84" i="14"/>
  <c r="AD84" i="14" s="1"/>
  <c r="AC103" i="14"/>
  <c r="AD103" i="14" s="1"/>
  <c r="AC141" i="14"/>
  <c r="AD141" i="14" s="1"/>
  <c r="AC130" i="14"/>
  <c r="AD130" i="14" s="1"/>
  <c r="AC129" i="14"/>
  <c r="AD129" i="14" s="1"/>
  <c r="AC78" i="14"/>
  <c r="AD78" i="14" s="1"/>
  <c r="AC154" i="14"/>
  <c r="AD154" i="14" s="1"/>
  <c r="AC97" i="14"/>
  <c r="AD97" i="14" s="1"/>
  <c r="AC116" i="14"/>
  <c r="AD116" i="14" s="1"/>
  <c r="AC148" i="14"/>
  <c r="AD148" i="14" s="1"/>
  <c r="AC149" i="14"/>
  <c r="AD149" i="14" s="1"/>
  <c r="AC142" i="14"/>
  <c r="AD142" i="14" s="1"/>
  <c r="AC144" i="14"/>
  <c r="AD144" i="14" s="1"/>
  <c r="AC122" i="14"/>
  <c r="AD122" i="14" s="1"/>
  <c r="AC137" i="14"/>
  <c r="AD137" i="14" s="1"/>
  <c r="AC108" i="14"/>
  <c r="AD108" i="14" s="1"/>
  <c r="AC106" i="14"/>
  <c r="AD106" i="14" s="1"/>
  <c r="AC82" i="14"/>
  <c r="AD82" i="14" s="1"/>
  <c r="AC121" i="14"/>
  <c r="AD121" i="14" s="1"/>
  <c r="AC131" i="14"/>
  <c r="AD131" i="14" s="1"/>
  <c r="AC156" i="14"/>
  <c r="AD156" i="14" s="1"/>
  <c r="AC112" i="14"/>
  <c r="AD112" i="14" s="1"/>
  <c r="AC62" i="14"/>
  <c r="AD62" i="14" s="1"/>
  <c r="AC92" i="14"/>
  <c r="AD92" i="14" s="1"/>
  <c r="AC115" i="14"/>
  <c r="AD115" i="14" s="1"/>
  <c r="AC127" i="14"/>
  <c r="AD127" i="14" s="1"/>
  <c r="AC95" i="14"/>
  <c r="AD95" i="14" s="1"/>
  <c r="AC72" i="14"/>
  <c r="AD72" i="14" s="1"/>
  <c r="AC88" i="14"/>
  <c r="AD88" i="14" s="1"/>
  <c r="AC138" i="14"/>
  <c r="AD138" i="14" s="1"/>
  <c r="AC128" i="14"/>
  <c r="AD128" i="14" s="1"/>
  <c r="AC120" i="14"/>
  <c r="AD120" i="14" s="1"/>
  <c r="AC132" i="14"/>
  <c r="AD132" i="14" s="1"/>
  <c r="AC79" i="14"/>
  <c r="AD79" i="14" s="1"/>
  <c r="AC150" i="14"/>
  <c r="AD150" i="14" s="1"/>
  <c r="AC87" i="14"/>
  <c r="AD87" i="14" s="1"/>
  <c r="AC125" i="14"/>
  <c r="AD125" i="14" s="1"/>
  <c r="AC102" i="14"/>
  <c r="AD102" i="14" s="1"/>
  <c r="AC119" i="14"/>
  <c r="AD119" i="14" s="1"/>
  <c r="AC123" i="14"/>
  <c r="AD123" i="14" s="1"/>
  <c r="AC143" i="14"/>
  <c r="AD143" i="14" s="1"/>
  <c r="AC114" i="14"/>
  <c r="AD114" i="14" s="1"/>
  <c r="AC146" i="14"/>
  <c r="AD146" i="14" s="1"/>
  <c r="AC151" i="14"/>
  <c r="AD151" i="14" s="1"/>
  <c r="AC77" i="14"/>
  <c r="AD77" i="14" s="1"/>
  <c r="AC105" i="14"/>
  <c r="AD105" i="14" s="1"/>
  <c r="AC145" i="14"/>
  <c r="AD145" i="14" s="1"/>
  <c r="AC152" i="14"/>
  <c r="AD152" i="14" s="1"/>
  <c r="AC133" i="14"/>
  <c r="AD133" i="14" s="1"/>
  <c r="AC155" i="14"/>
  <c r="AD155" i="14" s="1"/>
  <c r="AC76" i="14"/>
  <c r="AD76" i="14" s="1"/>
  <c r="AC63" i="14"/>
  <c r="AD63" i="14" s="1"/>
  <c r="AC61" i="14"/>
  <c r="AD61" i="14" s="1"/>
  <c r="AC113" i="14"/>
  <c r="AD113" i="14" s="1"/>
  <c r="AC85" i="14"/>
  <c r="AD85" i="14" s="1"/>
  <c r="AC126" i="14"/>
  <c r="AD126" i="14" s="1"/>
  <c r="AC159" i="14"/>
  <c r="AD159" i="14" s="1"/>
  <c r="AC109" i="14"/>
  <c r="AD109" i="14" s="1"/>
  <c r="AC101" i="14"/>
  <c r="AD101" i="14" s="1"/>
  <c r="AC91" i="14"/>
  <c r="AD91" i="14" s="1"/>
  <c r="AC73" i="14"/>
  <c r="AD73" i="14" s="1"/>
  <c r="AC75" i="14"/>
  <c r="AD75" i="14" s="1"/>
  <c r="AC104" i="14"/>
  <c r="AD104" i="14" s="1"/>
  <c r="AC117" i="14"/>
  <c r="AD117" i="14" s="1"/>
  <c r="AC153" i="14"/>
  <c r="AD153" i="14" s="1"/>
  <c r="AC69" i="14"/>
  <c r="AD69" i="14" s="1"/>
  <c r="I32" i="6"/>
  <c r="J32" i="6" s="1"/>
  <c r="I77" i="6"/>
  <c r="J77" i="6" s="1"/>
  <c r="I41" i="6"/>
  <c r="J41" i="6" s="1"/>
  <c r="I103" i="6"/>
  <c r="J103" i="6" s="1"/>
  <c r="I67" i="6"/>
  <c r="J67" i="6" s="1"/>
  <c r="I27" i="6"/>
  <c r="J27" i="6" s="1"/>
  <c r="I65" i="6"/>
  <c r="J65" i="6" s="1"/>
  <c r="I25" i="6"/>
  <c r="J25" i="6" s="1"/>
  <c r="I55" i="6"/>
  <c r="J55" i="6" s="1"/>
  <c r="I74" i="6"/>
  <c r="J74" i="6" s="1"/>
  <c r="F117" i="6"/>
  <c r="I64" i="6"/>
  <c r="J64" i="6" s="1"/>
  <c r="F68" i="6"/>
  <c r="I62" i="6"/>
  <c r="J62" i="6" s="1"/>
  <c r="I43" i="6"/>
  <c r="J43" i="6" s="1"/>
  <c r="I114" i="6"/>
  <c r="J114" i="6" s="1"/>
  <c r="I29" i="6"/>
  <c r="J29" i="6" s="1"/>
  <c r="I24" i="6"/>
  <c r="J24" i="6" s="1"/>
  <c r="F41" i="6"/>
  <c r="F73" i="6"/>
  <c r="F82" i="6"/>
  <c r="F30" i="6"/>
  <c r="F66" i="6"/>
  <c r="F72" i="6"/>
  <c r="F61" i="6"/>
  <c r="F102" i="6"/>
  <c r="F38" i="6"/>
  <c r="F119" i="6"/>
  <c r="F56" i="6"/>
  <c r="F80" i="6"/>
  <c r="F63" i="6"/>
  <c r="F79" i="6"/>
  <c r="F76" i="6"/>
  <c r="F35" i="6"/>
  <c r="F83" i="6"/>
  <c r="F42" i="6"/>
  <c r="F54" i="6"/>
  <c r="F95" i="6"/>
  <c r="F57" i="6"/>
  <c r="F59" i="6"/>
  <c r="F109" i="6"/>
  <c r="F55" i="6"/>
  <c r="F21" i="6"/>
  <c r="F96" i="6"/>
  <c r="F99" i="6"/>
  <c r="F71" i="6"/>
  <c r="F34" i="6"/>
  <c r="I50" i="6"/>
  <c r="J50" i="6" s="1"/>
  <c r="I35" i="6"/>
  <c r="J35" i="6" s="1"/>
  <c r="I108" i="6"/>
  <c r="J108" i="6" s="1"/>
  <c r="F97" i="6"/>
  <c r="F24" i="6"/>
  <c r="F94" i="6"/>
  <c r="F86" i="6"/>
  <c r="I92" i="6"/>
  <c r="J92" i="6" s="1"/>
  <c r="I83" i="6"/>
  <c r="J83" i="6" s="1"/>
  <c r="I115" i="6"/>
  <c r="J115" i="6" s="1"/>
  <c r="I80" i="6"/>
  <c r="J80" i="6" s="1"/>
  <c r="I49" i="6"/>
  <c r="J49" i="6" s="1"/>
  <c r="I36" i="6"/>
  <c r="J36" i="6" s="1"/>
  <c r="I100" i="6"/>
  <c r="J100" i="6" s="1"/>
  <c r="I111" i="6"/>
  <c r="J111" i="6" s="1"/>
  <c r="I47" i="6"/>
  <c r="J47" i="6" s="1"/>
  <c r="I46" i="6"/>
  <c r="J46" i="6" s="1"/>
  <c r="I119" i="6"/>
  <c r="J119" i="6" s="1"/>
  <c r="F53" i="6"/>
  <c r="F81" i="6"/>
  <c r="F105" i="6"/>
  <c r="F51" i="6"/>
  <c r="F98" i="6"/>
  <c r="F113" i="6"/>
  <c r="F93" i="6"/>
  <c r="F88" i="6"/>
  <c r="F103" i="6"/>
  <c r="F25" i="6"/>
  <c r="F46" i="6"/>
  <c r="F28" i="6"/>
  <c r="F90" i="6"/>
  <c r="I118" i="6"/>
  <c r="J118" i="6" s="1"/>
  <c r="I54" i="6"/>
  <c r="J54" i="6" s="1"/>
  <c r="F33" i="6"/>
  <c r="F36" i="6"/>
  <c r="I34" i="6"/>
  <c r="J34" i="6" s="1"/>
  <c r="F87" i="6"/>
  <c r="F116" i="6"/>
  <c r="F32" i="6"/>
  <c r="F43" i="6"/>
  <c r="I56" i="6"/>
  <c r="J56" i="6" s="1"/>
  <c r="F100" i="6"/>
  <c r="F91" i="6"/>
  <c r="F69" i="6"/>
  <c r="F107" i="6"/>
  <c r="F78" i="6"/>
  <c r="F75" i="6"/>
  <c r="F29" i="6"/>
  <c r="F101" i="6"/>
  <c r="F111" i="6"/>
  <c r="F64" i="6"/>
  <c r="F45" i="6"/>
  <c r="F37" i="6"/>
  <c r="F118" i="6"/>
  <c r="F70" i="6"/>
  <c r="F74" i="6"/>
  <c r="F106" i="6"/>
  <c r="F92" i="6"/>
  <c r="F77" i="6"/>
  <c r="F39" i="6"/>
  <c r="F114" i="6"/>
  <c r="F58" i="6"/>
  <c r="F48" i="6"/>
  <c r="F50" i="6"/>
  <c r="F31" i="6"/>
  <c r="F110" i="6"/>
  <c r="F67" i="6"/>
  <c r="F44" i="6"/>
  <c r="F22" i="6"/>
  <c r="F89" i="6"/>
  <c r="I116" i="6"/>
  <c r="J116" i="6" s="1"/>
  <c r="I97" i="6"/>
  <c r="J97" i="6" s="1"/>
  <c r="I48" i="6"/>
  <c r="J48" i="6" s="1"/>
  <c r="F23" i="6"/>
  <c r="F49" i="6"/>
  <c r="F52" i="6"/>
  <c r="F112" i="6"/>
  <c r="F120" i="6"/>
  <c r="F85" i="6"/>
  <c r="F62" i="6"/>
  <c r="F115" i="6"/>
  <c r="F47" i="6"/>
  <c r="F108" i="6"/>
  <c r="F60" i="6"/>
  <c r="F40" i="6"/>
  <c r="F65" i="6"/>
  <c r="F84" i="6"/>
  <c r="I23" i="6"/>
  <c r="J23" i="6" s="1"/>
  <c r="I51" i="6"/>
  <c r="J51" i="6" s="1"/>
  <c r="I88" i="6"/>
  <c r="J88" i="6" s="1"/>
  <c r="I110" i="6"/>
  <c r="J110" i="6" s="1"/>
  <c r="I86" i="6"/>
  <c r="J86" i="6" s="1"/>
  <c r="I117" i="6"/>
  <c r="J117" i="6" s="1"/>
  <c r="I33" i="6"/>
  <c r="J33" i="6" s="1"/>
  <c r="I53" i="6"/>
  <c r="J53" i="6" s="1"/>
  <c r="I73" i="6"/>
  <c r="J73" i="6" s="1"/>
  <c r="I101" i="6"/>
  <c r="J101" i="6" s="1"/>
  <c r="I91" i="6"/>
  <c r="J91" i="6" s="1"/>
  <c r="I105" i="6"/>
  <c r="J105" i="6" s="1"/>
  <c r="I61" i="6"/>
  <c r="J61" i="6" s="1"/>
  <c r="I89" i="6"/>
  <c r="J89" i="6" s="1"/>
  <c r="I71" i="6"/>
  <c r="J71" i="6" s="1"/>
  <c r="I66" i="6"/>
  <c r="J66" i="6" s="1"/>
  <c r="I75" i="6"/>
  <c r="J75" i="6" s="1"/>
  <c r="I38" i="6"/>
  <c r="J38" i="6" s="1"/>
  <c r="I28" i="6"/>
  <c r="J28" i="6" s="1"/>
  <c r="I60" i="6"/>
  <c r="J60" i="6" s="1"/>
  <c r="I42" i="6"/>
  <c r="J42" i="6" s="1"/>
  <c r="I72" i="6"/>
  <c r="J72" i="6" s="1"/>
  <c r="I87" i="6"/>
  <c r="J87" i="6" s="1"/>
  <c r="I106" i="6"/>
  <c r="J106" i="6" s="1"/>
  <c r="I76" i="6"/>
  <c r="J76" i="6" s="1"/>
  <c r="I104" i="6"/>
  <c r="J104" i="6" s="1"/>
  <c r="I68" i="6"/>
  <c r="J68" i="6" s="1"/>
  <c r="I79" i="6"/>
  <c r="J79" i="6" s="1"/>
  <c r="I63" i="6"/>
  <c r="J63" i="6" s="1"/>
  <c r="I102" i="6"/>
  <c r="J102" i="6" s="1"/>
  <c r="I70" i="6"/>
  <c r="J70" i="6" s="1"/>
  <c r="I81" i="6"/>
  <c r="J81" i="6" s="1"/>
  <c r="I39" i="6"/>
  <c r="J39" i="6" s="1"/>
  <c r="I31" i="6"/>
  <c r="J31" i="6" s="1"/>
  <c r="I120" i="6"/>
  <c r="J120" i="6" s="1"/>
  <c r="I95" i="6"/>
  <c r="J95" i="6" s="1"/>
  <c r="I45" i="6"/>
  <c r="J45" i="6" s="1"/>
  <c r="I85" i="6"/>
  <c r="J85" i="6" s="1"/>
  <c r="I52" i="6"/>
  <c r="J52" i="6" s="1"/>
  <c r="I109" i="6"/>
  <c r="J109" i="6" s="1"/>
  <c r="I93" i="6"/>
  <c r="J93" i="6" s="1"/>
  <c r="I90" i="6"/>
  <c r="J90" i="6" s="1"/>
  <c r="I107" i="6"/>
  <c r="J107" i="6" s="1"/>
  <c r="I84" i="6"/>
  <c r="J84" i="6" s="1"/>
  <c r="I30" i="6"/>
  <c r="J30" i="6" s="1"/>
  <c r="AL160" i="14" l="1"/>
  <c r="AM160" i="14" s="1"/>
  <c r="AO160" i="14" s="1"/>
  <c r="AG160" i="14"/>
  <c r="AH160" i="14" s="1"/>
  <c r="AI160" i="14" s="1"/>
  <c r="BN160" i="14" s="1"/>
  <c r="CA160" i="14" s="1"/>
  <c r="L86" i="6"/>
  <c r="U86" i="6"/>
  <c r="L34" i="6"/>
  <c r="U34" i="6"/>
  <c r="L60" i="6"/>
  <c r="U60" i="6"/>
  <c r="L91" i="6"/>
  <c r="U91" i="6"/>
  <c r="L32" i="6"/>
  <c r="U32" i="6"/>
  <c r="L104" i="6"/>
  <c r="U104" i="6"/>
  <c r="L38" i="6"/>
  <c r="U38" i="6"/>
  <c r="L101" i="6"/>
  <c r="U101" i="6"/>
  <c r="L51" i="6"/>
  <c r="U51" i="6"/>
  <c r="L48" i="6"/>
  <c r="U48" i="6"/>
  <c r="L56" i="6"/>
  <c r="U56" i="6"/>
  <c r="L54" i="6"/>
  <c r="U54" i="6"/>
  <c r="L46" i="6"/>
  <c r="U46" i="6"/>
  <c r="L83" i="6"/>
  <c r="U83" i="6"/>
  <c r="L50" i="6"/>
  <c r="U50" i="6"/>
  <c r="L114" i="6"/>
  <c r="U114" i="6"/>
  <c r="L25" i="6"/>
  <c r="U25" i="6"/>
  <c r="O25" i="6"/>
  <c r="L22" i="6"/>
  <c r="U22" i="6"/>
  <c r="L98" i="6"/>
  <c r="U98" i="6"/>
  <c r="L45" i="6"/>
  <c r="U45" i="6"/>
  <c r="L110" i="6"/>
  <c r="U110" i="6"/>
  <c r="L107" i="6"/>
  <c r="U107" i="6"/>
  <c r="L88" i="6"/>
  <c r="U88" i="6"/>
  <c r="L73" i="6"/>
  <c r="U73" i="6"/>
  <c r="L118" i="6"/>
  <c r="U118" i="6"/>
  <c r="L47" i="6"/>
  <c r="U47" i="6"/>
  <c r="L92" i="6"/>
  <c r="U92" i="6"/>
  <c r="L43" i="6"/>
  <c r="U43" i="6"/>
  <c r="L65" i="6"/>
  <c r="U65" i="6"/>
  <c r="GR160" i="14"/>
  <c r="GS160" i="14" s="1"/>
  <c r="GU160" i="14" s="1"/>
  <c r="L96" i="6"/>
  <c r="U96" i="6"/>
  <c r="L58" i="6"/>
  <c r="U58" i="6"/>
  <c r="L42" i="6"/>
  <c r="U42" i="6"/>
  <c r="L49" i="6"/>
  <c r="U49" i="6"/>
  <c r="L84" i="6"/>
  <c r="U84" i="6"/>
  <c r="L120" i="6"/>
  <c r="M119" i="6" s="1"/>
  <c r="U120" i="6"/>
  <c r="V119" i="6" s="1"/>
  <c r="L35" i="6"/>
  <c r="U35" i="6"/>
  <c r="L55" i="6"/>
  <c r="U55" i="6"/>
  <c r="L44" i="6"/>
  <c r="U44" i="6"/>
  <c r="L39" i="6"/>
  <c r="U39" i="6"/>
  <c r="L23" i="6"/>
  <c r="U23" i="6"/>
  <c r="L106" i="6"/>
  <c r="U106" i="6"/>
  <c r="L116" i="6"/>
  <c r="U116" i="6"/>
  <c r="L111" i="6"/>
  <c r="U111" i="6"/>
  <c r="L62" i="6"/>
  <c r="U62" i="6"/>
  <c r="L27" i="6"/>
  <c r="U27" i="6"/>
  <c r="L82" i="6"/>
  <c r="U82" i="6"/>
  <c r="L99" i="6"/>
  <c r="U99" i="6"/>
  <c r="L30" i="6"/>
  <c r="U30" i="6"/>
  <c r="L105" i="6"/>
  <c r="U105" i="6"/>
  <c r="L68" i="6"/>
  <c r="U68" i="6"/>
  <c r="L119" i="6"/>
  <c r="U119" i="6"/>
  <c r="L31" i="6"/>
  <c r="U31" i="6"/>
  <c r="L93" i="6"/>
  <c r="U93" i="6"/>
  <c r="L75" i="6"/>
  <c r="U75" i="6"/>
  <c r="L81" i="6"/>
  <c r="U81" i="6"/>
  <c r="L53" i="6"/>
  <c r="U53" i="6"/>
  <c r="L70" i="6"/>
  <c r="U70" i="6"/>
  <c r="L71" i="6"/>
  <c r="U71" i="6"/>
  <c r="L33" i="6"/>
  <c r="U33" i="6"/>
  <c r="L100" i="6"/>
  <c r="U100" i="6"/>
  <c r="L67" i="6"/>
  <c r="U67" i="6"/>
  <c r="L78" i="6"/>
  <c r="U78" i="6"/>
  <c r="L94" i="6"/>
  <c r="U94" i="6"/>
  <c r="L63" i="6"/>
  <c r="U63" i="6"/>
  <c r="L79" i="6"/>
  <c r="U79" i="6"/>
  <c r="L28" i="6"/>
  <c r="U28" i="6"/>
  <c r="L115" i="6"/>
  <c r="U115" i="6"/>
  <c r="L29" i="6"/>
  <c r="U29" i="6"/>
  <c r="L57" i="6"/>
  <c r="U57" i="6"/>
  <c r="L90" i="6"/>
  <c r="U90" i="6"/>
  <c r="L76" i="6"/>
  <c r="U76" i="6"/>
  <c r="L97" i="6"/>
  <c r="U97" i="6"/>
  <c r="L109" i="6"/>
  <c r="U109" i="6"/>
  <c r="L66" i="6"/>
  <c r="U66" i="6"/>
  <c r="L52" i="6"/>
  <c r="U52" i="6"/>
  <c r="L87" i="6"/>
  <c r="U87" i="6"/>
  <c r="L85" i="6"/>
  <c r="U85" i="6"/>
  <c r="L102" i="6"/>
  <c r="U102" i="6"/>
  <c r="L72" i="6"/>
  <c r="U72" i="6"/>
  <c r="L89" i="6"/>
  <c r="U89" i="6"/>
  <c r="L117" i="6"/>
  <c r="U117" i="6"/>
  <c r="L36" i="6"/>
  <c r="U36" i="6"/>
  <c r="L64" i="6"/>
  <c r="U64" i="6"/>
  <c r="L103" i="6"/>
  <c r="U103" i="6"/>
  <c r="L112" i="6"/>
  <c r="U112" i="6"/>
  <c r="L37" i="6"/>
  <c r="U37" i="6"/>
  <c r="L59" i="6"/>
  <c r="U59" i="6"/>
  <c r="L41" i="6"/>
  <c r="U41" i="6"/>
  <c r="L113" i="6"/>
  <c r="U113" i="6"/>
  <c r="L21" i="6"/>
  <c r="L61" i="6"/>
  <c r="U61" i="6"/>
  <c r="L95" i="6"/>
  <c r="U95" i="6"/>
  <c r="L80" i="6"/>
  <c r="U80" i="6"/>
  <c r="L108" i="6"/>
  <c r="U108" i="6"/>
  <c r="L24" i="6"/>
  <c r="U24" i="6"/>
  <c r="L74" i="6"/>
  <c r="U74" i="6"/>
  <c r="L77" i="6"/>
  <c r="U77" i="6"/>
  <c r="L40" i="6"/>
  <c r="U40" i="6"/>
  <c r="L26" i="6"/>
  <c r="U26" i="6"/>
  <c r="L69" i="6"/>
  <c r="U69" i="6"/>
  <c r="L20" i="6"/>
  <c r="O89" i="6"/>
  <c r="O117" i="6"/>
  <c r="O69" i="6"/>
  <c r="O100" i="6"/>
  <c r="O62" i="6"/>
  <c r="O27" i="6"/>
  <c r="O82" i="6"/>
  <c r="O99" i="6"/>
  <c r="O42" i="6"/>
  <c r="O61" i="6"/>
  <c r="O86" i="6"/>
  <c r="O36" i="6"/>
  <c r="O67" i="6"/>
  <c r="O78" i="6"/>
  <c r="O94" i="6"/>
  <c r="O63" i="6"/>
  <c r="O84" i="6"/>
  <c r="O95" i="6"/>
  <c r="O79" i="6"/>
  <c r="O60" i="6"/>
  <c r="O105" i="6"/>
  <c r="O110" i="6"/>
  <c r="O34" i="6"/>
  <c r="O49" i="6"/>
  <c r="O20" i="6"/>
  <c r="O64" i="6"/>
  <c r="O103" i="6"/>
  <c r="O112" i="6"/>
  <c r="O37" i="6"/>
  <c r="O59" i="6"/>
  <c r="O102" i="6"/>
  <c r="O120" i="6"/>
  <c r="P119" i="6" s="1"/>
  <c r="O88" i="6"/>
  <c r="O80" i="6"/>
  <c r="O41" i="6"/>
  <c r="O113" i="6"/>
  <c r="O21" i="6"/>
  <c r="O45" i="6"/>
  <c r="O68" i="6"/>
  <c r="O90" i="6"/>
  <c r="O31" i="6"/>
  <c r="O104" i="6"/>
  <c r="O38" i="6"/>
  <c r="O101" i="6"/>
  <c r="O51" i="6"/>
  <c r="O48" i="6"/>
  <c r="O119" i="6"/>
  <c r="O115" i="6"/>
  <c r="O108" i="6"/>
  <c r="O24" i="6"/>
  <c r="O74" i="6"/>
  <c r="O77" i="6"/>
  <c r="O40" i="6"/>
  <c r="O26" i="6"/>
  <c r="O72" i="6"/>
  <c r="O91" i="6"/>
  <c r="O93" i="6"/>
  <c r="O75" i="6"/>
  <c r="O23" i="6"/>
  <c r="O97" i="6"/>
  <c r="O56" i="6"/>
  <c r="O54" i="6"/>
  <c r="O46" i="6"/>
  <c r="O83" i="6"/>
  <c r="O35" i="6"/>
  <c r="O29" i="6"/>
  <c r="O55" i="6"/>
  <c r="O32" i="6"/>
  <c r="O57" i="6"/>
  <c r="O44" i="6"/>
  <c r="O107" i="6"/>
  <c r="O39" i="6"/>
  <c r="O76" i="6"/>
  <c r="O73" i="6"/>
  <c r="O109" i="6"/>
  <c r="O81" i="6"/>
  <c r="O106" i="6"/>
  <c r="O66" i="6"/>
  <c r="O53" i="6"/>
  <c r="O116" i="6"/>
  <c r="O118" i="6"/>
  <c r="O47" i="6"/>
  <c r="O92" i="6"/>
  <c r="O50" i="6"/>
  <c r="O114" i="6"/>
  <c r="O22" i="6"/>
  <c r="O98" i="6"/>
  <c r="O85" i="6"/>
  <c r="O30" i="6"/>
  <c r="O28" i="6"/>
  <c r="O52" i="6"/>
  <c r="O70" i="6"/>
  <c r="O87" i="6"/>
  <c r="O71" i="6"/>
  <c r="O33" i="6"/>
  <c r="O111" i="6"/>
  <c r="O43" i="6"/>
  <c r="O65" i="6"/>
  <c r="O96" i="6"/>
  <c r="O58" i="6"/>
  <c r="GO160" i="14"/>
  <c r="GP160" i="14"/>
  <c r="HU160" i="14" s="1"/>
  <c r="IO160" i="14" s="1"/>
  <c r="AJ160" i="14" l="1"/>
  <c r="BO160" i="14" s="1"/>
  <c r="CI160" i="14" s="1"/>
  <c r="M118" i="6"/>
  <c r="M117" i="6" s="1"/>
  <c r="M116" i="6" s="1"/>
  <c r="M115" i="6" s="1"/>
  <c r="M114" i="6" s="1"/>
  <c r="M113" i="6" s="1"/>
  <c r="M112" i="6" s="1"/>
  <c r="M111" i="6" s="1"/>
  <c r="M110" i="6" s="1"/>
  <c r="M109" i="6" s="1"/>
  <c r="M108" i="6" s="1"/>
  <c r="M107" i="6" s="1"/>
  <c r="M106" i="6" s="1"/>
  <c r="M105" i="6" s="1"/>
  <c r="M104" i="6" s="1"/>
  <c r="M103" i="6" s="1"/>
  <c r="M102" i="6" s="1"/>
  <c r="M101" i="6" s="1"/>
  <c r="M100" i="6" s="1"/>
  <c r="M99" i="6" s="1"/>
  <c r="M98" i="6" s="1"/>
  <c r="M97" i="6" s="1"/>
  <c r="M96" i="6" s="1"/>
  <c r="M95" i="6" s="1"/>
  <c r="M94" i="6" s="1"/>
  <c r="M93" i="6" s="1"/>
  <c r="M92" i="6" s="1"/>
  <c r="M91" i="6" s="1"/>
  <c r="M90" i="6" s="1"/>
  <c r="M89" i="6" s="1"/>
  <c r="M88" i="6" s="1"/>
  <c r="M87" i="6" s="1"/>
  <c r="M86" i="6" s="1"/>
  <c r="M85" i="6" s="1"/>
  <c r="M84" i="6" s="1"/>
  <c r="M83" i="6" s="1"/>
  <c r="M82" i="6" s="1"/>
  <c r="M81" i="6" s="1"/>
  <c r="M80" i="6" s="1"/>
  <c r="M79" i="6" s="1"/>
  <c r="M78" i="6" s="1"/>
  <c r="M77" i="6" s="1"/>
  <c r="M76" i="6" s="1"/>
  <c r="M75" i="6" s="1"/>
  <c r="M74" i="6" s="1"/>
  <c r="M73" i="6" s="1"/>
  <c r="M72" i="6" s="1"/>
  <c r="M71" i="6" s="1"/>
  <c r="M70" i="6" s="1"/>
  <c r="M69" i="6" s="1"/>
  <c r="M68" i="6" s="1"/>
  <c r="M67" i="6" s="1"/>
  <c r="M66" i="6" s="1"/>
  <c r="M65" i="6" s="1"/>
  <c r="M64" i="6" s="1"/>
  <c r="M63" i="6" s="1"/>
  <c r="M62" i="6" s="1"/>
  <c r="M61" i="6" s="1"/>
  <c r="M60" i="6" s="1"/>
  <c r="M59" i="6" s="1"/>
  <c r="M58" i="6" s="1"/>
  <c r="M57" i="6" s="1"/>
  <c r="M56" i="6" s="1"/>
  <c r="M55" i="6" s="1"/>
  <c r="M54" i="6" s="1"/>
  <c r="M53" i="6" s="1"/>
  <c r="M52" i="6" s="1"/>
  <c r="M51" i="6" s="1"/>
  <c r="M50" i="6" s="1"/>
  <c r="M49" i="6" s="1"/>
  <c r="M48" i="6" s="1"/>
  <c r="M47" i="6" s="1"/>
  <c r="M46" i="6" s="1"/>
  <c r="M45" i="6" s="1"/>
  <c r="M44" i="6" s="1"/>
  <c r="M43" i="6" s="1"/>
  <c r="M42" i="6" s="1"/>
  <c r="M41" i="6" s="1"/>
  <c r="M40" i="6" s="1"/>
  <c r="M39" i="6" s="1"/>
  <c r="M38" i="6" s="1"/>
  <c r="M37" i="6" s="1"/>
  <c r="M36" i="6" s="1"/>
  <c r="M35" i="6" s="1"/>
  <c r="M34" i="6" s="1"/>
  <c r="M33" i="6" s="1"/>
  <c r="M32" i="6" s="1"/>
  <c r="M31" i="6" s="1"/>
  <c r="M30" i="6" s="1"/>
  <c r="M29" i="6" s="1"/>
  <c r="M28" i="6" s="1"/>
  <c r="M27" i="6" s="1"/>
  <c r="M26" i="6" s="1"/>
  <c r="M25" i="6" s="1"/>
  <c r="M24" i="6" s="1"/>
  <c r="M23" i="6" s="1"/>
  <c r="M22" i="6" s="1"/>
  <c r="M21" i="6" s="1"/>
  <c r="M20" i="6" s="1"/>
  <c r="V118" i="6"/>
  <c r="V117" i="6" s="1"/>
  <c r="V116" i="6" s="1"/>
  <c r="V115" i="6" s="1"/>
  <c r="V114" i="6" s="1"/>
  <c r="V113" i="6" s="1"/>
  <c r="V112" i="6" s="1"/>
  <c r="V111" i="6" s="1"/>
  <c r="V110" i="6" s="1"/>
  <c r="V109" i="6" s="1"/>
  <c r="V108" i="6" s="1"/>
  <c r="V107" i="6" s="1"/>
  <c r="V106" i="6" s="1"/>
  <c r="V105" i="6" s="1"/>
  <c r="V104" i="6" s="1"/>
  <c r="V103" i="6" s="1"/>
  <c r="V102" i="6" s="1"/>
  <c r="V101" i="6" s="1"/>
  <c r="V100" i="6" s="1"/>
  <c r="V99" i="6" s="1"/>
  <c r="V98" i="6" s="1"/>
  <c r="V97" i="6" s="1"/>
  <c r="V96" i="6" s="1"/>
  <c r="V95" i="6" s="1"/>
  <c r="V94" i="6" s="1"/>
  <c r="V93" i="6" s="1"/>
  <c r="V92" i="6" s="1"/>
  <c r="V91" i="6" s="1"/>
  <c r="V90" i="6" s="1"/>
  <c r="V89" i="6" s="1"/>
  <c r="V88" i="6" s="1"/>
  <c r="V87" i="6" s="1"/>
  <c r="V86" i="6" s="1"/>
  <c r="V85" i="6" s="1"/>
  <c r="V84" i="6" s="1"/>
  <c r="V83" i="6" s="1"/>
  <c r="V82" i="6" s="1"/>
  <c r="V81" i="6" s="1"/>
  <c r="V80" i="6" s="1"/>
  <c r="V79" i="6" s="1"/>
  <c r="V78" i="6" s="1"/>
  <c r="V77" i="6" s="1"/>
  <c r="V76" i="6" s="1"/>
  <c r="V75" i="6" s="1"/>
  <c r="V74" i="6" s="1"/>
  <c r="V73" i="6" s="1"/>
  <c r="V72" i="6" s="1"/>
  <c r="V71" i="6" s="1"/>
  <c r="V70" i="6" s="1"/>
  <c r="V69" i="6" s="1"/>
  <c r="V68" i="6" s="1"/>
  <c r="V67" i="6" s="1"/>
  <c r="V66" i="6" s="1"/>
  <c r="V65" i="6" s="1"/>
  <c r="V64" i="6" s="1"/>
  <c r="V63" i="6" s="1"/>
  <c r="V62" i="6" s="1"/>
  <c r="V61" i="6" s="1"/>
  <c r="V60" i="6" s="1"/>
  <c r="V59" i="6" s="1"/>
  <c r="V58" i="6" s="1"/>
  <c r="V57" i="6" s="1"/>
  <c r="V56" i="6" s="1"/>
  <c r="V55" i="6" s="1"/>
  <c r="V54" i="6" s="1"/>
  <c r="V53" i="6" s="1"/>
  <c r="V52" i="6" s="1"/>
  <c r="V51" i="6" s="1"/>
  <c r="V50" i="6" s="1"/>
  <c r="V49" i="6" s="1"/>
  <c r="V48" i="6" s="1"/>
  <c r="V47" i="6" s="1"/>
  <c r="V46" i="6" s="1"/>
  <c r="V45" i="6" s="1"/>
  <c r="V44" i="6" s="1"/>
  <c r="V43" i="6" s="1"/>
  <c r="V42" i="6" s="1"/>
  <c r="V41" i="6" s="1"/>
  <c r="V40" i="6" s="1"/>
  <c r="V39" i="6" s="1"/>
  <c r="V38" i="6" s="1"/>
  <c r="V37" i="6" s="1"/>
  <c r="V36" i="6" s="1"/>
  <c r="V35" i="6" s="1"/>
  <c r="V34" i="6" s="1"/>
  <c r="V33" i="6" s="1"/>
  <c r="V32" i="6" s="1"/>
  <c r="V31" i="6" s="1"/>
  <c r="V30" i="6" s="1"/>
  <c r="V29" i="6" s="1"/>
  <c r="V28" i="6" s="1"/>
  <c r="V27" i="6" s="1"/>
  <c r="V26" i="6" s="1"/>
  <c r="V25" i="6" s="1"/>
  <c r="V24" i="6" s="1"/>
  <c r="V23" i="6" s="1"/>
  <c r="V22" i="6" s="1"/>
  <c r="V21" i="6" s="1"/>
  <c r="V20" i="6" s="1"/>
  <c r="F159" i="14"/>
  <c r="Q119" i="6"/>
  <c r="J159" i="14" s="1"/>
  <c r="P118" i="6"/>
  <c r="F158" i="14" s="1"/>
  <c r="I159" i="14"/>
  <c r="I143" i="38" s="1"/>
  <c r="N119" i="6"/>
  <c r="H159" i="14" s="1"/>
  <c r="G159" i="14"/>
  <c r="G158" i="14"/>
  <c r="HT160" i="14"/>
  <c r="IG160" i="14" s="1"/>
  <c r="GQ160" i="14"/>
  <c r="GT160" i="14" s="1"/>
  <c r="AK160" i="14" l="1"/>
  <c r="BG160" i="14" s="1"/>
  <c r="H145" i="15"/>
  <c r="H143" i="38"/>
  <c r="G144" i="15"/>
  <c r="G142" i="38"/>
  <c r="F144" i="15"/>
  <c r="F142" i="38"/>
  <c r="G145" i="15"/>
  <c r="G143" i="38"/>
  <c r="J145" i="15"/>
  <c r="J143" i="38"/>
  <c r="F145" i="15"/>
  <c r="F143" i="38"/>
  <c r="P117" i="6"/>
  <c r="F157" i="14" s="1"/>
  <c r="P159" i="14"/>
  <c r="AE159" i="14" s="1"/>
  <c r="S159" i="14"/>
  <c r="AF159" i="14" s="1"/>
  <c r="I145" i="15"/>
  <c r="Q118" i="6"/>
  <c r="J158" i="14" s="1"/>
  <c r="I158" i="14"/>
  <c r="G157" i="14"/>
  <c r="N118" i="6"/>
  <c r="H158" i="14" s="1"/>
  <c r="P158" i="14"/>
  <c r="AE158" i="14" s="1"/>
  <c r="T159" i="14"/>
  <c r="IX159" i="14" s="1"/>
  <c r="IZ159" i="14" s="1"/>
  <c r="AQ160" i="14" l="1"/>
  <c r="AT160" i="14" s="1"/>
  <c r="AU160" i="14" s="1"/>
  <c r="AV160" i="14" s="1"/>
  <c r="AN160" i="14"/>
  <c r="AY160" i="14"/>
  <c r="H144" i="15"/>
  <c r="H142" i="38"/>
  <c r="F143" i="15"/>
  <c r="F141" i="38"/>
  <c r="I144" i="15"/>
  <c r="I142" i="38"/>
  <c r="G143" i="15"/>
  <c r="G141" i="38"/>
  <c r="J144" i="15"/>
  <c r="J142" i="38"/>
  <c r="P116" i="6"/>
  <c r="P115" i="6" s="1"/>
  <c r="Q117" i="6"/>
  <c r="J157" i="14" s="1"/>
  <c r="AL159" i="14"/>
  <c r="AM159" i="14" s="1"/>
  <c r="AO159" i="14" s="1"/>
  <c r="AG159" i="14"/>
  <c r="AH159" i="14" s="1"/>
  <c r="AI159" i="14" s="1"/>
  <c r="BN159" i="14" s="1"/>
  <c r="CA159" i="14" s="1"/>
  <c r="S158" i="14"/>
  <c r="AF158" i="14" s="1"/>
  <c r="GM158" i="14" s="1"/>
  <c r="GN158" i="14" s="1"/>
  <c r="GO158" i="14" s="1"/>
  <c r="GM159" i="14"/>
  <c r="GN159" i="14" s="1"/>
  <c r="GR159" i="14"/>
  <c r="GS159" i="14" s="1"/>
  <c r="GU159" i="14" s="1"/>
  <c r="I157" i="14"/>
  <c r="G156" i="14"/>
  <c r="Q159" i="14"/>
  <c r="N117" i="6"/>
  <c r="H157" i="14" s="1"/>
  <c r="IY159" i="14"/>
  <c r="JA159" i="14" s="1"/>
  <c r="JB159" i="14" s="1"/>
  <c r="T158" i="14"/>
  <c r="IX158" i="14" s="1"/>
  <c r="IZ158" i="14" s="1"/>
  <c r="P157" i="14"/>
  <c r="AE157" i="14" s="1"/>
  <c r="AW160" i="14" l="1"/>
  <c r="BB160" i="14" s="1"/>
  <c r="BC160" i="14" s="1"/>
  <c r="BD160" i="14" s="1"/>
  <c r="BE160" i="14" s="1"/>
  <c r="BJ160" i="14" s="1"/>
  <c r="BK160" i="14" s="1"/>
  <c r="BL160" i="14" s="1"/>
  <c r="BM160" i="14" s="1"/>
  <c r="BS160" i="14" s="1"/>
  <c r="G142" i="15"/>
  <c r="G140" i="38"/>
  <c r="I143" i="15"/>
  <c r="I141" i="38"/>
  <c r="H143" i="15"/>
  <c r="H141" i="38"/>
  <c r="J143" i="15"/>
  <c r="J141" i="38"/>
  <c r="GR158" i="14"/>
  <c r="GS158" i="14" s="1"/>
  <c r="GU158" i="14" s="1"/>
  <c r="F156" i="14"/>
  <c r="Q116" i="6"/>
  <c r="Q115" i="6" s="1"/>
  <c r="AL158" i="14"/>
  <c r="AM158" i="14" s="1"/>
  <c r="AO158" i="14" s="1"/>
  <c r="AG158" i="14"/>
  <c r="AH158" i="14" s="1"/>
  <c r="AI158" i="14" s="1"/>
  <c r="BN158" i="14" s="1"/>
  <c r="CA158" i="14" s="1"/>
  <c r="AJ159" i="14"/>
  <c r="BO159" i="14" s="1"/>
  <c r="CI159" i="14" s="1"/>
  <c r="S157" i="14"/>
  <c r="AF157" i="14" s="1"/>
  <c r="GM157" i="14" s="1"/>
  <c r="GN157" i="14" s="1"/>
  <c r="GO157" i="14" s="1"/>
  <c r="T157" i="14"/>
  <c r="IX157" i="14" s="1"/>
  <c r="IZ157" i="14" s="1"/>
  <c r="GP159" i="14"/>
  <c r="HU159" i="14" s="1"/>
  <c r="IO159" i="14" s="1"/>
  <c r="GO159" i="14"/>
  <c r="I156" i="14"/>
  <c r="P114" i="6"/>
  <c r="F155" i="14"/>
  <c r="R159" i="14"/>
  <c r="N116" i="6"/>
  <c r="H156" i="14" s="1"/>
  <c r="GP158" i="14"/>
  <c r="HU158" i="14" s="1"/>
  <c r="IO158" i="14" s="1"/>
  <c r="IY158" i="14"/>
  <c r="JA158" i="14" s="1"/>
  <c r="JB158" i="14" s="1"/>
  <c r="HT158" i="14"/>
  <c r="IG158" i="14" s="1"/>
  <c r="F141" i="15" l="1"/>
  <c r="F139" i="38"/>
  <c r="I142" i="15"/>
  <c r="I140" i="38"/>
  <c r="F142" i="15"/>
  <c r="F140" i="38"/>
  <c r="H142" i="15"/>
  <c r="H140" i="38"/>
  <c r="P156" i="14"/>
  <c r="AE156" i="14" s="1"/>
  <c r="AJ158" i="14"/>
  <c r="BO158" i="14" s="1"/>
  <c r="CI158" i="14" s="1"/>
  <c r="J156" i="14"/>
  <c r="AG157" i="14"/>
  <c r="AH157" i="14" s="1"/>
  <c r="AI157" i="14" s="1"/>
  <c r="BN157" i="14" s="1"/>
  <c r="CA157" i="14" s="1"/>
  <c r="AL157" i="14"/>
  <c r="AM157" i="14" s="1"/>
  <c r="AO157" i="14" s="1"/>
  <c r="AK159" i="14"/>
  <c r="AN159" i="14" s="1"/>
  <c r="IY157" i="14"/>
  <c r="JA157" i="14" s="1"/>
  <c r="JB157" i="14" s="1"/>
  <c r="GR157" i="14"/>
  <c r="GS157" i="14" s="1"/>
  <c r="GU157" i="14" s="1"/>
  <c r="S156" i="14"/>
  <c r="AF156" i="14" s="1"/>
  <c r="GM156" i="14" s="1"/>
  <c r="GN156" i="14" s="1"/>
  <c r="GP156" i="14" s="1"/>
  <c r="HU156" i="14" s="1"/>
  <c r="IO156" i="14" s="1"/>
  <c r="GQ159" i="14"/>
  <c r="GT159" i="14" s="1"/>
  <c r="HT159" i="14"/>
  <c r="IG159" i="14" s="1"/>
  <c r="G154" i="14"/>
  <c r="G155" i="14"/>
  <c r="I155" i="14"/>
  <c r="I139" i="38" s="1"/>
  <c r="P113" i="6"/>
  <c r="F154" i="14"/>
  <c r="Q114" i="6"/>
  <c r="J155" i="14"/>
  <c r="N115" i="6"/>
  <c r="R158" i="14"/>
  <c r="Q158" i="14"/>
  <c r="GP157" i="14"/>
  <c r="HU157" i="14" s="1"/>
  <c r="IO157" i="14" s="1"/>
  <c r="GQ158" i="14"/>
  <c r="GT158" i="14" s="1"/>
  <c r="P155" i="14"/>
  <c r="AE155" i="14" s="1"/>
  <c r="Q157" i="14"/>
  <c r="HT157" i="14"/>
  <c r="IG157" i="14" s="1"/>
  <c r="AQ159" i="14" l="1"/>
  <c r="AT159" i="14" s="1"/>
  <c r="AU159" i="14" s="1"/>
  <c r="AV159" i="14" s="1"/>
  <c r="AW159" i="14" s="1"/>
  <c r="G141" i="15"/>
  <c r="G139" i="38"/>
  <c r="G140" i="15"/>
  <c r="G138" i="38"/>
  <c r="J141" i="15"/>
  <c r="J139" i="38"/>
  <c r="J142" i="15"/>
  <c r="J140" i="38"/>
  <c r="F140" i="15"/>
  <c r="F138" i="38"/>
  <c r="T156" i="14"/>
  <c r="IX156" i="14" s="1"/>
  <c r="IZ156" i="14" s="1"/>
  <c r="AJ157" i="14"/>
  <c r="BO157" i="14" s="1"/>
  <c r="CI157" i="14" s="1"/>
  <c r="BG159" i="14"/>
  <c r="GR156" i="14"/>
  <c r="GS156" i="14" s="1"/>
  <c r="GU156" i="14" s="1"/>
  <c r="AK158" i="14"/>
  <c r="AN158" i="14" s="1"/>
  <c r="AY159" i="14"/>
  <c r="AG156" i="14"/>
  <c r="AH156" i="14" s="1"/>
  <c r="AJ156" i="14" s="1"/>
  <c r="BO156" i="14" s="1"/>
  <c r="CI156" i="14" s="1"/>
  <c r="AL156" i="14"/>
  <c r="AM156" i="14" s="1"/>
  <c r="AO156" i="14" s="1"/>
  <c r="G153" i="14"/>
  <c r="S155" i="14"/>
  <c r="AF155" i="14" s="1"/>
  <c r="AG155" i="14" s="1"/>
  <c r="AH155" i="14" s="1"/>
  <c r="AJ155" i="14" s="1"/>
  <c r="BO155" i="14" s="1"/>
  <c r="CI155" i="14" s="1"/>
  <c r="I141" i="15"/>
  <c r="Q113" i="6"/>
  <c r="J154" i="14"/>
  <c r="P112" i="6"/>
  <c r="F153" i="14"/>
  <c r="I154" i="14"/>
  <c r="I138" i="38" s="1"/>
  <c r="N114" i="6"/>
  <c r="H154" i="14" s="1"/>
  <c r="H155" i="14"/>
  <c r="GQ157" i="14"/>
  <c r="GT157" i="14" s="1"/>
  <c r="GO156" i="14"/>
  <c r="P154" i="14"/>
  <c r="AE154" i="14" s="1"/>
  <c r="Q156" i="14"/>
  <c r="T155" i="14"/>
  <c r="IX155" i="14" s="1"/>
  <c r="IZ155" i="14" s="1"/>
  <c r="BB159" i="14" l="1"/>
  <c r="BC159" i="14" s="1"/>
  <c r="BD159" i="14" s="1"/>
  <c r="BE159" i="14" s="1"/>
  <c r="BJ159" i="14" s="1"/>
  <c r="BK159" i="14" s="1"/>
  <c r="BL159" i="14" s="1"/>
  <c r="BM159" i="14" s="1"/>
  <c r="BS159" i="14" s="1"/>
  <c r="AK157" i="14"/>
  <c r="AY157" i="14" s="1"/>
  <c r="J140" i="15"/>
  <c r="J138" i="38"/>
  <c r="H141" i="15"/>
  <c r="H139" i="38"/>
  <c r="G139" i="15"/>
  <c r="G137" i="38"/>
  <c r="H140" i="15"/>
  <c r="H138" i="38"/>
  <c r="F139" i="15"/>
  <c r="F137" i="38"/>
  <c r="IY156" i="14"/>
  <c r="JA156" i="14" s="1"/>
  <c r="JB156" i="14" s="1"/>
  <c r="G152" i="14"/>
  <c r="AY158" i="14"/>
  <c r="AQ158" i="14"/>
  <c r="AT158" i="14" s="1"/>
  <c r="AU158" i="14" s="1"/>
  <c r="AV158" i="14" s="1"/>
  <c r="AW158" i="14" s="1"/>
  <c r="BG158" i="14"/>
  <c r="AI156" i="14"/>
  <c r="BN156" i="14" s="1"/>
  <c r="CA156" i="14" s="1"/>
  <c r="AL155" i="14"/>
  <c r="AM155" i="14" s="1"/>
  <c r="AO155" i="14" s="1"/>
  <c r="S154" i="14"/>
  <c r="AF154" i="14" s="1"/>
  <c r="AG154" i="14" s="1"/>
  <c r="AH154" i="14" s="1"/>
  <c r="AI154" i="14" s="1"/>
  <c r="BN154" i="14" s="1"/>
  <c r="CA154" i="14" s="1"/>
  <c r="I140" i="15"/>
  <c r="GM155" i="14"/>
  <c r="GN155" i="14" s="1"/>
  <c r="GR155" i="14"/>
  <c r="GS155" i="14" s="1"/>
  <c r="GU155" i="14" s="1"/>
  <c r="I153" i="14"/>
  <c r="P111" i="6"/>
  <c r="F152" i="14"/>
  <c r="N113" i="6"/>
  <c r="H153" i="14" s="1"/>
  <c r="Q112" i="6"/>
  <c r="J153" i="14"/>
  <c r="R157" i="14"/>
  <c r="HT156" i="14"/>
  <c r="IG156" i="14" s="1"/>
  <c r="GQ156" i="14"/>
  <c r="GT156" i="14" s="1"/>
  <c r="AI155" i="14"/>
  <c r="BN155" i="14" s="1"/>
  <c r="CA155" i="14" s="1"/>
  <c r="IY155" i="14"/>
  <c r="JA155" i="14" s="1"/>
  <c r="JB155" i="14" s="1"/>
  <c r="P153" i="14"/>
  <c r="AE153" i="14" s="1"/>
  <c r="Q155" i="14"/>
  <c r="T154" i="14"/>
  <c r="IX154" i="14" s="1"/>
  <c r="IZ154" i="14" s="1"/>
  <c r="AN157" i="14" l="1"/>
  <c r="AQ157" i="14"/>
  <c r="AT157" i="14" s="1"/>
  <c r="AU157" i="14" s="1"/>
  <c r="AV157" i="14" s="1"/>
  <c r="AW157" i="14" s="1"/>
  <c r="BB157" i="14" s="1"/>
  <c r="BC157" i="14" s="1"/>
  <c r="BD157" i="14" s="1"/>
  <c r="BE157" i="14" s="1"/>
  <c r="BG157" i="14"/>
  <c r="J139" i="15"/>
  <c r="J137" i="38"/>
  <c r="G138" i="15"/>
  <c r="G136" i="38"/>
  <c r="F138" i="15"/>
  <c r="F136" i="38"/>
  <c r="I139" i="15"/>
  <c r="I137" i="38"/>
  <c r="H139" i="15"/>
  <c r="H137" i="38"/>
  <c r="G151" i="14"/>
  <c r="BB158" i="14"/>
  <c r="BC158" i="14" s="1"/>
  <c r="BD158" i="14" s="1"/>
  <c r="BE158" i="14" s="1"/>
  <c r="BJ158" i="14" s="1"/>
  <c r="BK158" i="14" s="1"/>
  <c r="BL158" i="14" s="1"/>
  <c r="BM158" i="14" s="1"/>
  <c r="BS158" i="14" s="1"/>
  <c r="N112" i="6"/>
  <c r="H152" i="14" s="1"/>
  <c r="AL154" i="14"/>
  <c r="AM154" i="14" s="1"/>
  <c r="AO154" i="14" s="1"/>
  <c r="GR154" i="14"/>
  <c r="GS154" i="14" s="1"/>
  <c r="GU154" i="14" s="1"/>
  <c r="GM154" i="14"/>
  <c r="GN154" i="14" s="1"/>
  <c r="GP154" i="14" s="1"/>
  <c r="HU154" i="14" s="1"/>
  <c r="IO154" i="14" s="1"/>
  <c r="AK156" i="14"/>
  <c r="AY156" i="14" s="1"/>
  <c r="S153" i="14"/>
  <c r="AF153" i="14" s="1"/>
  <c r="AL153" i="14" s="1"/>
  <c r="AM153" i="14" s="1"/>
  <c r="AO153" i="14" s="1"/>
  <c r="GO155" i="14"/>
  <c r="GP155" i="14"/>
  <c r="HU155" i="14" s="1"/>
  <c r="IO155" i="14" s="1"/>
  <c r="Q111" i="6"/>
  <c r="J152" i="14"/>
  <c r="P110" i="6"/>
  <c r="F151" i="14"/>
  <c r="I152" i="14"/>
  <c r="I136" i="38" s="1"/>
  <c r="AK155" i="14"/>
  <c r="AY155" i="14" s="1"/>
  <c r="AJ154" i="14"/>
  <c r="BO154" i="14" s="1"/>
  <c r="CI154" i="14" s="1"/>
  <c r="IY154" i="14"/>
  <c r="JA154" i="14" s="1"/>
  <c r="JB154" i="14" s="1"/>
  <c r="Q154" i="14"/>
  <c r="T153" i="14"/>
  <c r="IX153" i="14" s="1"/>
  <c r="IZ153" i="14" s="1"/>
  <c r="R155" i="14"/>
  <c r="P152" i="14"/>
  <c r="AE152" i="14" s="1"/>
  <c r="G150" i="14"/>
  <c r="BJ157" i="14" l="1"/>
  <c r="BK157" i="14" s="1"/>
  <c r="BL157" i="14" s="1"/>
  <c r="BM157" i="14" s="1"/>
  <c r="BS157" i="14" s="1"/>
  <c r="N111" i="6"/>
  <c r="H151" i="14" s="1"/>
  <c r="H137" i="15" s="1"/>
  <c r="H138" i="15"/>
  <c r="H136" i="38"/>
  <c r="G137" i="15"/>
  <c r="G135" i="38"/>
  <c r="J138" i="15"/>
  <c r="J136" i="38"/>
  <c r="G136" i="15"/>
  <c r="G134" i="38"/>
  <c r="F137" i="15"/>
  <c r="F135" i="38"/>
  <c r="GO154" i="14"/>
  <c r="HT154" i="14" s="1"/>
  <c r="IG154" i="14" s="1"/>
  <c r="GM153" i="14"/>
  <c r="GN153" i="14" s="1"/>
  <c r="GP153" i="14" s="1"/>
  <c r="HU153" i="14" s="1"/>
  <c r="IO153" i="14" s="1"/>
  <c r="GR153" i="14"/>
  <c r="GS153" i="14" s="1"/>
  <c r="GU153" i="14" s="1"/>
  <c r="AN156" i="14"/>
  <c r="BG156" i="14"/>
  <c r="AG153" i="14"/>
  <c r="AH153" i="14" s="1"/>
  <c r="AJ153" i="14" s="1"/>
  <c r="BO153" i="14" s="1"/>
  <c r="CI153" i="14" s="1"/>
  <c r="AQ156" i="14"/>
  <c r="AT156" i="14" s="1"/>
  <c r="AU156" i="14" s="1"/>
  <c r="AV156" i="14" s="1"/>
  <c r="HT155" i="14"/>
  <c r="IG155" i="14" s="1"/>
  <c r="GQ155" i="14"/>
  <c r="GT155" i="14" s="1"/>
  <c r="S152" i="14"/>
  <c r="AF152" i="14" s="1"/>
  <c r="GR152" i="14" s="1"/>
  <c r="GS152" i="14" s="1"/>
  <c r="GU152" i="14" s="1"/>
  <c r="I138" i="15"/>
  <c r="I151" i="14"/>
  <c r="I135" i="38" s="1"/>
  <c r="P109" i="6"/>
  <c r="F150" i="14"/>
  <c r="Q110" i="6"/>
  <c r="J151" i="14"/>
  <c r="R156" i="14"/>
  <c r="AN155" i="14"/>
  <c r="BG155" i="14"/>
  <c r="AQ155" i="14"/>
  <c r="AT155" i="14" s="1"/>
  <c r="AU155" i="14" s="1"/>
  <c r="AV155" i="14" s="1"/>
  <c r="AK154" i="14"/>
  <c r="AN154" i="14" s="1"/>
  <c r="IY153" i="14"/>
  <c r="JA153" i="14" s="1"/>
  <c r="JB153" i="14" s="1"/>
  <c r="R154" i="14"/>
  <c r="P151" i="14"/>
  <c r="AE151" i="14" s="1"/>
  <c r="T152" i="14"/>
  <c r="IX152" i="14" s="1"/>
  <c r="IZ152" i="14" s="1"/>
  <c r="Q153" i="14"/>
  <c r="G149" i="14"/>
  <c r="GQ154" i="14" l="1"/>
  <c r="GT154" i="14" s="1"/>
  <c r="H135" i="38"/>
  <c r="N110" i="6"/>
  <c r="H150" i="14" s="1"/>
  <c r="H134" i="38" s="1"/>
  <c r="GO153" i="14"/>
  <c r="HT153" i="14" s="1"/>
  <c r="IG153" i="14" s="1"/>
  <c r="J137" i="15"/>
  <c r="J135" i="38"/>
  <c r="G135" i="15"/>
  <c r="G133" i="38"/>
  <c r="F136" i="15"/>
  <c r="F134" i="38"/>
  <c r="AW156" i="14"/>
  <c r="BB156" i="14" s="1"/>
  <c r="BC156" i="14" s="1"/>
  <c r="BD156" i="14" s="1"/>
  <c r="BE156" i="14" s="1"/>
  <c r="BJ156" i="14" s="1"/>
  <c r="BK156" i="14" s="1"/>
  <c r="BL156" i="14" s="1"/>
  <c r="BM156" i="14" s="1"/>
  <c r="BS156" i="14" s="1"/>
  <c r="GM152" i="14"/>
  <c r="GN152" i="14" s="1"/>
  <c r="GO152" i="14" s="1"/>
  <c r="HT152" i="14" s="1"/>
  <c r="IG152" i="14" s="1"/>
  <c r="AI153" i="14"/>
  <c r="BN153" i="14" s="1"/>
  <c r="CA153" i="14" s="1"/>
  <c r="AL152" i="14"/>
  <c r="AM152" i="14" s="1"/>
  <c r="AO152" i="14" s="1"/>
  <c r="AG152" i="14"/>
  <c r="AH152" i="14" s="1"/>
  <c r="AJ152" i="14" s="1"/>
  <c r="BO152" i="14" s="1"/>
  <c r="CI152" i="14" s="1"/>
  <c r="S151" i="14"/>
  <c r="AF151" i="14" s="1"/>
  <c r="GR151" i="14" s="1"/>
  <c r="GS151" i="14" s="1"/>
  <c r="GU151" i="14" s="1"/>
  <c r="I137" i="15"/>
  <c r="Q109" i="6"/>
  <c r="J150" i="14"/>
  <c r="P108" i="6"/>
  <c r="F149" i="14"/>
  <c r="I150" i="14"/>
  <c r="AW155" i="14"/>
  <c r="BB155" i="14" s="1"/>
  <c r="BC155" i="14" s="1"/>
  <c r="BD155" i="14" s="1"/>
  <c r="BE155" i="14" s="1"/>
  <c r="BJ155" i="14" s="1"/>
  <c r="BK155" i="14" s="1"/>
  <c r="BL155" i="14" s="1"/>
  <c r="BM155" i="14" s="1"/>
  <c r="BS155" i="14" s="1"/>
  <c r="AQ154" i="14"/>
  <c r="AT154" i="14" s="1"/>
  <c r="AU154" i="14" s="1"/>
  <c r="AV154" i="14" s="1"/>
  <c r="AW154" i="14" s="1"/>
  <c r="AY154" i="14"/>
  <c r="BG154" i="14"/>
  <c r="IY152" i="14"/>
  <c r="JA152" i="14" s="1"/>
  <c r="JB152" i="14" s="1"/>
  <c r="T151" i="14"/>
  <c r="IX151" i="14" s="1"/>
  <c r="IZ151" i="14" s="1"/>
  <c r="P150" i="14"/>
  <c r="AE150" i="14" s="1"/>
  <c r="Q152" i="14"/>
  <c r="R153" i="14"/>
  <c r="N109" i="6"/>
  <c r="H149" i="14" s="1"/>
  <c r="G148" i="14"/>
  <c r="GQ153" i="14" l="1"/>
  <c r="GT153" i="14" s="1"/>
  <c r="H136" i="15"/>
  <c r="H135" i="15"/>
  <c r="H133" i="38"/>
  <c r="I136" i="15"/>
  <c r="I134" i="38"/>
  <c r="F135" i="15"/>
  <c r="F133" i="38"/>
  <c r="G134" i="15"/>
  <c r="G132" i="38"/>
  <c r="J136" i="15"/>
  <c r="J134" i="38"/>
  <c r="AI152" i="14"/>
  <c r="BN152" i="14" s="1"/>
  <c r="CA152" i="14" s="1"/>
  <c r="AL151" i="14"/>
  <c r="AM151" i="14" s="1"/>
  <c r="AO151" i="14" s="1"/>
  <c r="GP152" i="14"/>
  <c r="HU152" i="14" s="1"/>
  <c r="IO152" i="14" s="1"/>
  <c r="S150" i="14"/>
  <c r="AF150" i="14" s="1"/>
  <c r="GM150" i="14" s="1"/>
  <c r="GN150" i="14" s="1"/>
  <c r="AK153" i="14"/>
  <c r="BG153" i="14" s="1"/>
  <c r="GM151" i="14"/>
  <c r="GN151" i="14" s="1"/>
  <c r="AG151" i="14"/>
  <c r="AH151" i="14" s="1"/>
  <c r="AJ151" i="14" s="1"/>
  <c r="BO151" i="14" s="1"/>
  <c r="CI151" i="14" s="1"/>
  <c r="P107" i="6"/>
  <c r="F148" i="14"/>
  <c r="Q108" i="6"/>
  <c r="J149" i="14"/>
  <c r="I149" i="14"/>
  <c r="I133" i="38" s="1"/>
  <c r="BB154" i="14"/>
  <c r="BC154" i="14" s="1"/>
  <c r="BD154" i="14" s="1"/>
  <c r="BE154" i="14" s="1"/>
  <c r="BJ154" i="14" s="1"/>
  <c r="BK154" i="14" s="1"/>
  <c r="BL154" i="14" s="1"/>
  <c r="BM154" i="14" s="1"/>
  <c r="BS154" i="14" s="1"/>
  <c r="IY151" i="14"/>
  <c r="JA151" i="14" s="1"/>
  <c r="JB151" i="14" s="1"/>
  <c r="P149" i="14"/>
  <c r="AE149" i="14" s="1"/>
  <c r="T150" i="14"/>
  <c r="IX150" i="14" s="1"/>
  <c r="IZ150" i="14" s="1"/>
  <c r="Q151" i="14"/>
  <c r="N108" i="6"/>
  <c r="H148" i="14" s="1"/>
  <c r="G147" i="14"/>
  <c r="J135" i="15" l="1"/>
  <c r="J133" i="38"/>
  <c r="H134" i="15"/>
  <c r="H132" i="38"/>
  <c r="F134" i="15"/>
  <c r="F132" i="38"/>
  <c r="AL150" i="14"/>
  <c r="AM150" i="14" s="1"/>
  <c r="AO150" i="14" s="1"/>
  <c r="G133" i="15"/>
  <c r="G131" i="38"/>
  <c r="AG150" i="14"/>
  <c r="AH150" i="14" s="1"/>
  <c r="AI150" i="14" s="1"/>
  <c r="BN150" i="14" s="1"/>
  <c r="CA150" i="14" s="1"/>
  <c r="GR150" i="14"/>
  <c r="GS150" i="14" s="1"/>
  <c r="GU150" i="14" s="1"/>
  <c r="AY153" i="14"/>
  <c r="AQ153" i="14"/>
  <c r="AT153" i="14" s="1"/>
  <c r="AU153" i="14" s="1"/>
  <c r="AV153" i="14" s="1"/>
  <c r="GQ152" i="14"/>
  <c r="GT152" i="14" s="1"/>
  <c r="AN153" i="14"/>
  <c r="AK152" i="14"/>
  <c r="AY152" i="14" s="1"/>
  <c r="AI151" i="14"/>
  <c r="GO151" i="14"/>
  <c r="GP151" i="14"/>
  <c r="HU151" i="14" s="1"/>
  <c r="IO151" i="14" s="1"/>
  <c r="S149" i="14"/>
  <c r="AF149" i="14" s="1"/>
  <c r="GM149" i="14" s="1"/>
  <c r="GN149" i="14" s="1"/>
  <c r="GO149" i="14" s="1"/>
  <c r="I135" i="15"/>
  <c r="I148" i="14"/>
  <c r="Q107" i="6"/>
  <c r="J148" i="14"/>
  <c r="P106" i="6"/>
  <c r="F147" i="14"/>
  <c r="R152" i="14"/>
  <c r="GO150" i="14"/>
  <c r="GP150" i="14"/>
  <c r="HU150" i="14" s="1"/>
  <c r="IO150" i="14" s="1"/>
  <c r="IY150" i="14"/>
  <c r="JA150" i="14" s="1"/>
  <c r="JC159" i="14" s="1"/>
  <c r="P148" i="14"/>
  <c r="AE148" i="14" s="1"/>
  <c r="T149" i="14"/>
  <c r="IX149" i="14" s="1"/>
  <c r="IZ149" i="14" s="1"/>
  <c r="R151" i="14"/>
  <c r="Q150" i="14"/>
  <c r="G146" i="14"/>
  <c r="N107" i="6"/>
  <c r="H147" i="14" s="1"/>
  <c r="AJ150" i="14" l="1"/>
  <c r="BO150" i="14" s="1"/>
  <c r="CI150" i="14" s="1"/>
  <c r="GR149" i="14"/>
  <c r="GS149" i="14" s="1"/>
  <c r="GU149" i="14" s="1"/>
  <c r="I134" i="15"/>
  <c r="I132" i="38"/>
  <c r="F133" i="15"/>
  <c r="F131" i="38"/>
  <c r="H133" i="15"/>
  <c r="H131" i="38"/>
  <c r="G132" i="15"/>
  <c r="G130" i="38"/>
  <c r="AF143" i="38"/>
  <c r="AH143" i="38"/>
  <c r="J134" i="15"/>
  <c r="J132" i="38"/>
  <c r="AW153" i="14"/>
  <c r="BB153" i="14" s="1"/>
  <c r="BC153" i="14" s="1"/>
  <c r="BD153" i="14" s="1"/>
  <c r="BE153" i="14" s="1"/>
  <c r="BJ153" i="14" s="1"/>
  <c r="BK153" i="14" s="1"/>
  <c r="BL153" i="14" s="1"/>
  <c r="BM153" i="14" s="1"/>
  <c r="BS153" i="14" s="1"/>
  <c r="AN152" i="14"/>
  <c r="AQ152" i="14"/>
  <c r="AT152" i="14" s="1"/>
  <c r="AU152" i="14" s="1"/>
  <c r="AV152" i="14" s="1"/>
  <c r="BG152" i="14"/>
  <c r="AG149" i="14"/>
  <c r="AH149" i="14" s="1"/>
  <c r="AI149" i="14" s="1"/>
  <c r="BN149" i="14" s="1"/>
  <c r="CA149" i="14" s="1"/>
  <c r="AL149" i="14"/>
  <c r="AM149" i="14" s="1"/>
  <c r="AO149" i="14" s="1"/>
  <c r="HT151" i="14"/>
  <c r="IG151" i="14" s="1"/>
  <c r="GQ151" i="14"/>
  <c r="GT151" i="14" s="1"/>
  <c r="S148" i="14"/>
  <c r="AF148" i="14" s="1"/>
  <c r="AL148" i="14" s="1"/>
  <c r="AM148" i="14" s="1"/>
  <c r="AO148" i="14" s="1"/>
  <c r="BN151" i="14"/>
  <c r="CA151" i="14" s="1"/>
  <c r="AK151" i="14"/>
  <c r="P105" i="6"/>
  <c r="F146" i="14"/>
  <c r="Q106" i="6"/>
  <c r="J147" i="14"/>
  <c r="I147" i="14"/>
  <c r="JC155" i="14"/>
  <c r="JB150" i="14"/>
  <c r="JD151" i="14" s="1"/>
  <c r="GP149" i="14"/>
  <c r="HU149" i="14" s="1"/>
  <c r="IO149" i="14" s="1"/>
  <c r="JC157" i="14"/>
  <c r="JC150" i="14"/>
  <c r="JC154" i="14"/>
  <c r="JC158" i="14"/>
  <c r="JC151" i="14"/>
  <c r="JC160" i="14"/>
  <c r="IY149" i="14"/>
  <c r="JA149" i="14" s="1"/>
  <c r="JB149" i="14" s="1"/>
  <c r="JC152" i="14"/>
  <c r="JC153" i="14"/>
  <c r="JC156" i="14"/>
  <c r="HT150" i="14"/>
  <c r="IG150" i="14" s="1"/>
  <c r="GQ150" i="14"/>
  <c r="GT150" i="14" s="1"/>
  <c r="R150" i="14"/>
  <c r="AW145" i="15"/>
  <c r="BI145" i="15" s="1"/>
  <c r="AU145" i="15"/>
  <c r="BH145" i="15" s="1"/>
  <c r="Q149" i="14"/>
  <c r="T148" i="14"/>
  <c r="IX148" i="14" s="1"/>
  <c r="IZ148" i="14" s="1"/>
  <c r="P147" i="14"/>
  <c r="AE147" i="14" s="1"/>
  <c r="HT149" i="14"/>
  <c r="IG149" i="14" s="1"/>
  <c r="G145" i="14"/>
  <c r="N106" i="6"/>
  <c r="H146" i="14" s="1"/>
  <c r="AJ149" i="14" l="1"/>
  <c r="BO149" i="14" s="1"/>
  <c r="CI149" i="14" s="1"/>
  <c r="AK150" i="14"/>
  <c r="AQ150" i="14" s="1"/>
  <c r="AT150" i="14" s="1"/>
  <c r="AU150" i="14" s="1"/>
  <c r="AV150" i="14" s="1"/>
  <c r="GR148" i="14"/>
  <c r="GS148" i="14" s="1"/>
  <c r="GU148" i="14" s="1"/>
  <c r="AW152" i="14"/>
  <c r="BB152" i="14" s="1"/>
  <c r="BC152" i="14" s="1"/>
  <c r="BD152" i="14" s="1"/>
  <c r="BE152" i="14" s="1"/>
  <c r="BJ152" i="14" s="1"/>
  <c r="BK152" i="14" s="1"/>
  <c r="BL152" i="14" s="1"/>
  <c r="BM152" i="14" s="1"/>
  <c r="BS152" i="14" s="1"/>
  <c r="AU146" i="15"/>
  <c r="BH146" i="15" s="1"/>
  <c r="AH144" i="38"/>
  <c r="AF144" i="38"/>
  <c r="AW137" i="15"/>
  <c r="BI137" i="15" s="1"/>
  <c r="AH135" i="38"/>
  <c r="AF135" i="38"/>
  <c r="AW141" i="15"/>
  <c r="BI141" i="15" s="1"/>
  <c r="AF139" i="38"/>
  <c r="AH139" i="38"/>
  <c r="G131" i="15"/>
  <c r="G129" i="38"/>
  <c r="AF142" i="38"/>
  <c r="AH142" i="38"/>
  <c r="AU140" i="15"/>
  <c r="BH140" i="15" s="1"/>
  <c r="AF138" i="38"/>
  <c r="AH138" i="38"/>
  <c r="AU142" i="15"/>
  <c r="BH142" i="15" s="1"/>
  <c r="AF140" i="38"/>
  <c r="AH140" i="38"/>
  <c r="AW136" i="15"/>
  <c r="BI136" i="15" s="1"/>
  <c r="AH134" i="38"/>
  <c r="AF134" i="38"/>
  <c r="J133" i="15"/>
  <c r="J131" i="38"/>
  <c r="H132" i="15"/>
  <c r="H130" i="38"/>
  <c r="AG135" i="38"/>
  <c r="AI135" i="38"/>
  <c r="I133" i="15"/>
  <c r="I131" i="38"/>
  <c r="AW139" i="15"/>
  <c r="BI139" i="15" s="1"/>
  <c r="AF137" i="38"/>
  <c r="AH137" i="38"/>
  <c r="AW143" i="15"/>
  <c r="BI143" i="15" s="1"/>
  <c r="AF141" i="38"/>
  <c r="AH141" i="38"/>
  <c r="AH136" i="38"/>
  <c r="AF136" i="38"/>
  <c r="F132" i="15"/>
  <c r="F130" i="38"/>
  <c r="GM148" i="14"/>
  <c r="GN148" i="14" s="1"/>
  <c r="GO148" i="14" s="1"/>
  <c r="HT148" i="14" s="1"/>
  <c r="IG148" i="14" s="1"/>
  <c r="AG148" i="14"/>
  <c r="AH148" i="14" s="1"/>
  <c r="AJ148" i="14" s="1"/>
  <c r="BO148" i="14" s="1"/>
  <c r="CI148" i="14" s="1"/>
  <c r="AU141" i="15"/>
  <c r="BH141" i="15" s="1"/>
  <c r="JD159" i="14"/>
  <c r="AV145" i="15" s="1"/>
  <c r="JD157" i="14"/>
  <c r="AY151" i="14"/>
  <c r="AQ151" i="14"/>
  <c r="AT151" i="14" s="1"/>
  <c r="AU151" i="14" s="1"/>
  <c r="AV151" i="14" s="1"/>
  <c r="BG151" i="14"/>
  <c r="AN151" i="14"/>
  <c r="S147" i="14"/>
  <c r="AF147" i="14" s="1"/>
  <c r="GR147" i="14" s="1"/>
  <c r="GS147" i="14" s="1"/>
  <c r="GU147" i="14" s="1"/>
  <c r="I146" i="14"/>
  <c r="S146" i="14" s="1"/>
  <c r="AF146" i="14" s="1"/>
  <c r="Q105" i="6"/>
  <c r="J146" i="14"/>
  <c r="P104" i="6"/>
  <c r="F145" i="14"/>
  <c r="JD155" i="14"/>
  <c r="JD153" i="14"/>
  <c r="JD152" i="14"/>
  <c r="JD150" i="14"/>
  <c r="JD156" i="14"/>
  <c r="JD154" i="14"/>
  <c r="JD160" i="14"/>
  <c r="JD158" i="14"/>
  <c r="GQ149" i="14"/>
  <c r="GT149" i="14" s="1"/>
  <c r="BG150" i="14"/>
  <c r="AY150" i="14"/>
  <c r="AN150" i="14"/>
  <c r="AU137" i="15"/>
  <c r="BH137" i="15" s="1"/>
  <c r="AU144" i="15"/>
  <c r="BH144" i="15" s="1"/>
  <c r="AW140" i="15"/>
  <c r="BI140" i="15" s="1"/>
  <c r="AW144" i="15"/>
  <c r="BI144" i="15" s="1"/>
  <c r="AU136" i="15"/>
  <c r="BH136" i="15" s="1"/>
  <c r="AU143" i="15"/>
  <c r="BH143" i="15" s="1"/>
  <c r="AW146" i="15"/>
  <c r="BI146" i="15" s="1"/>
  <c r="AW138" i="15"/>
  <c r="BI138" i="15" s="1"/>
  <c r="AU138" i="15"/>
  <c r="BH138" i="15" s="1"/>
  <c r="AU139" i="15"/>
  <c r="BH139" i="15" s="1"/>
  <c r="AK149" i="14"/>
  <c r="AN149" i="14" s="1"/>
  <c r="AW142" i="15"/>
  <c r="BI142" i="15" s="1"/>
  <c r="Q148" i="14"/>
  <c r="IY148" i="14"/>
  <c r="JA148" i="14" s="1"/>
  <c r="JB148" i="14" s="1"/>
  <c r="AX137" i="15"/>
  <c r="AV137" i="15"/>
  <c r="R149" i="14"/>
  <c r="P146" i="14"/>
  <c r="AE146" i="14" s="1"/>
  <c r="T147" i="14"/>
  <c r="IX147" i="14" s="1"/>
  <c r="IZ147" i="14" s="1"/>
  <c r="G144" i="14"/>
  <c r="N105" i="6"/>
  <c r="H145" i="14" s="1"/>
  <c r="AW150" i="14" l="1"/>
  <c r="GP148" i="14"/>
  <c r="HU148" i="14" s="1"/>
  <c r="IO148" i="14" s="1"/>
  <c r="AI148" i="14"/>
  <c r="BN148" i="14" s="1"/>
  <c r="CA148" i="14" s="1"/>
  <c r="G130" i="15"/>
  <c r="G128" i="38"/>
  <c r="AG140" i="38"/>
  <c r="AI140" i="38"/>
  <c r="J132" i="15"/>
  <c r="J130" i="38"/>
  <c r="AV143" i="15"/>
  <c r="AG141" i="38"/>
  <c r="AI141" i="38"/>
  <c r="AV138" i="15"/>
  <c r="AG136" i="38"/>
  <c r="AI136" i="38"/>
  <c r="I132" i="15"/>
  <c r="I130" i="38"/>
  <c r="AX145" i="15"/>
  <c r="AG143" i="38"/>
  <c r="AI143" i="38"/>
  <c r="AX140" i="15"/>
  <c r="AG138" i="38"/>
  <c r="AI138" i="38"/>
  <c r="AX136" i="15"/>
  <c r="AG134" i="38"/>
  <c r="AI134" i="38"/>
  <c r="AX139" i="15"/>
  <c r="AG137" i="38"/>
  <c r="AI137" i="38"/>
  <c r="H131" i="15"/>
  <c r="H129" i="38"/>
  <c r="AV141" i="15"/>
  <c r="AG139" i="38"/>
  <c r="AI139" i="38"/>
  <c r="AX143" i="15"/>
  <c r="AX144" i="15"/>
  <c r="AG142" i="38"/>
  <c r="AI142" i="38"/>
  <c r="AV146" i="15"/>
  <c r="AI144" i="38"/>
  <c r="AG144" i="38"/>
  <c r="F131" i="15"/>
  <c r="F129" i="38"/>
  <c r="GM147" i="14"/>
  <c r="GN147" i="14" s="1"/>
  <c r="GP147" i="14" s="1"/>
  <c r="HU147" i="14" s="1"/>
  <c r="IO147" i="14" s="1"/>
  <c r="AL147" i="14"/>
  <c r="AM147" i="14" s="1"/>
  <c r="AO147" i="14" s="1"/>
  <c r="AG147" i="14"/>
  <c r="AH147" i="14" s="1"/>
  <c r="AJ147" i="14" s="1"/>
  <c r="BO147" i="14" s="1"/>
  <c r="CI147" i="14" s="1"/>
  <c r="AW151" i="14"/>
  <c r="BB151" i="14" s="1"/>
  <c r="BC151" i="14" s="1"/>
  <c r="BD151" i="14" s="1"/>
  <c r="BE151" i="14" s="1"/>
  <c r="BJ151" i="14" s="1"/>
  <c r="BK151" i="14" s="1"/>
  <c r="BL151" i="14" s="1"/>
  <c r="BM151" i="14" s="1"/>
  <c r="BS151" i="14" s="1"/>
  <c r="GQ148" i="14"/>
  <c r="GT148" i="14" s="1"/>
  <c r="AX141" i="15"/>
  <c r="P103" i="6"/>
  <c r="F144" i="14"/>
  <c r="Q104" i="6"/>
  <c r="J145" i="14"/>
  <c r="I145" i="14"/>
  <c r="I129" i="38" s="1"/>
  <c r="AX142" i="15"/>
  <c r="AV142" i="15"/>
  <c r="AX138" i="15"/>
  <c r="T146" i="14"/>
  <c r="IX146" i="14" s="1"/>
  <c r="IZ146" i="14" s="1"/>
  <c r="AV136" i="15"/>
  <c r="AV139" i="15"/>
  <c r="GR146" i="14"/>
  <c r="GS146" i="14" s="1"/>
  <c r="GU146" i="14" s="1"/>
  <c r="BB150" i="14"/>
  <c r="BC150" i="14" s="1"/>
  <c r="BD150" i="14" s="1"/>
  <c r="BE150" i="14" s="1"/>
  <c r="BJ150" i="14" s="1"/>
  <c r="BK150" i="14" s="1"/>
  <c r="BL150" i="14" s="1"/>
  <c r="BM150" i="14" s="1"/>
  <c r="BS150" i="14" s="1"/>
  <c r="AV144" i="15"/>
  <c r="AX146" i="15"/>
  <c r="AV140" i="15"/>
  <c r="P145" i="14"/>
  <c r="AE145" i="14" s="1"/>
  <c r="BG149" i="14"/>
  <c r="AQ149" i="14"/>
  <c r="AT149" i="14" s="1"/>
  <c r="AU149" i="14" s="1"/>
  <c r="AV149" i="14" s="1"/>
  <c r="AW149" i="14" s="1"/>
  <c r="AY149" i="14"/>
  <c r="IY147" i="14"/>
  <c r="JA147" i="14" s="1"/>
  <c r="JB147" i="14" s="1"/>
  <c r="AL146" i="14"/>
  <c r="AM146" i="14" s="1"/>
  <c r="AG146" i="14"/>
  <c r="AH146" i="14" s="1"/>
  <c r="AJ146" i="14" s="1"/>
  <c r="BO146" i="14" s="1"/>
  <c r="CI146" i="14" s="1"/>
  <c r="GM146" i="14"/>
  <c r="GN146" i="14" s="1"/>
  <c r="GP146" i="14" s="1"/>
  <c r="HU146" i="14" s="1"/>
  <c r="IO146" i="14" s="1"/>
  <c r="R148" i="14"/>
  <c r="Q147" i="14"/>
  <c r="N104" i="6"/>
  <c r="H144" i="14" s="1"/>
  <c r="G143" i="14"/>
  <c r="AK148" i="14" l="1"/>
  <c r="AY148" i="14" s="1"/>
  <c r="H130" i="15"/>
  <c r="H128" i="38"/>
  <c r="J131" i="15"/>
  <c r="J129" i="38"/>
  <c r="F130" i="15"/>
  <c r="F128" i="38"/>
  <c r="G129" i="15"/>
  <c r="G127" i="38"/>
  <c r="GO147" i="14"/>
  <c r="HT147" i="14" s="1"/>
  <c r="IG147" i="14" s="1"/>
  <c r="AI147" i="14"/>
  <c r="BN147" i="14" s="1"/>
  <c r="CA147" i="14" s="1"/>
  <c r="S145" i="14"/>
  <c r="AF145" i="14" s="1"/>
  <c r="AL145" i="14" s="1"/>
  <c r="AM145" i="14" s="1"/>
  <c r="AO145" i="14" s="1"/>
  <c r="I131" i="15"/>
  <c r="I144" i="14"/>
  <c r="Q103" i="6"/>
  <c r="J144" i="14"/>
  <c r="P102" i="6"/>
  <c r="F143" i="14"/>
  <c r="AK147" i="14"/>
  <c r="AN147" i="14" s="1"/>
  <c r="IY146" i="14"/>
  <c r="JA146" i="14" s="1"/>
  <c r="JB146" i="14" s="1"/>
  <c r="BG148" i="14"/>
  <c r="AN148" i="14"/>
  <c r="AQ148" i="14"/>
  <c r="AT148" i="14" s="1"/>
  <c r="AU148" i="14" s="1"/>
  <c r="AV148" i="14" s="1"/>
  <c r="AO146" i="14"/>
  <c r="BB149" i="14"/>
  <c r="BC149" i="14" s="1"/>
  <c r="BD149" i="14" s="1"/>
  <c r="BE149" i="14" s="1"/>
  <c r="BJ149" i="14" s="1"/>
  <c r="BK149" i="14" s="1"/>
  <c r="BL149" i="14" s="1"/>
  <c r="BM149" i="14" s="1"/>
  <c r="BS149" i="14" s="1"/>
  <c r="AI146" i="14"/>
  <c r="BN146" i="14" s="1"/>
  <c r="CA146" i="14" s="1"/>
  <c r="GO146" i="14"/>
  <c r="HT146" i="14" s="1"/>
  <c r="IG146" i="14" s="1"/>
  <c r="P144" i="14"/>
  <c r="AE144" i="14" s="1"/>
  <c r="T145" i="14"/>
  <c r="IX145" i="14" s="1"/>
  <c r="IZ145" i="14" s="1"/>
  <c r="Q146" i="14"/>
  <c r="N103" i="6"/>
  <c r="H143" i="14" s="1"/>
  <c r="G142" i="14"/>
  <c r="I130" i="15" l="1"/>
  <c r="I128" i="38"/>
  <c r="J130" i="15"/>
  <c r="J128" i="38"/>
  <c r="G128" i="15"/>
  <c r="G126" i="38"/>
  <c r="H129" i="15"/>
  <c r="H127" i="38"/>
  <c r="F129" i="15"/>
  <c r="F127" i="38"/>
  <c r="AG145" i="14"/>
  <c r="AH145" i="14" s="1"/>
  <c r="AI145" i="14" s="1"/>
  <c r="BN145" i="14" s="1"/>
  <c r="CA145" i="14" s="1"/>
  <c r="GQ147" i="14"/>
  <c r="GT147" i="14" s="1"/>
  <c r="T144" i="14"/>
  <c r="IX144" i="14" s="1"/>
  <c r="IY144" i="14" s="1"/>
  <c r="S144" i="14"/>
  <c r="AF144" i="14" s="1"/>
  <c r="AL144" i="14" s="1"/>
  <c r="AM144" i="14" s="1"/>
  <c r="AO144" i="14" s="1"/>
  <c r="GR145" i="14"/>
  <c r="GS145" i="14" s="1"/>
  <c r="GU145" i="14" s="1"/>
  <c r="GM145" i="14"/>
  <c r="GN145" i="14" s="1"/>
  <c r="P101" i="6"/>
  <c r="F142" i="14"/>
  <c r="Q102" i="6"/>
  <c r="J143" i="14"/>
  <c r="I143" i="14"/>
  <c r="AY147" i="14"/>
  <c r="R147" i="14"/>
  <c r="BG147" i="14"/>
  <c r="AQ147" i="14"/>
  <c r="AT147" i="14" s="1"/>
  <c r="AU147" i="14" s="1"/>
  <c r="AV147" i="14" s="1"/>
  <c r="AW147" i="14" s="1"/>
  <c r="AW148" i="14"/>
  <c r="BB148" i="14" s="1"/>
  <c r="BC148" i="14" s="1"/>
  <c r="BD148" i="14" s="1"/>
  <c r="BE148" i="14" s="1"/>
  <c r="BJ148" i="14" s="1"/>
  <c r="BK148" i="14" s="1"/>
  <c r="BL148" i="14" s="1"/>
  <c r="BM148" i="14" s="1"/>
  <c r="BS148" i="14" s="1"/>
  <c r="AK146" i="14"/>
  <c r="BG146" i="14" s="1"/>
  <c r="GQ146" i="14"/>
  <c r="GT146" i="14" s="1"/>
  <c r="IY145" i="14"/>
  <c r="JA145" i="14" s="1"/>
  <c r="JB145" i="14" s="1"/>
  <c r="R146" i="14"/>
  <c r="P143" i="14"/>
  <c r="AE143" i="14" s="1"/>
  <c r="Q145" i="14"/>
  <c r="N102" i="6"/>
  <c r="H142" i="14" s="1"/>
  <c r="G141" i="14"/>
  <c r="AJ145" i="14" l="1"/>
  <c r="BO145" i="14" s="1"/>
  <c r="CI145" i="14" s="1"/>
  <c r="GR144" i="14"/>
  <c r="GS144" i="14" s="1"/>
  <c r="GU144" i="14" s="1"/>
  <c r="J129" i="15"/>
  <c r="J127" i="38"/>
  <c r="G127" i="15"/>
  <c r="G125" i="38"/>
  <c r="I129" i="15"/>
  <c r="I127" i="38"/>
  <c r="H128" i="15"/>
  <c r="H126" i="38"/>
  <c r="F128" i="15"/>
  <c r="F126" i="38"/>
  <c r="AG144" i="14"/>
  <c r="AH144" i="14" s="1"/>
  <c r="AI144" i="14" s="1"/>
  <c r="BN144" i="14" s="1"/>
  <c r="CA144" i="14" s="1"/>
  <c r="GM144" i="14"/>
  <c r="GN144" i="14" s="1"/>
  <c r="GP144" i="14" s="1"/>
  <c r="HU144" i="14" s="1"/>
  <c r="IO144" i="14" s="1"/>
  <c r="IZ144" i="14"/>
  <c r="JA144" i="14" s="1"/>
  <c r="JB144" i="14" s="1"/>
  <c r="BB147" i="14"/>
  <c r="BC147" i="14" s="1"/>
  <c r="BD147" i="14" s="1"/>
  <c r="BE147" i="14" s="1"/>
  <c r="BJ147" i="14" s="1"/>
  <c r="BK147" i="14" s="1"/>
  <c r="BL147" i="14" s="1"/>
  <c r="BM147" i="14" s="1"/>
  <c r="BS147" i="14" s="1"/>
  <c r="S143" i="14"/>
  <c r="AF143" i="14" s="1"/>
  <c r="AG143" i="14" s="1"/>
  <c r="AH143" i="14" s="1"/>
  <c r="AI143" i="14" s="1"/>
  <c r="BN143" i="14" s="1"/>
  <c r="CA143" i="14" s="1"/>
  <c r="GO145" i="14"/>
  <c r="GP145" i="14"/>
  <c r="HU145" i="14" s="1"/>
  <c r="IO145" i="14" s="1"/>
  <c r="I142" i="14"/>
  <c r="Q101" i="6"/>
  <c r="J142" i="14"/>
  <c r="P100" i="6"/>
  <c r="F141" i="14"/>
  <c r="AK145" i="14"/>
  <c r="AN145" i="14" s="1"/>
  <c r="AY146" i="14"/>
  <c r="AN146" i="14"/>
  <c r="AQ146" i="14"/>
  <c r="AT146" i="14" s="1"/>
  <c r="AU146" i="14" s="1"/>
  <c r="AV146" i="14" s="1"/>
  <c r="P142" i="14"/>
  <c r="AE142" i="14" s="1"/>
  <c r="T143" i="14"/>
  <c r="IX143" i="14" s="1"/>
  <c r="IZ143" i="14" s="1"/>
  <c r="R145" i="14"/>
  <c r="Q144" i="14"/>
  <c r="N101" i="6"/>
  <c r="H141" i="14" s="1"/>
  <c r="G140" i="14"/>
  <c r="GO144" i="14" l="1"/>
  <c r="F127" i="15"/>
  <c r="F125" i="38"/>
  <c r="G126" i="15"/>
  <c r="G124" i="38"/>
  <c r="J128" i="15"/>
  <c r="J126" i="38"/>
  <c r="H127" i="15"/>
  <c r="H125" i="38"/>
  <c r="I128" i="15"/>
  <c r="I126" i="38"/>
  <c r="AL143" i="14"/>
  <c r="AM143" i="14" s="1"/>
  <c r="AO143" i="14" s="1"/>
  <c r="GR143" i="14"/>
  <c r="GS143" i="14" s="1"/>
  <c r="GU143" i="14" s="1"/>
  <c r="AJ144" i="14"/>
  <c r="BO144" i="14" s="1"/>
  <c r="CI144" i="14" s="1"/>
  <c r="GM143" i="14"/>
  <c r="GN143" i="14" s="1"/>
  <c r="GP143" i="14" s="1"/>
  <c r="HU143" i="14" s="1"/>
  <c r="IO143" i="14" s="1"/>
  <c r="S142" i="14"/>
  <c r="AF142" i="14" s="1"/>
  <c r="AG142" i="14" s="1"/>
  <c r="AH142" i="14" s="1"/>
  <c r="AI142" i="14" s="1"/>
  <c r="BN142" i="14" s="1"/>
  <c r="CA142" i="14" s="1"/>
  <c r="HT145" i="14"/>
  <c r="IG145" i="14" s="1"/>
  <c r="GQ145" i="14"/>
  <c r="GT145" i="14" s="1"/>
  <c r="P99" i="6"/>
  <c r="F140" i="14"/>
  <c r="AQ145" i="14"/>
  <c r="AT145" i="14" s="1"/>
  <c r="AU145" i="14" s="1"/>
  <c r="AV145" i="14" s="1"/>
  <c r="AW145" i="14" s="1"/>
  <c r="Q100" i="6"/>
  <c r="J141" i="14"/>
  <c r="I141" i="14"/>
  <c r="I125" i="38" s="1"/>
  <c r="BG145" i="14"/>
  <c r="AY145" i="14"/>
  <c r="AJ143" i="14"/>
  <c r="BO143" i="14" s="1"/>
  <c r="CI143" i="14" s="1"/>
  <c r="AW146" i="14"/>
  <c r="BB146" i="14" s="1"/>
  <c r="BC146" i="14" s="1"/>
  <c r="BD146" i="14" s="1"/>
  <c r="BE146" i="14" s="1"/>
  <c r="BJ146" i="14" s="1"/>
  <c r="BK146" i="14" s="1"/>
  <c r="BL146" i="14" s="1"/>
  <c r="BM146" i="14" s="1"/>
  <c r="BS146" i="14" s="1"/>
  <c r="IY143" i="14"/>
  <c r="JA143" i="14" s="1"/>
  <c r="JB143" i="14" s="1"/>
  <c r="P141" i="14"/>
  <c r="AE141" i="14" s="1"/>
  <c r="R144" i="14"/>
  <c r="T142" i="14"/>
  <c r="IX142" i="14" s="1"/>
  <c r="IZ142" i="14" s="1"/>
  <c r="Q143" i="14"/>
  <c r="HT144" i="14"/>
  <c r="IG144" i="14" s="1"/>
  <c r="GQ144" i="14"/>
  <c r="GT144" i="14" s="1"/>
  <c r="G139" i="14"/>
  <c r="N100" i="6"/>
  <c r="H140" i="14" s="1"/>
  <c r="AK144" i="14" l="1"/>
  <c r="BG144" i="14" s="1"/>
  <c r="AL142" i="14"/>
  <c r="AM142" i="14" s="1"/>
  <c r="AO142" i="14" s="1"/>
  <c r="G125" i="15"/>
  <c r="G123" i="38"/>
  <c r="J127" i="15"/>
  <c r="J125" i="38"/>
  <c r="H126" i="15"/>
  <c r="H124" i="38"/>
  <c r="GO143" i="14"/>
  <c r="GQ143" i="14" s="1"/>
  <c r="GT143" i="14" s="1"/>
  <c r="F126" i="15"/>
  <c r="F124" i="38"/>
  <c r="GR142" i="14"/>
  <c r="GS142" i="14" s="1"/>
  <c r="GU142" i="14" s="1"/>
  <c r="GM142" i="14"/>
  <c r="GN142" i="14" s="1"/>
  <c r="GO142" i="14" s="1"/>
  <c r="HT142" i="14" s="1"/>
  <c r="IG142" i="14" s="1"/>
  <c r="S141" i="14"/>
  <c r="AF141" i="14" s="1"/>
  <c r="GR141" i="14" s="1"/>
  <c r="GS141" i="14" s="1"/>
  <c r="GU141" i="14" s="1"/>
  <c r="I127" i="15"/>
  <c r="I140" i="14"/>
  <c r="Q99" i="6"/>
  <c r="J140" i="14"/>
  <c r="BB145" i="14"/>
  <c r="BC145" i="14" s="1"/>
  <c r="BD145" i="14" s="1"/>
  <c r="BE145" i="14" s="1"/>
  <c r="BJ145" i="14" s="1"/>
  <c r="BK145" i="14" s="1"/>
  <c r="BL145" i="14" s="1"/>
  <c r="BM145" i="14" s="1"/>
  <c r="BS145" i="14" s="1"/>
  <c r="P98" i="6"/>
  <c r="F139" i="14"/>
  <c r="AK143" i="14"/>
  <c r="AY143" i="14" s="1"/>
  <c r="AJ142" i="14"/>
  <c r="BO142" i="14" s="1"/>
  <c r="CI142" i="14" s="1"/>
  <c r="IY142" i="14"/>
  <c r="JA142" i="14" s="1"/>
  <c r="JB142" i="14" s="1"/>
  <c r="P140" i="14"/>
  <c r="AE140" i="14" s="1"/>
  <c r="T141" i="14"/>
  <c r="IX141" i="14" s="1"/>
  <c r="Q142" i="14"/>
  <c r="R143" i="14"/>
  <c r="G138" i="14"/>
  <c r="N99" i="6"/>
  <c r="H139" i="14" s="1"/>
  <c r="AQ144" i="14" l="1"/>
  <c r="AT144" i="14" s="1"/>
  <c r="AU144" i="14" s="1"/>
  <c r="AV144" i="14" s="1"/>
  <c r="AY144" i="14"/>
  <c r="HT143" i="14"/>
  <c r="IG143" i="14" s="1"/>
  <c r="AN144" i="14"/>
  <c r="GM141" i="14"/>
  <c r="GN141" i="14" s="1"/>
  <c r="GO141" i="14" s="1"/>
  <c r="HT141" i="14" s="1"/>
  <c r="IG141" i="14" s="1"/>
  <c r="AL141" i="14"/>
  <c r="AM141" i="14" s="1"/>
  <c r="AO141" i="14" s="1"/>
  <c r="AG141" i="14"/>
  <c r="AH141" i="14" s="1"/>
  <c r="AJ141" i="14" s="1"/>
  <c r="BO141" i="14" s="1"/>
  <c r="CI141" i="14" s="1"/>
  <c r="GP142" i="14"/>
  <c r="HU142" i="14" s="1"/>
  <c r="IO142" i="14" s="1"/>
  <c r="I126" i="15"/>
  <c r="I124" i="38"/>
  <c r="G124" i="15"/>
  <c r="G122" i="38"/>
  <c r="F125" i="15"/>
  <c r="F123" i="38"/>
  <c r="H125" i="15"/>
  <c r="H123" i="38"/>
  <c r="J126" i="15"/>
  <c r="J124" i="38"/>
  <c r="AN143" i="14"/>
  <c r="S140" i="14"/>
  <c r="AF140" i="14" s="1"/>
  <c r="GM140" i="14" s="1"/>
  <c r="GN140" i="14" s="1"/>
  <c r="GP140" i="14" s="1"/>
  <c r="HU140" i="14" s="1"/>
  <c r="IO140" i="14" s="1"/>
  <c r="P97" i="6"/>
  <c r="F138" i="14"/>
  <c r="Q98" i="6"/>
  <c r="J139" i="14"/>
  <c r="BG143" i="14"/>
  <c r="AQ143" i="14"/>
  <c r="AT143" i="14" s="1"/>
  <c r="AU143" i="14" s="1"/>
  <c r="AV143" i="14" s="1"/>
  <c r="I139" i="14"/>
  <c r="I123" i="38" s="1"/>
  <c r="AK142" i="14"/>
  <c r="BG142" i="14" s="1"/>
  <c r="AW144" i="14"/>
  <c r="BB144" i="14" s="1"/>
  <c r="BC144" i="14" s="1"/>
  <c r="BD144" i="14" s="1"/>
  <c r="BE144" i="14" s="1"/>
  <c r="BJ144" i="14" s="1"/>
  <c r="BK144" i="14" s="1"/>
  <c r="BL144" i="14" s="1"/>
  <c r="BM144" i="14" s="1"/>
  <c r="BS144" i="14" s="1"/>
  <c r="P139" i="14"/>
  <c r="AE139" i="14" s="1"/>
  <c r="Q141" i="14"/>
  <c r="IZ141" i="14"/>
  <c r="IY141" i="14"/>
  <c r="R142" i="14"/>
  <c r="T140" i="14"/>
  <c r="IX140" i="14" s="1"/>
  <c r="IZ140" i="14" s="1"/>
  <c r="N98" i="6"/>
  <c r="H138" i="14" s="1"/>
  <c r="G137" i="14"/>
  <c r="GP141" i="14" l="1"/>
  <c r="HU141" i="14" s="1"/>
  <c r="IO141" i="14" s="1"/>
  <c r="GQ142" i="14"/>
  <c r="GT142" i="14" s="1"/>
  <c r="AI141" i="14"/>
  <c r="BN141" i="14" s="1"/>
  <c r="CA141" i="14" s="1"/>
  <c r="AW143" i="14"/>
  <c r="BB143" i="14" s="1"/>
  <c r="BC143" i="14" s="1"/>
  <c r="BD143" i="14" s="1"/>
  <c r="BE143" i="14" s="1"/>
  <c r="BJ143" i="14" s="1"/>
  <c r="BK143" i="14" s="1"/>
  <c r="BL143" i="14" s="1"/>
  <c r="BM143" i="14" s="1"/>
  <c r="BS143" i="14" s="1"/>
  <c r="AL140" i="14"/>
  <c r="AM140" i="14" s="1"/>
  <c r="AO140" i="14" s="1"/>
  <c r="G123" i="15"/>
  <c r="G121" i="38"/>
  <c r="F124" i="15"/>
  <c r="F122" i="38"/>
  <c r="J125" i="15"/>
  <c r="J123" i="38"/>
  <c r="H124" i="15"/>
  <c r="H122" i="38"/>
  <c r="GR140" i="14"/>
  <c r="GS140" i="14" s="1"/>
  <c r="GU140" i="14" s="1"/>
  <c r="AG140" i="14"/>
  <c r="AH140" i="14" s="1"/>
  <c r="AJ140" i="14" s="1"/>
  <c r="BO140" i="14" s="1"/>
  <c r="CI140" i="14" s="1"/>
  <c r="P138" i="14"/>
  <c r="AE138" i="14" s="1"/>
  <c r="S139" i="14"/>
  <c r="AF139" i="14" s="1"/>
  <c r="GM139" i="14" s="1"/>
  <c r="GN139" i="14" s="1"/>
  <c r="GO139" i="14" s="1"/>
  <c r="HT139" i="14" s="1"/>
  <c r="IG139" i="14" s="1"/>
  <c r="I125" i="15"/>
  <c r="I138" i="14"/>
  <c r="Q97" i="6"/>
  <c r="J138" i="14"/>
  <c r="J122" i="38" s="1"/>
  <c r="P96" i="6"/>
  <c r="F137" i="14"/>
  <c r="GO140" i="14"/>
  <c r="GQ140" i="14" s="1"/>
  <c r="GT140" i="14" s="1"/>
  <c r="GQ141" i="14"/>
  <c r="GT141" i="14" s="1"/>
  <c r="AN142" i="14"/>
  <c r="AQ142" i="14"/>
  <c r="AT142" i="14" s="1"/>
  <c r="AU142" i="14" s="1"/>
  <c r="AV142" i="14" s="1"/>
  <c r="AY142" i="14"/>
  <c r="T139" i="14"/>
  <c r="IX139" i="14" s="1"/>
  <c r="IZ139" i="14" s="1"/>
  <c r="AK141" i="14"/>
  <c r="AN141" i="14" s="1"/>
  <c r="IY140" i="14"/>
  <c r="JA140" i="14" s="1"/>
  <c r="JB140" i="14" s="1"/>
  <c r="JA141" i="14"/>
  <c r="JB141" i="14" s="1"/>
  <c r="R141" i="14"/>
  <c r="Q140" i="14"/>
  <c r="G136" i="14"/>
  <c r="N97" i="6"/>
  <c r="H137" i="14" s="1"/>
  <c r="AL139" i="14" l="1"/>
  <c r="AM139" i="14" s="1"/>
  <c r="AO139" i="14" s="1"/>
  <c r="I124" i="15"/>
  <c r="I122" i="38"/>
  <c r="G122" i="15"/>
  <c r="G120" i="38"/>
  <c r="F123" i="15"/>
  <c r="F121" i="38"/>
  <c r="H123" i="15"/>
  <c r="H121" i="38"/>
  <c r="AI140" i="14"/>
  <c r="BN140" i="14" s="1"/>
  <c r="CA140" i="14" s="1"/>
  <c r="AG139" i="14"/>
  <c r="AH139" i="14" s="1"/>
  <c r="AI139" i="14" s="1"/>
  <c r="BN139" i="14" s="1"/>
  <c r="CA139" i="14" s="1"/>
  <c r="GP139" i="14"/>
  <c r="HU139" i="14" s="1"/>
  <c r="IO139" i="14" s="1"/>
  <c r="GR139" i="14"/>
  <c r="GS139" i="14" s="1"/>
  <c r="GU139" i="14" s="1"/>
  <c r="T138" i="14"/>
  <c r="IX138" i="14" s="1"/>
  <c r="IZ138" i="14" s="1"/>
  <c r="J124" i="15"/>
  <c r="S138" i="14"/>
  <c r="AF138" i="14" s="1"/>
  <c r="AG138" i="14" s="1"/>
  <c r="AH138" i="14" s="1"/>
  <c r="AJ138" i="14" s="1"/>
  <c r="BO138" i="14" s="1"/>
  <c r="CI138" i="14" s="1"/>
  <c r="P95" i="6"/>
  <c r="F136" i="14"/>
  <c r="Q96" i="6"/>
  <c r="J137" i="14"/>
  <c r="I137" i="14"/>
  <c r="HT140" i="14"/>
  <c r="IG140" i="14" s="1"/>
  <c r="AW142" i="14"/>
  <c r="BB142" i="14" s="1"/>
  <c r="BC142" i="14" s="1"/>
  <c r="BD142" i="14" s="1"/>
  <c r="BE142" i="14" s="1"/>
  <c r="BJ142" i="14" s="1"/>
  <c r="BK142" i="14" s="1"/>
  <c r="BL142" i="14" s="1"/>
  <c r="BM142" i="14" s="1"/>
  <c r="BS142" i="14" s="1"/>
  <c r="BG141" i="14"/>
  <c r="AQ141" i="14"/>
  <c r="AT141" i="14" s="1"/>
  <c r="AU141" i="14" s="1"/>
  <c r="AV141" i="14" s="1"/>
  <c r="AW141" i="14" s="1"/>
  <c r="IY139" i="14"/>
  <c r="JA139" i="14" s="1"/>
  <c r="JB139" i="14" s="1"/>
  <c r="AY141" i="14"/>
  <c r="JC144" i="14"/>
  <c r="JC141" i="14"/>
  <c r="JC142" i="14"/>
  <c r="JC145" i="14"/>
  <c r="JC148" i="14"/>
  <c r="JC149" i="14"/>
  <c r="JC146" i="14"/>
  <c r="JC143" i="14"/>
  <c r="JC147" i="14"/>
  <c r="JC140" i="14"/>
  <c r="P137" i="14"/>
  <c r="AE137" i="14" s="1"/>
  <c r="Q139" i="14"/>
  <c r="R140" i="14"/>
  <c r="JD148" i="14"/>
  <c r="JD144" i="14"/>
  <c r="JD140" i="14"/>
  <c r="JD141" i="14"/>
  <c r="JD147" i="14"/>
  <c r="JD143" i="14"/>
  <c r="JD145" i="14"/>
  <c r="JD149" i="14"/>
  <c r="JD146" i="14"/>
  <c r="JD142" i="14"/>
  <c r="N96" i="6"/>
  <c r="H136" i="14" s="1"/>
  <c r="G135" i="14"/>
  <c r="GQ139" i="14" l="1"/>
  <c r="GT139" i="14" s="1"/>
  <c r="IY138" i="14"/>
  <c r="JA138" i="14" s="1"/>
  <c r="JB138" i="14" s="1"/>
  <c r="AJ139" i="14"/>
  <c r="BO139" i="14" s="1"/>
  <c r="CI139" i="14" s="1"/>
  <c r="G121" i="15"/>
  <c r="G119" i="38"/>
  <c r="AU133" i="15"/>
  <c r="BH133" i="15" s="1"/>
  <c r="AH131" i="38"/>
  <c r="AF131" i="38"/>
  <c r="AW127" i="15"/>
  <c r="BI127" i="15" s="1"/>
  <c r="AH125" i="38"/>
  <c r="AF125" i="38"/>
  <c r="AU130" i="15"/>
  <c r="BH130" i="15" s="1"/>
  <c r="AH128" i="38"/>
  <c r="AF128" i="38"/>
  <c r="I123" i="15"/>
  <c r="I121" i="38"/>
  <c r="AI131" i="38"/>
  <c r="AG131" i="38"/>
  <c r="AF124" i="38"/>
  <c r="AH124" i="38"/>
  <c r="H122" i="15"/>
  <c r="H120" i="38"/>
  <c r="AI128" i="38"/>
  <c r="AG128" i="38"/>
  <c r="AI132" i="38"/>
  <c r="AG132" i="38"/>
  <c r="AW135" i="15"/>
  <c r="BI135" i="15" s="1"/>
  <c r="AH133" i="38"/>
  <c r="AF133" i="38"/>
  <c r="J123" i="15"/>
  <c r="J121" i="38"/>
  <c r="AI124" i="38"/>
  <c r="AG124" i="38"/>
  <c r="AI126" i="38"/>
  <c r="AG126" i="38"/>
  <c r="AI130" i="38"/>
  <c r="AG130" i="38"/>
  <c r="AH132" i="38"/>
  <c r="AF132" i="38"/>
  <c r="AI125" i="38"/>
  <c r="AG125" i="38"/>
  <c r="F122" i="15"/>
  <c r="F120" i="38"/>
  <c r="AW129" i="15"/>
  <c r="BI129" i="15" s="1"/>
  <c r="AH127" i="38"/>
  <c r="AF127" i="38"/>
  <c r="AW132" i="15"/>
  <c r="BI132" i="15" s="1"/>
  <c r="AH130" i="38"/>
  <c r="AF130" i="38"/>
  <c r="AI133" i="38"/>
  <c r="AG133" i="38"/>
  <c r="AI129" i="38"/>
  <c r="AG129" i="38"/>
  <c r="AU131" i="15"/>
  <c r="BH131" i="15" s="1"/>
  <c r="AH129" i="38"/>
  <c r="AF129" i="38"/>
  <c r="AI127" i="38"/>
  <c r="AG127" i="38"/>
  <c r="AW128" i="15"/>
  <c r="BI128" i="15" s="1"/>
  <c r="AH126" i="38"/>
  <c r="AF126" i="38"/>
  <c r="S137" i="14"/>
  <c r="AF137" i="14" s="1"/>
  <c r="AG137" i="14" s="1"/>
  <c r="AH137" i="14" s="1"/>
  <c r="AJ137" i="14" s="1"/>
  <c r="BO137" i="14" s="1"/>
  <c r="CI137" i="14" s="1"/>
  <c r="AK140" i="14"/>
  <c r="AN140" i="14" s="1"/>
  <c r="AK139" i="14"/>
  <c r="AN139" i="14" s="1"/>
  <c r="AL138" i="14"/>
  <c r="AM138" i="14" s="1"/>
  <c r="AO138" i="14" s="1"/>
  <c r="GR138" i="14"/>
  <c r="GS138" i="14" s="1"/>
  <c r="GU138" i="14" s="1"/>
  <c r="GM138" i="14"/>
  <c r="GN138" i="14" s="1"/>
  <c r="GP138" i="14" s="1"/>
  <c r="HU138" i="14" s="1"/>
  <c r="IO138" i="14" s="1"/>
  <c r="I136" i="14"/>
  <c r="Q95" i="6"/>
  <c r="J136" i="14"/>
  <c r="P94" i="6"/>
  <c r="F135" i="14"/>
  <c r="BB141" i="14"/>
  <c r="BC141" i="14" s="1"/>
  <c r="BD141" i="14" s="1"/>
  <c r="BE141" i="14" s="1"/>
  <c r="BJ141" i="14" s="1"/>
  <c r="BK141" i="14" s="1"/>
  <c r="BL141" i="14" s="1"/>
  <c r="BM141" i="14" s="1"/>
  <c r="BS141" i="14" s="1"/>
  <c r="AI138" i="14"/>
  <c r="BN138" i="14" s="1"/>
  <c r="CA138" i="14" s="1"/>
  <c r="AU128" i="15"/>
  <c r="BH128" i="15" s="1"/>
  <c r="AW130" i="15"/>
  <c r="BI130" i="15" s="1"/>
  <c r="AU127" i="15"/>
  <c r="BH127" i="15" s="1"/>
  <c r="AW131" i="15"/>
  <c r="BI131" i="15" s="1"/>
  <c r="AU135" i="15"/>
  <c r="BH135" i="15" s="1"/>
  <c r="AW134" i="15"/>
  <c r="BI134" i="15" s="1"/>
  <c r="AU126" i="15"/>
  <c r="BH126" i="15" s="1"/>
  <c r="AW133" i="15"/>
  <c r="BI133" i="15" s="1"/>
  <c r="AU134" i="15"/>
  <c r="BH134" i="15" s="1"/>
  <c r="AW126" i="15"/>
  <c r="BI126" i="15" s="1"/>
  <c r="AU132" i="15"/>
  <c r="BH132" i="15" s="1"/>
  <c r="AU129" i="15"/>
  <c r="BH129" i="15" s="1"/>
  <c r="AX127" i="15"/>
  <c r="AV127" i="15"/>
  <c r="Q138" i="14"/>
  <c r="AX133" i="15"/>
  <c r="AV133" i="15"/>
  <c r="AX126" i="15"/>
  <c r="AV126" i="15"/>
  <c r="AX128" i="15"/>
  <c r="AV128" i="15"/>
  <c r="AX130" i="15"/>
  <c r="AV130" i="15"/>
  <c r="T137" i="14"/>
  <c r="IX137" i="14" s="1"/>
  <c r="IZ137" i="14" s="1"/>
  <c r="R139" i="14"/>
  <c r="AX132" i="15"/>
  <c r="AV132" i="15"/>
  <c r="AX134" i="15"/>
  <c r="AV134" i="15"/>
  <c r="AX135" i="15"/>
  <c r="AV135" i="15"/>
  <c r="AX131" i="15"/>
  <c r="AV131" i="15"/>
  <c r="P136" i="14"/>
  <c r="AE136" i="14" s="1"/>
  <c r="S136" i="14"/>
  <c r="AF136" i="14" s="1"/>
  <c r="AX129" i="15"/>
  <c r="AV129" i="15"/>
  <c r="G134" i="14"/>
  <c r="N95" i="6"/>
  <c r="H135" i="14" s="1"/>
  <c r="GM137" i="14" l="1"/>
  <c r="GN137" i="14" s="1"/>
  <c r="GP137" i="14" s="1"/>
  <c r="HU137" i="14" s="1"/>
  <c r="IO137" i="14" s="1"/>
  <c r="GR137" i="14"/>
  <c r="GS137" i="14" s="1"/>
  <c r="GU137" i="14" s="1"/>
  <c r="AL137" i="14"/>
  <c r="AM137" i="14" s="1"/>
  <c r="AO137" i="14" s="1"/>
  <c r="AY139" i="14"/>
  <c r="BG139" i="14"/>
  <c r="AQ139" i="14"/>
  <c r="AT139" i="14" s="1"/>
  <c r="AU139" i="14" s="1"/>
  <c r="AV139" i="14" s="1"/>
  <c r="AW139" i="14" s="1"/>
  <c r="BB139" i="14" s="1"/>
  <c r="BC139" i="14" s="1"/>
  <c r="BD139" i="14" s="1"/>
  <c r="BE139" i="14" s="1"/>
  <c r="BJ139" i="14" s="1"/>
  <c r="BK139" i="14" s="1"/>
  <c r="BL139" i="14" s="1"/>
  <c r="BG140" i="14"/>
  <c r="G120" i="15"/>
  <c r="G118" i="38"/>
  <c r="F121" i="15"/>
  <c r="F119" i="38"/>
  <c r="J122" i="15"/>
  <c r="J120" i="38"/>
  <c r="AQ140" i="14"/>
  <c r="AT140" i="14" s="1"/>
  <c r="AU140" i="14" s="1"/>
  <c r="AV140" i="14" s="1"/>
  <c r="AW140" i="14" s="1"/>
  <c r="I122" i="15"/>
  <c r="I120" i="38"/>
  <c r="H121" i="15"/>
  <c r="H119" i="38"/>
  <c r="AY140" i="14"/>
  <c r="GO138" i="14"/>
  <c r="HT138" i="14" s="1"/>
  <c r="IG138" i="14" s="1"/>
  <c r="P93" i="6"/>
  <c r="F134" i="14"/>
  <c r="Q94" i="6"/>
  <c r="J135" i="14"/>
  <c r="I135" i="14"/>
  <c r="GM136" i="14"/>
  <c r="GN136" i="14" s="1"/>
  <c r="GO136" i="14" s="1"/>
  <c r="AK138" i="14"/>
  <c r="AN138" i="14" s="1"/>
  <c r="AI137" i="14"/>
  <c r="BN137" i="14" s="1"/>
  <c r="CA137" i="14" s="1"/>
  <c r="GR136" i="14"/>
  <c r="GS136" i="14" s="1"/>
  <c r="GU136" i="14" s="1"/>
  <c r="GO137" i="14"/>
  <c r="HT137" i="14" s="1"/>
  <c r="IG137" i="14" s="1"/>
  <c r="AL136" i="14"/>
  <c r="AM136" i="14" s="1"/>
  <c r="AO136" i="14" s="1"/>
  <c r="Q137" i="14"/>
  <c r="IY137" i="14"/>
  <c r="JA137" i="14" s="1"/>
  <c r="JB137" i="14" s="1"/>
  <c r="R138" i="14"/>
  <c r="T136" i="14"/>
  <c r="IX136" i="14" s="1"/>
  <c r="IZ136" i="14" s="1"/>
  <c r="P135" i="14"/>
  <c r="AE135" i="14" s="1"/>
  <c r="AG136" i="14"/>
  <c r="AH136" i="14" s="1"/>
  <c r="AI136" i="14" s="1"/>
  <c r="BN136" i="14" s="1"/>
  <c r="CA136" i="14" s="1"/>
  <c r="N94" i="6"/>
  <c r="H134" i="14" s="1"/>
  <c r="G133" i="14"/>
  <c r="GQ138" i="14" l="1"/>
  <c r="GT138" i="14" s="1"/>
  <c r="BB140" i="14"/>
  <c r="BC140" i="14" s="1"/>
  <c r="BD140" i="14" s="1"/>
  <c r="BE140" i="14" s="1"/>
  <c r="BJ140" i="14" s="1"/>
  <c r="BK140" i="14" s="1"/>
  <c r="BL140" i="14" s="1"/>
  <c r="BM140" i="14" s="1"/>
  <c r="BS140" i="14" s="1"/>
  <c r="F120" i="15"/>
  <c r="F118" i="38"/>
  <c r="I121" i="15"/>
  <c r="I119" i="38"/>
  <c r="G119" i="15"/>
  <c r="G117" i="38"/>
  <c r="H120" i="15"/>
  <c r="H118" i="38"/>
  <c r="J121" i="15"/>
  <c r="J119" i="38"/>
  <c r="P134" i="14"/>
  <c r="AE134" i="14" s="1"/>
  <c r="S135" i="14"/>
  <c r="AF135" i="14" s="1"/>
  <c r="AL135" i="14" s="1"/>
  <c r="AM135" i="14" s="1"/>
  <c r="AO135" i="14" s="1"/>
  <c r="I134" i="14"/>
  <c r="Q93" i="6"/>
  <c r="J134" i="14"/>
  <c r="P92" i="6"/>
  <c r="F133" i="14"/>
  <c r="BM139" i="14"/>
  <c r="BS139" i="14" s="1"/>
  <c r="R137" i="14"/>
  <c r="GP136" i="14"/>
  <c r="HU136" i="14" s="1"/>
  <c r="IO136" i="14" s="1"/>
  <c r="AK137" i="14"/>
  <c r="AN137" i="14" s="1"/>
  <c r="AQ138" i="14"/>
  <c r="AT138" i="14" s="1"/>
  <c r="AU138" i="14" s="1"/>
  <c r="AV138" i="14" s="1"/>
  <c r="AW138" i="14" s="1"/>
  <c r="AY138" i="14"/>
  <c r="BG138" i="14"/>
  <c r="GQ137" i="14"/>
  <c r="GT137" i="14" s="1"/>
  <c r="AJ136" i="14"/>
  <c r="BO136" i="14" s="1"/>
  <c r="CI136" i="14" s="1"/>
  <c r="IY136" i="14"/>
  <c r="JA136" i="14" s="1"/>
  <c r="JB136" i="14" s="1"/>
  <c r="Q136" i="14"/>
  <c r="T135" i="14"/>
  <c r="IX135" i="14" s="1"/>
  <c r="IZ135" i="14" s="1"/>
  <c r="HT136" i="14"/>
  <c r="IG136" i="14" s="1"/>
  <c r="N93" i="6"/>
  <c r="H133" i="14" s="1"/>
  <c r="G132" i="14"/>
  <c r="GM135" i="14" l="1"/>
  <c r="GN135" i="14" s="1"/>
  <c r="GO135" i="14" s="1"/>
  <c r="HT135" i="14" s="1"/>
  <c r="IG135" i="14" s="1"/>
  <c r="IK60" i="14" s="1"/>
  <c r="J120" i="15"/>
  <c r="J118" i="38"/>
  <c r="I120" i="15"/>
  <c r="I118" i="38"/>
  <c r="G118" i="15"/>
  <c r="G116" i="38"/>
  <c r="H119" i="15"/>
  <c r="H117" i="38"/>
  <c r="AG135" i="14"/>
  <c r="AH135" i="14" s="1"/>
  <c r="AJ135" i="14" s="1"/>
  <c r="BO135" i="14" s="1"/>
  <c r="CI135" i="14" s="1"/>
  <c r="F119" i="15"/>
  <c r="F117" i="38"/>
  <c r="S134" i="14"/>
  <c r="AF134" i="14" s="1"/>
  <c r="GR134" i="14" s="1"/>
  <c r="GS134" i="14" s="1"/>
  <c r="GU134" i="14" s="1"/>
  <c r="GQ136" i="14"/>
  <c r="GT136" i="14" s="1"/>
  <c r="GR135" i="14"/>
  <c r="GS135" i="14" s="1"/>
  <c r="GU135" i="14" s="1"/>
  <c r="P91" i="6"/>
  <c r="F132" i="14"/>
  <c r="Q92" i="6"/>
  <c r="J133" i="14"/>
  <c r="I133" i="14"/>
  <c r="I117" i="38" s="1"/>
  <c r="BG137" i="14"/>
  <c r="AY137" i="14"/>
  <c r="AQ137" i="14"/>
  <c r="AT137" i="14" s="1"/>
  <c r="AU137" i="14" s="1"/>
  <c r="AV137" i="14" s="1"/>
  <c r="AW137" i="14" s="1"/>
  <c r="BB138" i="14"/>
  <c r="BC138" i="14" s="1"/>
  <c r="BD138" i="14" s="1"/>
  <c r="BE138" i="14" s="1"/>
  <c r="BJ138" i="14" s="1"/>
  <c r="BK138" i="14" s="1"/>
  <c r="BL138" i="14" s="1"/>
  <c r="BM138" i="14" s="1"/>
  <c r="BS138" i="14" s="1"/>
  <c r="GP135" i="14"/>
  <c r="HU135" i="14" s="1"/>
  <c r="IO135" i="14" s="1"/>
  <c r="AK136" i="14"/>
  <c r="AN136" i="14" s="1"/>
  <c r="IY135" i="14"/>
  <c r="JA135" i="14" s="1"/>
  <c r="JB135" i="14" s="1"/>
  <c r="T134" i="14"/>
  <c r="IX134" i="14" s="1"/>
  <c r="IZ134" i="14" s="1"/>
  <c r="R136" i="14"/>
  <c r="P133" i="14"/>
  <c r="AE133" i="14" s="1"/>
  <c r="Q135" i="14"/>
  <c r="G131" i="14"/>
  <c r="N92" i="6"/>
  <c r="H132" i="14" s="1"/>
  <c r="AI135" i="14" l="1"/>
  <c r="BN135" i="14" s="1"/>
  <c r="CA135" i="14" s="1"/>
  <c r="GM134" i="14"/>
  <c r="GN134" i="14" s="1"/>
  <c r="GP134" i="14" s="1"/>
  <c r="HU134" i="14" s="1"/>
  <c r="AL134" i="14"/>
  <c r="AM134" i="14" s="1"/>
  <c r="AO134" i="14" s="1"/>
  <c r="AG134" i="14"/>
  <c r="AH134" i="14" s="1"/>
  <c r="AI134" i="14" s="1"/>
  <c r="BN134" i="14" s="1"/>
  <c r="F118" i="15"/>
  <c r="F116" i="38"/>
  <c r="H118" i="15"/>
  <c r="H116" i="38"/>
  <c r="G117" i="15"/>
  <c r="G115" i="38"/>
  <c r="J119" i="15"/>
  <c r="J117" i="38"/>
  <c r="S133" i="14"/>
  <c r="AF133" i="14" s="1"/>
  <c r="GM133" i="14" s="1"/>
  <c r="GN133" i="14" s="1"/>
  <c r="GP133" i="14" s="1"/>
  <c r="HU133" i="14" s="1"/>
  <c r="I119" i="15"/>
  <c r="I132" i="14"/>
  <c r="S132" i="14" s="1"/>
  <c r="AF132" i="14" s="1"/>
  <c r="Q91" i="6"/>
  <c r="J132" i="14"/>
  <c r="P90" i="6"/>
  <c r="F131" i="14"/>
  <c r="BB137" i="14"/>
  <c r="BC137" i="14" s="1"/>
  <c r="BD137" i="14" s="1"/>
  <c r="BE137" i="14" s="1"/>
  <c r="BJ137" i="14" s="1"/>
  <c r="BK137" i="14" s="1"/>
  <c r="BL137" i="14" s="1"/>
  <c r="BM137" i="14" s="1"/>
  <c r="BS137" i="14" s="1"/>
  <c r="AK135" i="14"/>
  <c r="AN135" i="14" s="1"/>
  <c r="AY136" i="14"/>
  <c r="BG136" i="14"/>
  <c r="AQ136" i="14"/>
  <c r="AT136" i="14" s="1"/>
  <c r="AU136" i="14" s="1"/>
  <c r="AV136" i="14" s="1"/>
  <c r="AW136" i="14" s="1"/>
  <c r="GQ135" i="14"/>
  <c r="GT135" i="14" s="1"/>
  <c r="IY134" i="14"/>
  <c r="JA134" i="14" s="1"/>
  <c r="JB134" i="14" s="1"/>
  <c r="R135" i="14"/>
  <c r="P132" i="14"/>
  <c r="AE132" i="14" s="1"/>
  <c r="Q134" i="14"/>
  <c r="T133" i="14"/>
  <c r="IX133" i="14" s="1"/>
  <c r="G130" i="14"/>
  <c r="N91" i="6"/>
  <c r="H131" i="14" s="1"/>
  <c r="IN133" i="14" l="1"/>
  <c r="IO133" i="14"/>
  <c r="BZ134" i="14"/>
  <c r="CA134" i="14"/>
  <c r="IN134" i="14"/>
  <c r="IO134" i="14"/>
  <c r="AJ134" i="14"/>
  <c r="BO134" i="14" s="1"/>
  <c r="GO134" i="14"/>
  <c r="GQ134" i="14" s="1"/>
  <c r="GT134" i="14" s="1"/>
  <c r="G116" i="15"/>
  <c r="G114" i="38"/>
  <c r="I118" i="15"/>
  <c r="I116" i="38"/>
  <c r="H117" i="15"/>
  <c r="H115" i="38"/>
  <c r="F117" i="15"/>
  <c r="F115" i="38"/>
  <c r="J118" i="15"/>
  <c r="J116" i="38"/>
  <c r="GR133" i="14"/>
  <c r="GS133" i="14" s="1"/>
  <c r="GU133" i="14" s="1"/>
  <c r="AG133" i="14"/>
  <c r="AH133" i="14" s="1"/>
  <c r="AI133" i="14" s="1"/>
  <c r="BN133" i="14" s="1"/>
  <c r="AL133" i="14"/>
  <c r="AM133" i="14" s="1"/>
  <c r="AO133" i="14" s="1"/>
  <c r="P89" i="6"/>
  <c r="F130" i="14"/>
  <c r="Q90" i="6"/>
  <c r="J131" i="14"/>
  <c r="I131" i="14"/>
  <c r="GO133" i="14"/>
  <c r="HT133" i="14" s="1"/>
  <c r="GM132" i="14"/>
  <c r="GN132" i="14" s="1"/>
  <c r="GP132" i="14" s="1"/>
  <c r="HU132" i="14" s="1"/>
  <c r="BG135" i="14"/>
  <c r="AQ135" i="14"/>
  <c r="AT135" i="14" s="1"/>
  <c r="AU135" i="14" s="1"/>
  <c r="AV135" i="14" s="1"/>
  <c r="AW135" i="14" s="1"/>
  <c r="AY135" i="14"/>
  <c r="BB136" i="14"/>
  <c r="BC136" i="14" s="1"/>
  <c r="BD136" i="14" s="1"/>
  <c r="BE136" i="14" s="1"/>
  <c r="BJ136" i="14" s="1"/>
  <c r="BK136" i="14" s="1"/>
  <c r="BL136" i="14" s="1"/>
  <c r="BM136" i="14" s="1"/>
  <c r="BS136" i="14" s="1"/>
  <c r="AL132" i="14"/>
  <c r="AM132" i="14" s="1"/>
  <c r="AO132" i="14" s="1"/>
  <c r="AG132" i="14"/>
  <c r="AH132" i="14" s="1"/>
  <c r="AJ132" i="14" s="1"/>
  <c r="BO132" i="14" s="1"/>
  <c r="GR132" i="14"/>
  <c r="GS132" i="14" s="1"/>
  <c r="GU132" i="14" s="1"/>
  <c r="R134" i="14"/>
  <c r="P131" i="14"/>
  <c r="AE131" i="14" s="1"/>
  <c r="Q133" i="14"/>
  <c r="T132" i="14"/>
  <c r="IX132" i="14" s="1"/>
  <c r="IZ132" i="14" s="1"/>
  <c r="IZ133" i="14"/>
  <c r="IY133" i="14"/>
  <c r="N90" i="6"/>
  <c r="H130" i="14" s="1"/>
  <c r="G129" i="14"/>
  <c r="CH134" i="14" l="1"/>
  <c r="CI134" i="14"/>
  <c r="BZ133" i="14"/>
  <c r="CA133" i="14"/>
  <c r="CH132" i="14"/>
  <c r="CI132" i="14"/>
  <c r="IN132" i="14"/>
  <c r="IO132" i="14"/>
  <c r="IF133" i="14"/>
  <c r="IG133" i="14"/>
  <c r="HT134" i="14"/>
  <c r="AK134" i="14"/>
  <c r="AN134" i="14" s="1"/>
  <c r="AJ133" i="14"/>
  <c r="BO133" i="14" s="1"/>
  <c r="F116" i="15"/>
  <c r="F114" i="38"/>
  <c r="H116" i="15"/>
  <c r="H114" i="38"/>
  <c r="I117" i="15"/>
  <c r="I115" i="38"/>
  <c r="G115" i="15"/>
  <c r="G113" i="38"/>
  <c r="J117" i="15"/>
  <c r="J115" i="38"/>
  <c r="S131" i="14"/>
  <c r="AF131" i="14" s="1"/>
  <c r="GM131" i="14" s="1"/>
  <c r="GN131" i="14" s="1"/>
  <c r="GO131" i="14" s="1"/>
  <c r="GQ133" i="14"/>
  <c r="GT133" i="14" s="1"/>
  <c r="I130" i="14"/>
  <c r="Q89" i="6"/>
  <c r="J130" i="14"/>
  <c r="GO132" i="14"/>
  <c r="GQ132" i="14" s="1"/>
  <c r="GT132" i="14" s="1"/>
  <c r="P88" i="6"/>
  <c r="F129" i="14"/>
  <c r="BB135" i="14"/>
  <c r="BC135" i="14" s="1"/>
  <c r="BD135" i="14" s="1"/>
  <c r="BE135" i="14" s="1"/>
  <c r="BJ135" i="14" s="1"/>
  <c r="BK135" i="14" s="1"/>
  <c r="BL135" i="14" s="1"/>
  <c r="BM135" i="14" s="1"/>
  <c r="BS135" i="14" s="1"/>
  <c r="JA133" i="14"/>
  <c r="JB133" i="14" s="1"/>
  <c r="AI132" i="14"/>
  <c r="BN132" i="14" s="1"/>
  <c r="IY132" i="14"/>
  <c r="JA132" i="14" s="1"/>
  <c r="JB132" i="14" s="1"/>
  <c r="P130" i="14"/>
  <c r="AE130" i="14" s="1"/>
  <c r="Q132" i="14"/>
  <c r="T131" i="14"/>
  <c r="IX131" i="14" s="1"/>
  <c r="IZ131" i="14" s="1"/>
  <c r="R133" i="14"/>
  <c r="N89" i="6"/>
  <c r="H129" i="14" s="1"/>
  <c r="G128" i="14"/>
  <c r="IF134" i="14" l="1"/>
  <c r="IG134" i="14"/>
  <c r="BZ132" i="14"/>
  <c r="CA132" i="14"/>
  <c r="AY134" i="14"/>
  <c r="CH133" i="14"/>
  <c r="CI133" i="14"/>
  <c r="BG134" i="14"/>
  <c r="AG131" i="14"/>
  <c r="AH131" i="14" s="1"/>
  <c r="AI131" i="14" s="1"/>
  <c r="BN131" i="14" s="1"/>
  <c r="AQ134" i="14"/>
  <c r="AT134" i="14" s="1"/>
  <c r="AU134" i="14" s="1"/>
  <c r="AV134" i="14" s="1"/>
  <c r="AW134" i="14" s="1"/>
  <c r="GR131" i="14"/>
  <c r="GS131" i="14" s="1"/>
  <c r="GU131" i="14" s="1"/>
  <c r="AL131" i="14"/>
  <c r="AM131" i="14" s="1"/>
  <c r="AO131" i="14" s="1"/>
  <c r="AK133" i="14"/>
  <c r="AN133" i="14" s="1"/>
  <c r="I116" i="15"/>
  <c r="I114" i="38"/>
  <c r="J116" i="15"/>
  <c r="J114" i="38"/>
  <c r="H115" i="15"/>
  <c r="H113" i="38"/>
  <c r="F115" i="15"/>
  <c r="F113" i="38"/>
  <c r="G114" i="15"/>
  <c r="G112" i="38"/>
  <c r="S130" i="14"/>
  <c r="AF130" i="14" s="1"/>
  <c r="GM130" i="14" s="1"/>
  <c r="GN130" i="14" s="1"/>
  <c r="HT132" i="14"/>
  <c r="P87" i="6"/>
  <c r="F128" i="14"/>
  <c r="Q88" i="6"/>
  <c r="J129" i="14"/>
  <c r="I129" i="14"/>
  <c r="I113" i="38" s="1"/>
  <c r="GP131" i="14"/>
  <c r="HU131" i="14" s="1"/>
  <c r="AK132" i="14"/>
  <c r="AN132" i="14" s="1"/>
  <c r="IY131" i="14"/>
  <c r="JA131" i="14" s="1"/>
  <c r="JB131" i="14" s="1"/>
  <c r="Q131" i="14"/>
  <c r="T130" i="14"/>
  <c r="IX130" i="14" s="1"/>
  <c r="IZ130" i="14" s="1"/>
  <c r="P129" i="14"/>
  <c r="AE129" i="14" s="1"/>
  <c r="R132" i="14"/>
  <c r="HT131" i="14"/>
  <c r="N88" i="6"/>
  <c r="H128" i="14" s="1"/>
  <c r="G127" i="14"/>
  <c r="AJ131" i="14" l="1"/>
  <c r="BO131" i="14" s="1"/>
  <c r="BB134" i="14"/>
  <c r="BC134" i="14" s="1"/>
  <c r="BD134" i="14" s="1"/>
  <c r="BE134" i="14" s="1"/>
  <c r="BJ134" i="14" s="1"/>
  <c r="BK134" i="14" s="1"/>
  <c r="BL134" i="14" s="1"/>
  <c r="BM134" i="14" s="1"/>
  <c r="BS134" i="14" s="1"/>
  <c r="IN131" i="14"/>
  <c r="IO131" i="14"/>
  <c r="CH131" i="14"/>
  <c r="CI131" i="14"/>
  <c r="IF132" i="14"/>
  <c r="IG132" i="14"/>
  <c r="BZ131" i="14"/>
  <c r="CA131" i="14"/>
  <c r="IF131" i="14"/>
  <c r="IG131" i="14"/>
  <c r="BG133" i="14"/>
  <c r="AY133" i="14"/>
  <c r="AQ133" i="14"/>
  <c r="AT133" i="14" s="1"/>
  <c r="AU133" i="14" s="1"/>
  <c r="AV133" i="14" s="1"/>
  <c r="AW133" i="14" s="1"/>
  <c r="BB133" i="14" s="1"/>
  <c r="BC133" i="14" s="1"/>
  <c r="BD133" i="14" s="1"/>
  <c r="BE133" i="14" s="1"/>
  <c r="BJ133" i="14" s="1"/>
  <c r="BK133" i="14" s="1"/>
  <c r="BL133" i="14" s="1"/>
  <c r="BM133" i="14" s="1"/>
  <c r="F114" i="15"/>
  <c r="F112" i="38"/>
  <c r="H114" i="15"/>
  <c r="H112" i="38"/>
  <c r="J115" i="15"/>
  <c r="J113" i="38"/>
  <c r="G113" i="15"/>
  <c r="G111" i="38"/>
  <c r="AG130" i="14"/>
  <c r="AH130" i="14" s="1"/>
  <c r="AJ130" i="14" s="1"/>
  <c r="BO130" i="14" s="1"/>
  <c r="AL130" i="14"/>
  <c r="AM130" i="14" s="1"/>
  <c r="AO130" i="14" s="1"/>
  <c r="GR130" i="14"/>
  <c r="GS130" i="14" s="1"/>
  <c r="GU130" i="14" s="1"/>
  <c r="S129" i="14"/>
  <c r="AF129" i="14" s="1"/>
  <c r="AG129" i="14" s="1"/>
  <c r="AH129" i="14" s="1"/>
  <c r="AI129" i="14" s="1"/>
  <c r="BN129" i="14" s="1"/>
  <c r="I115" i="15"/>
  <c r="I128" i="14"/>
  <c r="I112" i="38" s="1"/>
  <c r="Q87" i="6"/>
  <c r="J128" i="14"/>
  <c r="P86" i="6"/>
  <c r="F127" i="14"/>
  <c r="GQ131" i="14"/>
  <c r="GT131" i="14" s="1"/>
  <c r="AY132" i="14"/>
  <c r="AQ132" i="14"/>
  <c r="AT132" i="14" s="1"/>
  <c r="AU132" i="14" s="1"/>
  <c r="AV132" i="14" s="1"/>
  <c r="AW132" i="14" s="1"/>
  <c r="BG132" i="14"/>
  <c r="AK131" i="14"/>
  <c r="AN131" i="14" s="1"/>
  <c r="R131" i="14"/>
  <c r="Q130" i="14"/>
  <c r="IY130" i="14"/>
  <c r="JA130" i="14" s="1"/>
  <c r="JC138" i="14" s="1"/>
  <c r="GO130" i="14"/>
  <c r="GP130" i="14"/>
  <c r="HU130" i="14" s="1"/>
  <c r="P128" i="14"/>
  <c r="AE128" i="14" s="1"/>
  <c r="T129" i="14"/>
  <c r="IX129" i="14" s="1"/>
  <c r="IZ129" i="14" s="1"/>
  <c r="N87" i="6"/>
  <c r="H127" i="14" s="1"/>
  <c r="G126" i="14"/>
  <c r="BR134" i="14" l="1"/>
  <c r="BR133" i="14"/>
  <c r="BS133" i="14"/>
  <c r="IN130" i="14"/>
  <c r="IO130" i="14"/>
  <c r="BZ129" i="14"/>
  <c r="CA129" i="14"/>
  <c r="CH130" i="14"/>
  <c r="CI130" i="14"/>
  <c r="AI130" i="14"/>
  <c r="BN130" i="14" s="1"/>
  <c r="AL129" i="14"/>
  <c r="AM129" i="14" s="1"/>
  <c r="AO129" i="14" s="1"/>
  <c r="G112" i="15"/>
  <c r="G110" i="38"/>
  <c r="F113" i="15"/>
  <c r="F111" i="38"/>
  <c r="AF122" i="38"/>
  <c r="AH122" i="38"/>
  <c r="H113" i="15"/>
  <c r="H111" i="38"/>
  <c r="J114" i="15"/>
  <c r="J112" i="38"/>
  <c r="AJ129" i="14"/>
  <c r="BO129" i="14" s="1"/>
  <c r="S128" i="14"/>
  <c r="AF128" i="14" s="1"/>
  <c r="GM128" i="14" s="1"/>
  <c r="GN128" i="14" s="1"/>
  <c r="GP128" i="14" s="1"/>
  <c r="HU128" i="14" s="1"/>
  <c r="I114" i="15"/>
  <c r="GM129" i="14"/>
  <c r="GN129" i="14" s="1"/>
  <c r="GR129" i="14"/>
  <c r="GS129" i="14" s="1"/>
  <c r="GU129" i="14" s="1"/>
  <c r="P85" i="6"/>
  <c r="F126" i="14"/>
  <c r="Q86" i="6"/>
  <c r="J127" i="14"/>
  <c r="I127" i="14"/>
  <c r="I111" i="38" s="1"/>
  <c r="BB132" i="14"/>
  <c r="BC132" i="14" s="1"/>
  <c r="BD132" i="14" s="1"/>
  <c r="BE132" i="14" s="1"/>
  <c r="BJ132" i="14" s="1"/>
  <c r="BK132" i="14" s="1"/>
  <c r="BL132" i="14" s="1"/>
  <c r="BM132" i="14" s="1"/>
  <c r="BG131" i="14"/>
  <c r="AY131" i="14"/>
  <c r="AQ131" i="14"/>
  <c r="AT131" i="14" s="1"/>
  <c r="AU131" i="14" s="1"/>
  <c r="AV131" i="14" s="1"/>
  <c r="AW131" i="14" s="1"/>
  <c r="JC135" i="14"/>
  <c r="IY129" i="14"/>
  <c r="JA129" i="14" s="1"/>
  <c r="JB129" i="14" s="1"/>
  <c r="JC139" i="14"/>
  <c r="JC132" i="14"/>
  <c r="JB130" i="14"/>
  <c r="JD130" i="14" s="1"/>
  <c r="JC133" i="14"/>
  <c r="JC136" i="14"/>
  <c r="JC137" i="14"/>
  <c r="JC130" i="14"/>
  <c r="JC134" i="14"/>
  <c r="JC131" i="14"/>
  <c r="AW124" i="15"/>
  <c r="BI124" i="15" s="1"/>
  <c r="AU124" i="15"/>
  <c r="BH124" i="15" s="1"/>
  <c r="R130" i="14"/>
  <c r="HT130" i="14"/>
  <c r="GQ130" i="14"/>
  <c r="GT130" i="14" s="1"/>
  <c r="T128" i="14"/>
  <c r="IX128" i="14" s="1"/>
  <c r="IZ128" i="14" s="1"/>
  <c r="Q129" i="14"/>
  <c r="P127" i="14"/>
  <c r="AE127" i="14" s="1"/>
  <c r="G125" i="14"/>
  <c r="N86" i="6"/>
  <c r="H126" i="14" s="1"/>
  <c r="AK130" i="14" l="1"/>
  <c r="AN130" i="14" s="1"/>
  <c r="BR132" i="14"/>
  <c r="BS132" i="14"/>
  <c r="IN128" i="14"/>
  <c r="IO128" i="14"/>
  <c r="CH129" i="14"/>
  <c r="CI129" i="14"/>
  <c r="IF130" i="14"/>
  <c r="IG130" i="14"/>
  <c r="BZ130" i="14"/>
  <c r="CA130" i="14"/>
  <c r="AK129" i="14"/>
  <c r="G111" i="15"/>
  <c r="G109" i="38"/>
  <c r="AI114" i="38"/>
  <c r="AG114" i="38"/>
  <c r="AF123" i="38"/>
  <c r="AH123" i="38"/>
  <c r="H112" i="15"/>
  <c r="H110" i="38"/>
  <c r="AU120" i="15"/>
  <c r="BH120" i="15" s="1"/>
  <c r="AH118" i="38"/>
  <c r="AF118" i="38"/>
  <c r="AW119" i="15"/>
  <c r="BI119" i="15" s="1"/>
  <c r="AH117" i="38"/>
  <c r="AF117" i="38"/>
  <c r="AH116" i="38"/>
  <c r="AF116" i="38"/>
  <c r="AW117" i="15"/>
  <c r="BI117" i="15" s="1"/>
  <c r="AH115" i="38"/>
  <c r="AF115" i="38"/>
  <c r="AH114" i="38"/>
  <c r="AF114" i="38"/>
  <c r="AW121" i="15"/>
  <c r="BI121" i="15" s="1"/>
  <c r="AH119" i="38"/>
  <c r="AF119" i="38"/>
  <c r="J113" i="15"/>
  <c r="J111" i="38"/>
  <c r="AF121" i="38"/>
  <c r="AH121" i="38"/>
  <c r="AU122" i="15"/>
  <c r="BH122" i="15" s="1"/>
  <c r="AH120" i="38"/>
  <c r="AF120" i="38"/>
  <c r="F112" i="15"/>
  <c r="F110" i="38"/>
  <c r="GR128" i="14"/>
  <c r="GS128" i="14" s="1"/>
  <c r="GU128" i="14" s="1"/>
  <c r="AL128" i="14"/>
  <c r="AM128" i="14" s="1"/>
  <c r="AO128" i="14" s="1"/>
  <c r="AG128" i="14"/>
  <c r="AH128" i="14" s="1"/>
  <c r="AI128" i="14" s="1"/>
  <c r="BN128" i="14" s="1"/>
  <c r="GP129" i="14"/>
  <c r="HU129" i="14" s="1"/>
  <c r="GO129" i="14"/>
  <c r="S127" i="14"/>
  <c r="AF127" i="14" s="1"/>
  <c r="AG127" i="14" s="1"/>
  <c r="AH127" i="14" s="1"/>
  <c r="I113" i="15"/>
  <c r="I126" i="14"/>
  <c r="Q85" i="6"/>
  <c r="J126" i="14"/>
  <c r="P84" i="6"/>
  <c r="F125" i="14"/>
  <c r="JD134" i="14"/>
  <c r="BG130" i="14"/>
  <c r="AQ130" i="14"/>
  <c r="AT130" i="14" s="1"/>
  <c r="AU130" i="14" s="1"/>
  <c r="AV130" i="14" s="1"/>
  <c r="AW130" i="14" s="1"/>
  <c r="AY130" i="14"/>
  <c r="AU121" i="15"/>
  <c r="BH121" i="15" s="1"/>
  <c r="BB131" i="14"/>
  <c r="BC131" i="14" s="1"/>
  <c r="BD131" i="14" s="1"/>
  <c r="BE131" i="14" s="1"/>
  <c r="BJ131" i="14" s="1"/>
  <c r="BK131" i="14" s="1"/>
  <c r="BL131" i="14" s="1"/>
  <c r="BM131" i="14" s="1"/>
  <c r="GO128" i="14"/>
  <c r="GQ128" i="14" s="1"/>
  <c r="GT128" i="14" s="1"/>
  <c r="AU123" i="15"/>
  <c r="BH123" i="15" s="1"/>
  <c r="AW123" i="15"/>
  <c r="BI123" i="15" s="1"/>
  <c r="Q128" i="14"/>
  <c r="AW125" i="15"/>
  <c r="BI125" i="15" s="1"/>
  <c r="AW122" i="15"/>
  <c r="BI122" i="15" s="1"/>
  <c r="AU125" i="15"/>
  <c r="BH125" i="15" s="1"/>
  <c r="AU116" i="15"/>
  <c r="BH116" i="15" s="1"/>
  <c r="AW116" i="15"/>
  <c r="BI116" i="15" s="1"/>
  <c r="JD133" i="14"/>
  <c r="JD138" i="14"/>
  <c r="JD131" i="14"/>
  <c r="JD135" i="14"/>
  <c r="JD139" i="14"/>
  <c r="AW118" i="15"/>
  <c r="BI118" i="15" s="1"/>
  <c r="JD132" i="14"/>
  <c r="JD137" i="14"/>
  <c r="JD136" i="14"/>
  <c r="AU118" i="15"/>
  <c r="BH118" i="15" s="1"/>
  <c r="AW120" i="15"/>
  <c r="BI120" i="15" s="1"/>
  <c r="AU119" i="15"/>
  <c r="BH119" i="15" s="1"/>
  <c r="AU117" i="15"/>
  <c r="BH117" i="15" s="1"/>
  <c r="IY128" i="14"/>
  <c r="JA128" i="14" s="1"/>
  <c r="JB128" i="14" s="1"/>
  <c r="AX116" i="15"/>
  <c r="AV116" i="15"/>
  <c r="T127" i="14"/>
  <c r="IX127" i="14" s="1"/>
  <c r="IZ127" i="14" s="1"/>
  <c r="R129" i="14"/>
  <c r="P126" i="14"/>
  <c r="AE126" i="14" s="1"/>
  <c r="AN129" i="14"/>
  <c r="AQ129" i="14"/>
  <c r="AT129" i="14" s="1"/>
  <c r="AU129" i="14" s="1"/>
  <c r="AV129" i="14" s="1"/>
  <c r="BG129" i="14"/>
  <c r="AY129" i="14"/>
  <c r="G124" i="14"/>
  <c r="N85" i="6"/>
  <c r="H125" i="14" s="1"/>
  <c r="BZ128" i="14" l="1"/>
  <c r="CA128" i="14"/>
  <c r="IN129" i="14"/>
  <c r="IO129" i="14"/>
  <c r="BR131" i="14"/>
  <c r="BS131" i="14"/>
  <c r="AV125" i="15"/>
  <c r="AG123" i="38"/>
  <c r="AI123" i="38"/>
  <c r="AG122" i="38"/>
  <c r="AI122" i="38"/>
  <c r="AX120" i="15"/>
  <c r="AI118" i="38"/>
  <c r="AG118" i="38"/>
  <c r="H111" i="15"/>
  <c r="H109" i="38"/>
  <c r="AI120" i="38"/>
  <c r="AG120" i="38"/>
  <c r="AV119" i="15"/>
  <c r="AI117" i="38"/>
  <c r="AG117" i="38"/>
  <c r="F111" i="15"/>
  <c r="F109" i="38"/>
  <c r="G110" i="15"/>
  <c r="G108" i="38"/>
  <c r="AX123" i="15"/>
  <c r="AG121" i="38"/>
  <c r="AI121" i="38"/>
  <c r="J112" i="15"/>
  <c r="J110" i="38"/>
  <c r="AV117" i="15"/>
  <c r="AI115" i="38"/>
  <c r="AG115" i="38"/>
  <c r="AI116" i="38"/>
  <c r="AG116" i="38"/>
  <c r="I112" i="15"/>
  <c r="I110" i="38"/>
  <c r="AI119" i="38"/>
  <c r="AG119" i="38"/>
  <c r="AJ128" i="14"/>
  <c r="BO128" i="14" s="1"/>
  <c r="S126" i="14"/>
  <c r="AF126" i="14" s="1"/>
  <c r="GM126" i="14" s="1"/>
  <c r="GN126" i="14" s="1"/>
  <c r="AJ127" i="14"/>
  <c r="BO127" i="14" s="1"/>
  <c r="AI127" i="14"/>
  <c r="BN127" i="14" s="1"/>
  <c r="AL127" i="14"/>
  <c r="AM127" i="14" s="1"/>
  <c r="AO127" i="14" s="1"/>
  <c r="GR127" i="14"/>
  <c r="GS127" i="14" s="1"/>
  <c r="GU127" i="14" s="1"/>
  <c r="GM127" i="14"/>
  <c r="GN127" i="14" s="1"/>
  <c r="GQ129" i="14"/>
  <c r="GT129" i="14" s="1"/>
  <c r="HT129" i="14"/>
  <c r="P83" i="6"/>
  <c r="F124" i="14"/>
  <c r="Q84" i="6"/>
  <c r="J125" i="14"/>
  <c r="I125" i="14"/>
  <c r="AV120" i="15"/>
  <c r="BB130" i="14"/>
  <c r="BC130" i="14" s="1"/>
  <c r="BD130" i="14" s="1"/>
  <c r="BE130" i="14" s="1"/>
  <c r="BJ130" i="14" s="1"/>
  <c r="BK130" i="14" s="1"/>
  <c r="BL130" i="14" s="1"/>
  <c r="BM130" i="14" s="1"/>
  <c r="HT128" i="14"/>
  <c r="AV121" i="15"/>
  <c r="AX121" i="15"/>
  <c r="AX124" i="15"/>
  <c r="AV118" i="15"/>
  <c r="AX118" i="15"/>
  <c r="AV122" i="15"/>
  <c r="AV124" i="15"/>
  <c r="AX122" i="15"/>
  <c r="AX119" i="15"/>
  <c r="AV123" i="15"/>
  <c r="AX117" i="15"/>
  <c r="AX125" i="15"/>
  <c r="T126" i="14"/>
  <c r="IX126" i="14" s="1"/>
  <c r="IY127" i="14"/>
  <c r="JA127" i="14" s="1"/>
  <c r="JB127" i="14" s="1"/>
  <c r="R128" i="14"/>
  <c r="P125" i="14"/>
  <c r="AE125" i="14" s="1"/>
  <c r="Q127" i="14"/>
  <c r="AW129" i="14"/>
  <c r="BB129" i="14" s="1"/>
  <c r="BC129" i="14" s="1"/>
  <c r="BD129" i="14" s="1"/>
  <c r="BE129" i="14" s="1"/>
  <c r="BJ129" i="14" s="1"/>
  <c r="BK129" i="14" s="1"/>
  <c r="BL129" i="14" s="1"/>
  <c r="BM129" i="14" s="1"/>
  <c r="N84" i="6"/>
  <c r="H124" i="14" s="1"/>
  <c r="G123" i="14"/>
  <c r="AG126" i="14" l="1"/>
  <c r="AH126" i="14" s="1"/>
  <c r="AI126" i="14" s="1"/>
  <c r="BN126" i="14" s="1"/>
  <c r="BZ126" i="14" s="1"/>
  <c r="AL126" i="14"/>
  <c r="AM126" i="14" s="1"/>
  <c r="AO126" i="14" s="1"/>
  <c r="GR126" i="14"/>
  <c r="GS126" i="14" s="1"/>
  <c r="GU126" i="14" s="1"/>
  <c r="IF128" i="14"/>
  <c r="IG128" i="14"/>
  <c r="BR129" i="14"/>
  <c r="BS129" i="14"/>
  <c r="BR130" i="14"/>
  <c r="BS130" i="14"/>
  <c r="CA126" i="14"/>
  <c r="BZ127" i="14"/>
  <c r="CA127" i="14"/>
  <c r="CH128" i="14"/>
  <c r="CI128" i="14"/>
  <c r="CH127" i="14"/>
  <c r="CI127" i="14"/>
  <c r="IF129" i="14"/>
  <c r="IG129" i="14"/>
  <c r="J111" i="15"/>
  <c r="J109" i="38"/>
  <c r="AK128" i="14"/>
  <c r="AQ128" i="14" s="1"/>
  <c r="AT128" i="14" s="1"/>
  <c r="AU128" i="14" s="1"/>
  <c r="AV128" i="14" s="1"/>
  <c r="I111" i="15"/>
  <c r="I109" i="38"/>
  <c r="F110" i="15"/>
  <c r="F108" i="38"/>
  <c r="G109" i="15"/>
  <c r="G107" i="38"/>
  <c r="H110" i="15"/>
  <c r="H108" i="38"/>
  <c r="S125" i="14"/>
  <c r="AF125" i="14" s="1"/>
  <c r="GR125" i="14" s="1"/>
  <c r="GS125" i="14" s="1"/>
  <c r="GU125" i="14" s="1"/>
  <c r="AK127" i="14"/>
  <c r="AQ127" i="14" s="1"/>
  <c r="AT127" i="14" s="1"/>
  <c r="AU127" i="14" s="1"/>
  <c r="AV127" i="14" s="1"/>
  <c r="P124" i="14"/>
  <c r="AE124" i="14" s="1"/>
  <c r="GO127" i="14"/>
  <c r="GP127" i="14"/>
  <c r="HU127" i="14" s="1"/>
  <c r="I124" i="14"/>
  <c r="Q83" i="6"/>
  <c r="J124" i="14"/>
  <c r="P82" i="6"/>
  <c r="F123" i="14"/>
  <c r="AJ126" i="14"/>
  <c r="BO126" i="14" s="1"/>
  <c r="IZ126" i="14"/>
  <c r="IY126" i="14"/>
  <c r="Q126" i="14"/>
  <c r="R127" i="14"/>
  <c r="GP126" i="14"/>
  <c r="HU126" i="14" s="1"/>
  <c r="GO126" i="14"/>
  <c r="T125" i="14"/>
  <c r="IX125" i="14" s="1"/>
  <c r="IZ125" i="14" s="1"/>
  <c r="G122" i="14"/>
  <c r="N83" i="6"/>
  <c r="H123" i="14" s="1"/>
  <c r="AG125" i="14" l="1"/>
  <c r="AH125" i="14" s="1"/>
  <c r="AJ125" i="14" s="1"/>
  <c r="BO125" i="14" s="1"/>
  <c r="GM125" i="14"/>
  <c r="GN125" i="14" s="1"/>
  <c r="GP125" i="14" s="1"/>
  <c r="HU125" i="14" s="1"/>
  <c r="CH125" i="14"/>
  <c r="CI125" i="14"/>
  <c r="IN127" i="14"/>
  <c r="IO127" i="14"/>
  <c r="IN125" i="14"/>
  <c r="IO125" i="14"/>
  <c r="IN126" i="14"/>
  <c r="IO126" i="14"/>
  <c r="CH126" i="14"/>
  <c r="CI126" i="14"/>
  <c r="AL125" i="14"/>
  <c r="AM125" i="14" s="1"/>
  <c r="AO125" i="14" s="1"/>
  <c r="AY127" i="14"/>
  <c r="AN127" i="14"/>
  <c r="AW127" i="14" s="1"/>
  <c r="BB127" i="14" s="1"/>
  <c r="BC127" i="14" s="1"/>
  <c r="BD127" i="14" s="1"/>
  <c r="BE127" i="14" s="1"/>
  <c r="BJ127" i="14" s="1"/>
  <c r="BK127" i="14" s="1"/>
  <c r="BL127" i="14" s="1"/>
  <c r="BM127" i="14" s="1"/>
  <c r="BG128" i="14"/>
  <c r="AY128" i="14"/>
  <c r="AN128" i="14"/>
  <c r="AW128" i="14" s="1"/>
  <c r="BB128" i="14" s="1"/>
  <c r="BC128" i="14" s="1"/>
  <c r="BD128" i="14" s="1"/>
  <c r="BE128" i="14" s="1"/>
  <c r="F109" i="15"/>
  <c r="F107" i="38"/>
  <c r="J110" i="15"/>
  <c r="J108" i="38"/>
  <c r="G108" i="15"/>
  <c r="G106" i="38"/>
  <c r="I110" i="15"/>
  <c r="I108" i="38"/>
  <c r="H109" i="15"/>
  <c r="H107" i="38"/>
  <c r="BG127" i="14"/>
  <c r="S124" i="14"/>
  <c r="AF124" i="14" s="1"/>
  <c r="GR124" i="14" s="1"/>
  <c r="GS124" i="14" s="1"/>
  <c r="GU124" i="14" s="1"/>
  <c r="HT127" i="14"/>
  <c r="GQ127" i="14"/>
  <c r="GT127" i="14" s="1"/>
  <c r="P81" i="6"/>
  <c r="F122" i="14"/>
  <c r="Q82" i="6"/>
  <c r="J123" i="14"/>
  <c r="I123" i="14"/>
  <c r="JA126" i="14"/>
  <c r="JB126" i="14" s="1"/>
  <c r="GO125" i="14"/>
  <c r="HT125" i="14" s="1"/>
  <c r="AI125" i="14"/>
  <c r="BN125" i="14" s="1"/>
  <c r="T124" i="14"/>
  <c r="IX124" i="14" s="1"/>
  <c r="IZ124" i="14" s="1"/>
  <c r="IY125" i="14"/>
  <c r="JA125" i="14" s="1"/>
  <c r="JB125" i="14" s="1"/>
  <c r="AK126" i="14"/>
  <c r="BG126" i="14" s="1"/>
  <c r="Q125" i="14"/>
  <c r="R126" i="14"/>
  <c r="P123" i="14"/>
  <c r="AE123" i="14" s="1"/>
  <c r="GQ126" i="14"/>
  <c r="GT126" i="14" s="1"/>
  <c r="HT126" i="14"/>
  <c r="G121" i="14"/>
  <c r="N82" i="6"/>
  <c r="H122" i="14" s="1"/>
  <c r="BJ128" i="14" l="1"/>
  <c r="BK128" i="14" s="1"/>
  <c r="BL128" i="14" s="1"/>
  <c r="BM128" i="14" s="1"/>
  <c r="IF126" i="14"/>
  <c r="IG126" i="14"/>
  <c r="BR127" i="14"/>
  <c r="BS127" i="14"/>
  <c r="BR128" i="14"/>
  <c r="BS128" i="14"/>
  <c r="BZ125" i="14"/>
  <c r="CA125" i="14"/>
  <c r="IF125" i="14"/>
  <c r="IG125" i="14"/>
  <c r="IF127" i="14"/>
  <c r="IG127" i="14"/>
  <c r="GM124" i="14"/>
  <c r="GN124" i="14" s="1"/>
  <c r="GO124" i="14" s="1"/>
  <c r="HT124" i="14" s="1"/>
  <c r="F108" i="15"/>
  <c r="F106" i="38"/>
  <c r="H108" i="15"/>
  <c r="H106" i="38"/>
  <c r="I109" i="15"/>
  <c r="I107" i="38"/>
  <c r="G107" i="15"/>
  <c r="G105" i="38"/>
  <c r="J109" i="15"/>
  <c r="J107" i="38"/>
  <c r="AG124" i="14"/>
  <c r="AH124" i="14" s="1"/>
  <c r="AI124" i="14" s="1"/>
  <c r="BN124" i="14" s="1"/>
  <c r="AL124" i="14"/>
  <c r="AM124" i="14" s="1"/>
  <c r="AO124" i="14" s="1"/>
  <c r="S123" i="14"/>
  <c r="AF123" i="14" s="1"/>
  <c r="GR123" i="14" s="1"/>
  <c r="GS123" i="14" s="1"/>
  <c r="GU123" i="14" s="1"/>
  <c r="I122" i="14"/>
  <c r="Q81" i="6"/>
  <c r="J122" i="14"/>
  <c r="GQ125" i="14"/>
  <c r="GT125" i="14" s="1"/>
  <c r="P80" i="6"/>
  <c r="F121" i="14"/>
  <c r="AK125" i="14"/>
  <c r="AQ125" i="14" s="1"/>
  <c r="AT125" i="14" s="1"/>
  <c r="AU125" i="14" s="1"/>
  <c r="AV125" i="14" s="1"/>
  <c r="IY124" i="14"/>
  <c r="JA124" i="14" s="1"/>
  <c r="JB124" i="14" s="1"/>
  <c r="AQ126" i="14"/>
  <c r="AT126" i="14" s="1"/>
  <c r="AU126" i="14" s="1"/>
  <c r="AV126" i="14" s="1"/>
  <c r="AN126" i="14"/>
  <c r="AY126" i="14"/>
  <c r="R125" i="14"/>
  <c r="Q124" i="14"/>
  <c r="T123" i="14"/>
  <c r="IX123" i="14" s="1"/>
  <c r="IZ123" i="14" s="1"/>
  <c r="P122" i="14"/>
  <c r="AE122" i="14" s="1"/>
  <c r="N81" i="6"/>
  <c r="H121" i="14" s="1"/>
  <c r="G120" i="14"/>
  <c r="IF124" i="14" l="1"/>
  <c r="IG124" i="14"/>
  <c r="GP124" i="14"/>
  <c r="HU124" i="14" s="1"/>
  <c r="BZ124" i="14"/>
  <c r="CA124" i="14"/>
  <c r="AL123" i="14"/>
  <c r="AM123" i="14" s="1"/>
  <c r="AO123" i="14" s="1"/>
  <c r="AJ124" i="14"/>
  <c r="BO124" i="14" s="1"/>
  <c r="AG123" i="14"/>
  <c r="AH123" i="14" s="1"/>
  <c r="AI123" i="14" s="1"/>
  <c r="BN123" i="14" s="1"/>
  <c r="GM123" i="14"/>
  <c r="GN123" i="14" s="1"/>
  <c r="GP123" i="14" s="1"/>
  <c r="HU123" i="14" s="1"/>
  <c r="I108" i="15"/>
  <c r="I106" i="38"/>
  <c r="G106" i="15"/>
  <c r="G104" i="38"/>
  <c r="F107" i="15"/>
  <c r="F105" i="38"/>
  <c r="H107" i="15"/>
  <c r="H105" i="38"/>
  <c r="J108" i="15"/>
  <c r="J106" i="38"/>
  <c r="S122" i="14"/>
  <c r="AF122" i="14" s="1"/>
  <c r="AL122" i="14" s="1"/>
  <c r="AM122" i="14" s="1"/>
  <c r="AO122" i="14" s="1"/>
  <c r="P79" i="6"/>
  <c r="F120" i="14"/>
  <c r="Q80" i="6"/>
  <c r="J121" i="14"/>
  <c r="I121" i="14"/>
  <c r="AY125" i="14"/>
  <c r="AN125" i="14"/>
  <c r="AW125" i="14" s="1"/>
  <c r="BG125" i="14"/>
  <c r="GQ124" i="14"/>
  <c r="GT124" i="14" s="1"/>
  <c r="AW126" i="14"/>
  <c r="BB126" i="14" s="1"/>
  <c r="BC126" i="14" s="1"/>
  <c r="BD126" i="14" s="1"/>
  <c r="BE126" i="14" s="1"/>
  <c r="BJ126" i="14" s="1"/>
  <c r="BK126" i="14" s="1"/>
  <c r="BL126" i="14" s="1"/>
  <c r="BM126" i="14" s="1"/>
  <c r="IY123" i="14"/>
  <c r="JA123" i="14" s="1"/>
  <c r="JB123" i="14" s="1"/>
  <c r="R124" i="14"/>
  <c r="P121" i="14"/>
  <c r="AE121" i="14" s="1"/>
  <c r="T122" i="14"/>
  <c r="IX122" i="14" s="1"/>
  <c r="IZ122" i="14" s="1"/>
  <c r="Q123" i="14"/>
  <c r="G119" i="14"/>
  <c r="N80" i="6"/>
  <c r="H120" i="14" s="1"/>
  <c r="CH124" i="14" l="1"/>
  <c r="CI124" i="14"/>
  <c r="BZ123" i="14"/>
  <c r="CA123" i="14"/>
  <c r="IN124" i="14"/>
  <c r="IO124" i="14"/>
  <c r="BR126" i="14"/>
  <c r="BS126" i="14"/>
  <c r="IN123" i="14"/>
  <c r="IO123" i="14"/>
  <c r="GO123" i="14"/>
  <c r="AJ123" i="14"/>
  <c r="BO123" i="14" s="1"/>
  <c r="GR122" i="14"/>
  <c r="GS122" i="14" s="1"/>
  <c r="GU122" i="14" s="1"/>
  <c r="AG122" i="14"/>
  <c r="AH122" i="14" s="1"/>
  <c r="AJ122" i="14" s="1"/>
  <c r="BO122" i="14" s="1"/>
  <c r="AK124" i="14"/>
  <c r="AN124" i="14" s="1"/>
  <c r="GM122" i="14"/>
  <c r="GN122" i="14" s="1"/>
  <c r="GP122" i="14" s="1"/>
  <c r="HU122" i="14" s="1"/>
  <c r="J107" i="15"/>
  <c r="J105" i="38"/>
  <c r="F106" i="15"/>
  <c r="F104" i="38"/>
  <c r="G105" i="15"/>
  <c r="G103" i="38"/>
  <c r="H106" i="15"/>
  <c r="H104" i="38"/>
  <c r="I107" i="15"/>
  <c r="I105" i="38"/>
  <c r="BB125" i="14"/>
  <c r="BC125" i="14" s="1"/>
  <c r="BD125" i="14" s="1"/>
  <c r="BE125" i="14" s="1"/>
  <c r="BJ125" i="14" s="1"/>
  <c r="BK125" i="14" s="1"/>
  <c r="BL125" i="14" s="1"/>
  <c r="BM125" i="14" s="1"/>
  <c r="S121" i="14"/>
  <c r="AF121" i="14" s="1"/>
  <c r="GM121" i="14" s="1"/>
  <c r="GN121" i="14" s="1"/>
  <c r="GP121" i="14" s="1"/>
  <c r="HU121" i="14" s="1"/>
  <c r="I120" i="14"/>
  <c r="Q79" i="6"/>
  <c r="J120" i="14"/>
  <c r="P78" i="6"/>
  <c r="F119" i="14"/>
  <c r="Q122" i="14"/>
  <c r="P120" i="14"/>
  <c r="AE120" i="14" s="1"/>
  <c r="IY122" i="14"/>
  <c r="JA122" i="14" s="1"/>
  <c r="JB122" i="14" s="1"/>
  <c r="R123" i="14"/>
  <c r="HT123" i="14"/>
  <c r="GQ123" i="14"/>
  <c r="GT123" i="14" s="1"/>
  <c r="T121" i="14"/>
  <c r="IX121" i="14" s="1"/>
  <c r="IZ121" i="14" s="1"/>
  <c r="G118" i="14"/>
  <c r="N79" i="6"/>
  <c r="H119" i="14" s="1"/>
  <c r="IF123" i="14" l="1"/>
  <c r="IG123" i="14"/>
  <c r="CH122" i="14"/>
  <c r="CI122" i="14"/>
  <c r="IN121" i="14"/>
  <c r="IO121" i="14"/>
  <c r="IN122" i="14"/>
  <c r="IO122" i="14"/>
  <c r="CH123" i="14"/>
  <c r="CI123" i="14"/>
  <c r="BR125" i="14"/>
  <c r="BS125" i="14"/>
  <c r="BG124" i="14"/>
  <c r="AK123" i="14"/>
  <c r="AY123" i="14" s="1"/>
  <c r="AQ124" i="14"/>
  <c r="AT124" i="14" s="1"/>
  <c r="AU124" i="14" s="1"/>
  <c r="AV124" i="14" s="1"/>
  <c r="AW124" i="14" s="1"/>
  <c r="AI122" i="14"/>
  <c r="BN122" i="14" s="1"/>
  <c r="GO122" i="14"/>
  <c r="HT122" i="14" s="1"/>
  <c r="AY124" i="14"/>
  <c r="I106" i="15"/>
  <c r="I104" i="38"/>
  <c r="J106" i="15"/>
  <c r="J104" i="38"/>
  <c r="S120" i="14"/>
  <c r="AF120" i="14" s="1"/>
  <c r="GR120" i="14" s="1"/>
  <c r="GS120" i="14" s="1"/>
  <c r="GU120" i="14" s="1"/>
  <c r="H105" i="15"/>
  <c r="H103" i="38"/>
  <c r="F105" i="15"/>
  <c r="F103" i="38"/>
  <c r="G104" i="15"/>
  <c r="G102" i="38"/>
  <c r="AL121" i="14"/>
  <c r="AM121" i="14" s="1"/>
  <c r="AO121" i="14" s="1"/>
  <c r="AG121" i="14"/>
  <c r="AH121" i="14" s="1"/>
  <c r="AI121" i="14" s="1"/>
  <c r="BN121" i="14" s="1"/>
  <c r="GR121" i="14"/>
  <c r="GS121" i="14" s="1"/>
  <c r="GU121" i="14" s="1"/>
  <c r="P77" i="6"/>
  <c r="F118" i="14"/>
  <c r="Q78" i="6"/>
  <c r="J119" i="14"/>
  <c r="I119" i="14"/>
  <c r="GO121" i="14"/>
  <c r="HT121" i="14" s="1"/>
  <c r="IY121" i="14"/>
  <c r="JA121" i="14" s="1"/>
  <c r="JB121" i="14" s="1"/>
  <c r="Q121" i="14"/>
  <c r="R122" i="14"/>
  <c r="P119" i="14"/>
  <c r="AE119" i="14" s="1"/>
  <c r="T120" i="14"/>
  <c r="IX120" i="14" s="1"/>
  <c r="IZ120" i="14" s="1"/>
  <c r="N78" i="6"/>
  <c r="H118" i="14" s="1"/>
  <c r="G117" i="14"/>
  <c r="AN123" i="14" l="1"/>
  <c r="BZ121" i="14"/>
  <c r="CA121" i="14"/>
  <c r="IF121" i="14"/>
  <c r="IG121" i="14"/>
  <c r="BZ122" i="14"/>
  <c r="CA122" i="14"/>
  <c r="AK122" i="14"/>
  <c r="AN122" i="14" s="1"/>
  <c r="BG123" i="14"/>
  <c r="AQ123" i="14"/>
  <c r="AT123" i="14" s="1"/>
  <c r="AU123" i="14" s="1"/>
  <c r="AV123" i="14" s="1"/>
  <c r="AW123" i="14" s="1"/>
  <c r="BB123" i="14" s="1"/>
  <c r="BC123" i="14" s="1"/>
  <c r="BD123" i="14" s="1"/>
  <c r="BE123" i="14" s="1"/>
  <c r="IF122" i="14"/>
  <c r="IG122" i="14"/>
  <c r="GQ122" i="14"/>
  <c r="GT122" i="14" s="1"/>
  <c r="BB124" i="14"/>
  <c r="BC124" i="14" s="1"/>
  <c r="BD124" i="14" s="1"/>
  <c r="BE124" i="14" s="1"/>
  <c r="BJ124" i="14" s="1"/>
  <c r="BK124" i="14" s="1"/>
  <c r="BL124" i="14" s="1"/>
  <c r="BM124" i="14" s="1"/>
  <c r="AJ121" i="14"/>
  <c r="BO121" i="14" s="1"/>
  <c r="GM120" i="14"/>
  <c r="GN120" i="14" s="1"/>
  <c r="GP120" i="14" s="1"/>
  <c r="HU120" i="14" s="1"/>
  <c r="AG120" i="14"/>
  <c r="AH120" i="14" s="1"/>
  <c r="AI120" i="14" s="1"/>
  <c r="BN120" i="14" s="1"/>
  <c r="AL120" i="14"/>
  <c r="AM120" i="14" s="1"/>
  <c r="AO120" i="14" s="1"/>
  <c r="F104" i="15"/>
  <c r="F102" i="38"/>
  <c r="G103" i="15"/>
  <c r="G101" i="38"/>
  <c r="H104" i="15"/>
  <c r="H102" i="38"/>
  <c r="I105" i="15"/>
  <c r="I103" i="38"/>
  <c r="J105" i="15"/>
  <c r="J103" i="38"/>
  <c r="S119" i="14"/>
  <c r="AF119" i="14" s="1"/>
  <c r="AG119" i="14" s="1"/>
  <c r="AH119" i="14" s="1"/>
  <c r="AI119" i="14" s="1"/>
  <c r="BN119" i="14" s="1"/>
  <c r="BZ119" i="14" s="1"/>
  <c r="GQ121" i="14"/>
  <c r="GT121" i="14" s="1"/>
  <c r="I118" i="14"/>
  <c r="Q77" i="6"/>
  <c r="J118" i="14"/>
  <c r="P76" i="6"/>
  <c r="F117" i="14"/>
  <c r="IY120" i="14"/>
  <c r="JA120" i="14" s="1"/>
  <c r="JC123" i="14" s="1"/>
  <c r="P118" i="14"/>
  <c r="AE118" i="14" s="1"/>
  <c r="T119" i="14"/>
  <c r="IX119" i="14" s="1"/>
  <c r="IZ119" i="14" s="1"/>
  <c r="Q120" i="14"/>
  <c r="R121" i="14"/>
  <c r="G116" i="14"/>
  <c r="N77" i="6"/>
  <c r="H117" i="14" s="1"/>
  <c r="GO120" i="14" l="1"/>
  <c r="HT120" i="14" s="1"/>
  <c r="AY122" i="14"/>
  <c r="BJ123" i="14"/>
  <c r="BK123" i="14" s="1"/>
  <c r="BL123" i="14" s="1"/>
  <c r="BM123" i="14" s="1"/>
  <c r="BS123" i="14" s="1"/>
  <c r="AK121" i="14"/>
  <c r="AY121" i="14" s="1"/>
  <c r="IF120" i="14"/>
  <c r="IG120" i="14"/>
  <c r="BZ120" i="14"/>
  <c r="CA120" i="14"/>
  <c r="CH121" i="14"/>
  <c r="CI121" i="14"/>
  <c r="BR124" i="14"/>
  <c r="BS124" i="14"/>
  <c r="BG122" i="14"/>
  <c r="BR123" i="14"/>
  <c r="IN120" i="14"/>
  <c r="IO120" i="14"/>
  <c r="AQ122" i="14"/>
  <c r="AT122" i="14" s="1"/>
  <c r="AU122" i="14" s="1"/>
  <c r="AV122" i="14" s="1"/>
  <c r="AW122" i="14" s="1"/>
  <c r="AJ120" i="14"/>
  <c r="BO120" i="14" s="1"/>
  <c r="GM119" i="14"/>
  <c r="GN119" i="14" s="1"/>
  <c r="GO119" i="14" s="1"/>
  <c r="I104" i="15"/>
  <c r="I102" i="38"/>
  <c r="J104" i="15"/>
  <c r="J102" i="38"/>
  <c r="H103" i="15"/>
  <c r="H101" i="38"/>
  <c r="AH107" i="38"/>
  <c r="AF107" i="38"/>
  <c r="G102" i="15"/>
  <c r="G100" i="38"/>
  <c r="AL119" i="14"/>
  <c r="AM119" i="14" s="1"/>
  <c r="AO119" i="14" s="1"/>
  <c r="F103" i="15"/>
  <c r="F101" i="38"/>
  <c r="GR119" i="14"/>
  <c r="GS119" i="14" s="1"/>
  <c r="GU119" i="14" s="1"/>
  <c r="S118" i="14"/>
  <c r="AF118" i="14" s="1"/>
  <c r="GM118" i="14" s="1"/>
  <c r="GN118" i="14" s="1"/>
  <c r="GO118" i="14" s="1"/>
  <c r="P75" i="6"/>
  <c r="F116" i="14"/>
  <c r="P116" i="14" s="1"/>
  <c r="AE116" i="14" s="1"/>
  <c r="Q76" i="6"/>
  <c r="J117" i="14"/>
  <c r="T117" i="14" s="1"/>
  <c r="IX117" i="14" s="1"/>
  <c r="IZ117" i="14" s="1"/>
  <c r="I117" i="14"/>
  <c r="I101" i="38" s="1"/>
  <c r="GQ120" i="14"/>
  <c r="GT120" i="14" s="1"/>
  <c r="AJ119" i="14"/>
  <c r="BO119" i="14" s="1"/>
  <c r="CH119" i="14" s="1"/>
  <c r="JB120" i="14"/>
  <c r="JD127" i="14" s="1"/>
  <c r="JC121" i="14"/>
  <c r="JC125" i="14"/>
  <c r="JC120" i="14"/>
  <c r="JC124" i="14"/>
  <c r="JC128" i="14"/>
  <c r="JC129" i="14"/>
  <c r="JC122" i="14"/>
  <c r="JC126" i="14"/>
  <c r="JC127" i="14"/>
  <c r="T118" i="14"/>
  <c r="IX118" i="14" s="1"/>
  <c r="IZ118" i="14" s="1"/>
  <c r="AW109" i="15"/>
  <c r="BI109" i="15" s="1"/>
  <c r="AU109" i="15"/>
  <c r="BH109" i="15" s="1"/>
  <c r="R120" i="14"/>
  <c r="IY119" i="14"/>
  <c r="JA119" i="14" s="1"/>
  <c r="JB119" i="14" s="1"/>
  <c r="Q119" i="14"/>
  <c r="P117" i="14"/>
  <c r="AE117" i="14" s="1"/>
  <c r="G115" i="14"/>
  <c r="N76" i="6"/>
  <c r="H116" i="14" s="1"/>
  <c r="AQ121" i="14" l="1"/>
  <c r="AT121" i="14" s="1"/>
  <c r="AU121" i="14" s="1"/>
  <c r="AV121" i="14" s="1"/>
  <c r="BG121" i="14"/>
  <c r="BB122" i="14"/>
  <c r="BC122" i="14" s="1"/>
  <c r="BD122" i="14" s="1"/>
  <c r="BE122" i="14" s="1"/>
  <c r="BJ122" i="14" s="1"/>
  <c r="BK122" i="14" s="1"/>
  <c r="BL122" i="14" s="1"/>
  <c r="BM122" i="14" s="1"/>
  <c r="BS122" i="14" s="1"/>
  <c r="AN121" i="14"/>
  <c r="CH120" i="14"/>
  <c r="CI120" i="14"/>
  <c r="GP119" i="14"/>
  <c r="HU119" i="14" s="1"/>
  <c r="IN119" i="14" s="1"/>
  <c r="AK120" i="14"/>
  <c r="BG120" i="14" s="1"/>
  <c r="AU108" i="15"/>
  <c r="BH108" i="15" s="1"/>
  <c r="AF106" i="38"/>
  <c r="AH106" i="38"/>
  <c r="AW115" i="15"/>
  <c r="BI115" i="15" s="1"/>
  <c r="AF113" i="38"/>
  <c r="AH113" i="38"/>
  <c r="AI111" i="38"/>
  <c r="AG111" i="38"/>
  <c r="AW107" i="15"/>
  <c r="BI107" i="15" s="1"/>
  <c r="AF105" i="38"/>
  <c r="AH105" i="38"/>
  <c r="H102" i="15"/>
  <c r="H100" i="38"/>
  <c r="AL118" i="14"/>
  <c r="AM118" i="14" s="1"/>
  <c r="AO118" i="14" s="1"/>
  <c r="GR118" i="14"/>
  <c r="GS118" i="14" s="1"/>
  <c r="GU118" i="14" s="1"/>
  <c r="AW114" i="15"/>
  <c r="BI114" i="15" s="1"/>
  <c r="AF112" i="38"/>
  <c r="AH112" i="38"/>
  <c r="G101" i="15"/>
  <c r="G99" i="38"/>
  <c r="AG118" i="14"/>
  <c r="AH118" i="14" s="1"/>
  <c r="AJ118" i="14" s="1"/>
  <c r="BO118" i="14" s="1"/>
  <c r="CH118" i="14" s="1"/>
  <c r="AU110" i="15"/>
  <c r="BH110" i="15" s="1"/>
  <c r="AH108" i="38"/>
  <c r="AF108" i="38"/>
  <c r="J103" i="15"/>
  <c r="J101" i="38"/>
  <c r="AF111" i="38"/>
  <c r="AH111" i="38"/>
  <c r="AF104" i="38"/>
  <c r="AH104" i="38"/>
  <c r="AF110" i="38"/>
  <c r="AH110" i="38"/>
  <c r="AW111" i="15"/>
  <c r="BI111" i="15" s="1"/>
  <c r="AF109" i="38"/>
  <c r="AH109" i="38"/>
  <c r="F102" i="15"/>
  <c r="F100" i="38"/>
  <c r="S117" i="14"/>
  <c r="AF117" i="14" s="1"/>
  <c r="GM117" i="14" s="1"/>
  <c r="GN117" i="14" s="1"/>
  <c r="I103" i="15"/>
  <c r="I116" i="14"/>
  <c r="Q75" i="6"/>
  <c r="J116" i="14"/>
  <c r="P74" i="6"/>
  <c r="F115" i="14"/>
  <c r="AW121" i="14"/>
  <c r="BB121" i="14" s="1"/>
  <c r="BC121" i="14" s="1"/>
  <c r="BD121" i="14" s="1"/>
  <c r="BE121" i="14" s="1"/>
  <c r="BJ121" i="14" s="1"/>
  <c r="BK121" i="14" s="1"/>
  <c r="BL121" i="14" s="1"/>
  <c r="BM121" i="14" s="1"/>
  <c r="GP118" i="14"/>
  <c r="HU118" i="14" s="1"/>
  <c r="IN118" i="14" s="1"/>
  <c r="AW106" i="15"/>
  <c r="BI106" i="15" s="1"/>
  <c r="AU106" i="15"/>
  <c r="BH106" i="15" s="1"/>
  <c r="AU112" i="15"/>
  <c r="BH112" i="15" s="1"/>
  <c r="AW112" i="15"/>
  <c r="BI112" i="15" s="1"/>
  <c r="AU113" i="15"/>
  <c r="BH113" i="15" s="1"/>
  <c r="AW113" i="15"/>
  <c r="BI113" i="15" s="1"/>
  <c r="AK119" i="14"/>
  <c r="AN119" i="14" s="1"/>
  <c r="JD129" i="14"/>
  <c r="JD120" i="14"/>
  <c r="JD122" i="14"/>
  <c r="JD128" i="14"/>
  <c r="JD124" i="14"/>
  <c r="JD126" i="14"/>
  <c r="JD121" i="14"/>
  <c r="JD125" i="14"/>
  <c r="JD123" i="14"/>
  <c r="AU115" i="15"/>
  <c r="BH115" i="15" s="1"/>
  <c r="AW110" i="15"/>
  <c r="BI110" i="15" s="1"/>
  <c r="AW108" i="15"/>
  <c r="BI108" i="15" s="1"/>
  <c r="AU107" i="15"/>
  <c r="BH107" i="15" s="1"/>
  <c r="AU111" i="15"/>
  <c r="BH111" i="15" s="1"/>
  <c r="AU114" i="15"/>
  <c r="BH114" i="15" s="1"/>
  <c r="IY118" i="14"/>
  <c r="JA118" i="14" s="1"/>
  <c r="JB118" i="14" s="1"/>
  <c r="R119" i="14"/>
  <c r="IY117" i="14"/>
  <c r="JA117" i="14" s="1"/>
  <c r="JB117" i="14" s="1"/>
  <c r="Q118" i="14"/>
  <c r="HT119" i="14"/>
  <c r="IF119" i="14" s="1"/>
  <c r="AX113" i="15"/>
  <c r="AV113" i="15"/>
  <c r="HT118" i="14"/>
  <c r="IF118" i="14" s="1"/>
  <c r="N75" i="6"/>
  <c r="H115" i="14" s="1"/>
  <c r="G114" i="14"/>
  <c r="BR122" i="14" l="1"/>
  <c r="AI118" i="14"/>
  <c r="BN118" i="14" s="1"/>
  <c r="BZ118" i="14" s="1"/>
  <c r="GQ119" i="14"/>
  <c r="GT119" i="14" s="1"/>
  <c r="AY120" i="14"/>
  <c r="AN120" i="14"/>
  <c r="AQ120" i="14"/>
  <c r="AT120" i="14" s="1"/>
  <c r="AU120" i="14" s="1"/>
  <c r="AV120" i="14" s="1"/>
  <c r="BR121" i="14"/>
  <c r="BS121" i="14"/>
  <c r="AL117" i="14"/>
  <c r="AM117" i="14" s="1"/>
  <c r="AO117" i="14" s="1"/>
  <c r="AG117" i="14"/>
  <c r="AH117" i="14" s="1"/>
  <c r="AJ117" i="14" s="1"/>
  <c r="BO117" i="14" s="1"/>
  <c r="CH117" i="14" s="1"/>
  <c r="AX108" i="15"/>
  <c r="AG106" i="38"/>
  <c r="AI106" i="38"/>
  <c r="AV114" i="15"/>
  <c r="AI112" i="38"/>
  <c r="AG112" i="38"/>
  <c r="AG104" i="38"/>
  <c r="AI104" i="38"/>
  <c r="AX109" i="15"/>
  <c r="AI107" i="38"/>
  <c r="AG107" i="38"/>
  <c r="F101" i="15"/>
  <c r="F99" i="38"/>
  <c r="AV115" i="15"/>
  <c r="AI113" i="38"/>
  <c r="AG113" i="38"/>
  <c r="H101" i="15"/>
  <c r="H99" i="38"/>
  <c r="AG109" i="38"/>
  <c r="AI109" i="38"/>
  <c r="G100" i="15"/>
  <c r="G98" i="38"/>
  <c r="AV107" i="15"/>
  <c r="AI105" i="38"/>
  <c r="AG105" i="38"/>
  <c r="GR117" i="14"/>
  <c r="GS117" i="14" s="1"/>
  <c r="GU117" i="14" s="1"/>
  <c r="J102" i="15"/>
  <c r="J100" i="38"/>
  <c r="AX112" i="15"/>
  <c r="AI110" i="38"/>
  <c r="AG110" i="38"/>
  <c r="AG108" i="38"/>
  <c r="AI108" i="38"/>
  <c r="I102" i="15"/>
  <c r="I100" i="38"/>
  <c r="S116" i="14"/>
  <c r="AF116" i="14" s="1"/>
  <c r="GM116" i="14" s="1"/>
  <c r="GN116" i="14" s="1"/>
  <c r="GQ118" i="14"/>
  <c r="GT118" i="14" s="1"/>
  <c r="P73" i="6"/>
  <c r="F114" i="14"/>
  <c r="Q74" i="6"/>
  <c r="J115" i="14"/>
  <c r="I115" i="14"/>
  <c r="I99" i="38" s="1"/>
  <c r="GO117" i="14"/>
  <c r="GP117" i="14"/>
  <c r="HU117" i="14" s="1"/>
  <c r="IN117" i="14" s="1"/>
  <c r="BG119" i="14"/>
  <c r="AQ119" i="14"/>
  <c r="AT119" i="14" s="1"/>
  <c r="AU119" i="14" s="1"/>
  <c r="AV119" i="14" s="1"/>
  <c r="AW119" i="14" s="1"/>
  <c r="AX115" i="15"/>
  <c r="AY119" i="14"/>
  <c r="AV106" i="15"/>
  <c r="AX106" i="15"/>
  <c r="AV109" i="15"/>
  <c r="AX114" i="15"/>
  <c r="AV108" i="15"/>
  <c r="AV110" i="15"/>
  <c r="AX110" i="15"/>
  <c r="AX107" i="15"/>
  <c r="AV112" i="15"/>
  <c r="AV111" i="15"/>
  <c r="AK118" i="14"/>
  <c r="AN118" i="14" s="1"/>
  <c r="AX111" i="15"/>
  <c r="P115" i="14"/>
  <c r="AE115" i="14" s="1"/>
  <c r="Q117" i="14"/>
  <c r="T116" i="14"/>
  <c r="IX116" i="14" s="1"/>
  <c r="IZ116" i="14" s="1"/>
  <c r="R118" i="14"/>
  <c r="G113" i="14"/>
  <c r="N74" i="6"/>
  <c r="H114" i="14" s="1"/>
  <c r="AW120" i="14" l="1"/>
  <c r="BB120" i="14" s="1"/>
  <c r="BC120" i="14" s="1"/>
  <c r="BD120" i="14" s="1"/>
  <c r="BE120" i="14" s="1"/>
  <c r="BJ120" i="14" s="1"/>
  <c r="BK120" i="14" s="1"/>
  <c r="BL120" i="14" s="1"/>
  <c r="BM120" i="14" s="1"/>
  <c r="BS120" i="14" s="1"/>
  <c r="BW139" i="14" s="1"/>
  <c r="AG116" i="14"/>
  <c r="AH116" i="14" s="1"/>
  <c r="AI116" i="14" s="1"/>
  <c r="GR116" i="14"/>
  <c r="GS116" i="14" s="1"/>
  <c r="GU116" i="14" s="1"/>
  <c r="AI117" i="14"/>
  <c r="AL116" i="14"/>
  <c r="AM116" i="14" s="1"/>
  <c r="AO116" i="14" s="1"/>
  <c r="F100" i="15"/>
  <c r="F98" i="38"/>
  <c r="G99" i="15"/>
  <c r="G97" i="38"/>
  <c r="H100" i="15"/>
  <c r="H98" i="38"/>
  <c r="J101" i="15"/>
  <c r="J99" i="38"/>
  <c r="T115" i="14"/>
  <c r="IX115" i="14" s="1"/>
  <c r="IY115" i="14" s="1"/>
  <c r="S115" i="14"/>
  <c r="AF115" i="14" s="1"/>
  <c r="GM115" i="14" s="1"/>
  <c r="GN115" i="14" s="1"/>
  <c r="I101" i="15"/>
  <c r="I114" i="14"/>
  <c r="Q73" i="6"/>
  <c r="J114" i="14"/>
  <c r="P72" i="6"/>
  <c r="F113" i="14"/>
  <c r="BB119" i="14"/>
  <c r="BC119" i="14" s="1"/>
  <c r="BD119" i="14" s="1"/>
  <c r="BE119" i="14" s="1"/>
  <c r="BJ119" i="14" s="1"/>
  <c r="BK119" i="14" s="1"/>
  <c r="BL119" i="14" s="1"/>
  <c r="BM119" i="14" s="1"/>
  <c r="BR119" i="14" s="1"/>
  <c r="HT117" i="14"/>
  <c r="IF117" i="14" s="1"/>
  <c r="GQ117" i="14"/>
  <c r="GT117" i="14" s="1"/>
  <c r="BG118" i="14"/>
  <c r="AQ118" i="14"/>
  <c r="AT118" i="14" s="1"/>
  <c r="AU118" i="14" s="1"/>
  <c r="AV118" i="14" s="1"/>
  <c r="AW118" i="14" s="1"/>
  <c r="AY118" i="14"/>
  <c r="IY116" i="14"/>
  <c r="JA116" i="14" s="1"/>
  <c r="JB116" i="14" s="1"/>
  <c r="Q116" i="14"/>
  <c r="GO116" i="14"/>
  <c r="GP116" i="14"/>
  <c r="HU116" i="14" s="1"/>
  <c r="IN116" i="14" s="1"/>
  <c r="R117" i="14"/>
  <c r="P114" i="14"/>
  <c r="AE114" i="14" s="1"/>
  <c r="N73" i="6"/>
  <c r="H113" i="14" s="1"/>
  <c r="G112" i="14"/>
  <c r="BR120" i="14" l="1"/>
  <c r="AJ116" i="14"/>
  <c r="BO116" i="14" s="1"/>
  <c r="CH116" i="14" s="1"/>
  <c r="IZ115" i="14"/>
  <c r="BN117" i="14"/>
  <c r="BZ117" i="14" s="1"/>
  <c r="AK117" i="14"/>
  <c r="J100" i="15"/>
  <c r="J98" i="38"/>
  <c r="H99" i="15"/>
  <c r="H97" i="38"/>
  <c r="GR115" i="14"/>
  <c r="GS115" i="14" s="1"/>
  <c r="GU115" i="14" s="1"/>
  <c r="I100" i="15"/>
  <c r="I98" i="38"/>
  <c r="AL115" i="14"/>
  <c r="AM115" i="14" s="1"/>
  <c r="AO115" i="14" s="1"/>
  <c r="AG115" i="14"/>
  <c r="AH115" i="14" s="1"/>
  <c r="AJ115" i="14" s="1"/>
  <c r="BO115" i="14" s="1"/>
  <c r="CH115" i="14" s="1"/>
  <c r="G98" i="15"/>
  <c r="G96" i="38"/>
  <c r="F99" i="15"/>
  <c r="F97" i="38"/>
  <c r="S114" i="14"/>
  <c r="AF114" i="14" s="1"/>
  <c r="GM114" i="14" s="1"/>
  <c r="GN114" i="14" s="1"/>
  <c r="GO114" i="14" s="1"/>
  <c r="T114" i="14"/>
  <c r="IX114" i="14" s="1"/>
  <c r="IZ114" i="14" s="1"/>
  <c r="P71" i="6"/>
  <c r="F112" i="14"/>
  <c r="Q72" i="6"/>
  <c r="J113" i="14"/>
  <c r="J97" i="38" s="1"/>
  <c r="I113" i="14"/>
  <c r="BB118" i="14"/>
  <c r="BC118" i="14" s="1"/>
  <c r="BD118" i="14" s="1"/>
  <c r="BE118" i="14" s="1"/>
  <c r="BJ118" i="14" s="1"/>
  <c r="BK118" i="14" s="1"/>
  <c r="BL118" i="14" s="1"/>
  <c r="BM118" i="14" s="1"/>
  <c r="BR118" i="14" s="1"/>
  <c r="JA115" i="14"/>
  <c r="JB115" i="14" s="1"/>
  <c r="GP115" i="14"/>
  <c r="HU115" i="14" s="1"/>
  <c r="IN115" i="14" s="1"/>
  <c r="GO115" i="14"/>
  <c r="HT116" i="14"/>
  <c r="IF116" i="14" s="1"/>
  <c r="GQ116" i="14"/>
  <c r="GT116" i="14" s="1"/>
  <c r="Q115" i="14"/>
  <c r="BN116" i="14"/>
  <c r="BZ116" i="14" s="1"/>
  <c r="AK116" i="14"/>
  <c r="P113" i="14"/>
  <c r="AE113" i="14" s="1"/>
  <c r="R116" i="14"/>
  <c r="N72" i="6"/>
  <c r="H112" i="14" s="1"/>
  <c r="G111" i="14"/>
  <c r="AN117" i="14" l="1"/>
  <c r="AY117" i="14"/>
  <c r="BG117" i="14"/>
  <c r="AQ117" i="14"/>
  <c r="AT117" i="14" s="1"/>
  <c r="AU117" i="14" s="1"/>
  <c r="AV117" i="14" s="1"/>
  <c r="AW117" i="14" s="1"/>
  <c r="BB117" i="14" s="1"/>
  <c r="BC117" i="14" s="1"/>
  <c r="BD117" i="14" s="1"/>
  <c r="BE117" i="14" s="1"/>
  <c r="AI115" i="14"/>
  <c r="BN115" i="14" s="1"/>
  <c r="BZ115" i="14" s="1"/>
  <c r="AL114" i="14"/>
  <c r="AM114" i="14" s="1"/>
  <c r="AO114" i="14" s="1"/>
  <c r="GR114" i="14"/>
  <c r="GS114" i="14" s="1"/>
  <c r="GU114" i="14" s="1"/>
  <c r="I99" i="15"/>
  <c r="I97" i="38"/>
  <c r="AG114" i="14"/>
  <c r="AH114" i="14" s="1"/>
  <c r="AJ114" i="14" s="1"/>
  <c r="BO114" i="14" s="1"/>
  <c r="CH114" i="14" s="1"/>
  <c r="IY114" i="14"/>
  <c r="JA114" i="14" s="1"/>
  <c r="JB114" i="14" s="1"/>
  <c r="H98" i="15"/>
  <c r="H96" i="38"/>
  <c r="G97" i="15"/>
  <c r="G95" i="38"/>
  <c r="F98" i="15"/>
  <c r="F96" i="38"/>
  <c r="S113" i="14"/>
  <c r="AF113" i="14" s="1"/>
  <c r="GM113" i="14" s="1"/>
  <c r="GN113" i="14" s="1"/>
  <c r="GO113" i="14" s="1"/>
  <c r="T113" i="14"/>
  <c r="IX113" i="14" s="1"/>
  <c r="IZ113" i="14" s="1"/>
  <c r="J99" i="15"/>
  <c r="I112" i="14"/>
  <c r="Q71" i="6"/>
  <c r="J112" i="14"/>
  <c r="P70" i="6"/>
  <c r="F111" i="14"/>
  <c r="GP114" i="14"/>
  <c r="HU114" i="14" s="1"/>
  <c r="IN114" i="14" s="1"/>
  <c r="HT115" i="14"/>
  <c r="IF115" i="14" s="1"/>
  <c r="GQ115" i="14"/>
  <c r="GT115" i="14" s="1"/>
  <c r="R115" i="14"/>
  <c r="Q114" i="14"/>
  <c r="AQ116" i="14"/>
  <c r="AT116" i="14" s="1"/>
  <c r="AU116" i="14" s="1"/>
  <c r="AV116" i="14" s="1"/>
  <c r="AY116" i="14"/>
  <c r="AN116" i="14"/>
  <c r="BG116" i="14"/>
  <c r="P112" i="14"/>
  <c r="AE112" i="14" s="1"/>
  <c r="HT114" i="14"/>
  <c r="IF114" i="14" s="1"/>
  <c r="N71" i="6"/>
  <c r="H111" i="14" s="1"/>
  <c r="G110" i="14"/>
  <c r="BJ117" i="14" l="1"/>
  <c r="BK117" i="14" s="1"/>
  <c r="BL117" i="14" s="1"/>
  <c r="BM117" i="14" s="1"/>
  <c r="BR117" i="14" s="1"/>
  <c r="AI114" i="14"/>
  <c r="BN114" i="14" s="1"/>
  <c r="BZ114" i="14" s="1"/>
  <c r="AK115" i="14"/>
  <c r="BG115" i="14" s="1"/>
  <c r="IY113" i="14"/>
  <c r="JA113" i="14" s="1"/>
  <c r="JB113" i="14" s="1"/>
  <c r="AG113" i="14"/>
  <c r="AH113" i="14" s="1"/>
  <c r="AI113" i="14" s="1"/>
  <c r="BN113" i="14" s="1"/>
  <c r="BZ113" i="14" s="1"/>
  <c r="GR113" i="14"/>
  <c r="GS113" i="14" s="1"/>
  <c r="GU113" i="14" s="1"/>
  <c r="I98" i="15"/>
  <c r="I96" i="38"/>
  <c r="F97" i="15"/>
  <c r="F95" i="38"/>
  <c r="G96" i="15"/>
  <c r="G94" i="38"/>
  <c r="H97" i="15"/>
  <c r="H95" i="38"/>
  <c r="AL113" i="14"/>
  <c r="AM113" i="14" s="1"/>
  <c r="AO113" i="14" s="1"/>
  <c r="J98" i="15"/>
  <c r="J96" i="38"/>
  <c r="S112" i="14"/>
  <c r="AF112" i="14" s="1"/>
  <c r="AL112" i="14" s="1"/>
  <c r="AM112" i="14" s="1"/>
  <c r="AO112" i="14" s="1"/>
  <c r="P69" i="6"/>
  <c r="F110" i="14"/>
  <c r="Q70" i="6"/>
  <c r="J111" i="14"/>
  <c r="I111" i="14"/>
  <c r="I95" i="38" s="1"/>
  <c r="GQ114" i="14"/>
  <c r="GT114" i="14" s="1"/>
  <c r="GP113" i="14"/>
  <c r="HU113" i="14" s="1"/>
  <c r="IN113" i="14" s="1"/>
  <c r="AK114" i="14"/>
  <c r="BG114" i="14" s="1"/>
  <c r="P111" i="14"/>
  <c r="AE111" i="14" s="1"/>
  <c r="Q113" i="14"/>
  <c r="R114" i="14"/>
  <c r="T112" i="14"/>
  <c r="IX112" i="14" s="1"/>
  <c r="IZ112" i="14" s="1"/>
  <c r="AW116" i="14"/>
  <c r="BB116" i="14" s="1"/>
  <c r="BC116" i="14" s="1"/>
  <c r="BD116" i="14" s="1"/>
  <c r="BE116" i="14" s="1"/>
  <c r="BJ116" i="14" s="1"/>
  <c r="BK116" i="14" s="1"/>
  <c r="BL116" i="14" s="1"/>
  <c r="BM116" i="14" s="1"/>
  <c r="BR116" i="14" s="1"/>
  <c r="HT113" i="14"/>
  <c r="IF113" i="14" s="1"/>
  <c r="N70" i="6"/>
  <c r="H110" i="14" s="1"/>
  <c r="G109" i="14"/>
  <c r="AQ115" i="14" l="1"/>
  <c r="AT115" i="14" s="1"/>
  <c r="AU115" i="14" s="1"/>
  <c r="AV115" i="14" s="1"/>
  <c r="AN115" i="14"/>
  <c r="AY115" i="14"/>
  <c r="AJ113" i="14"/>
  <c r="BO113" i="14" s="1"/>
  <c r="CH113" i="14" s="1"/>
  <c r="AG112" i="14"/>
  <c r="AH112" i="14" s="1"/>
  <c r="AI112" i="14" s="1"/>
  <c r="BN112" i="14" s="1"/>
  <c r="BZ112" i="14" s="1"/>
  <c r="GR112" i="14"/>
  <c r="GS112" i="14" s="1"/>
  <c r="GU112" i="14" s="1"/>
  <c r="GM112" i="14"/>
  <c r="GN112" i="14" s="1"/>
  <c r="GO112" i="14" s="1"/>
  <c r="HT112" i="14" s="1"/>
  <c r="IF112" i="14" s="1"/>
  <c r="J97" i="15"/>
  <c r="J95" i="38"/>
  <c r="F96" i="15"/>
  <c r="F94" i="38"/>
  <c r="H96" i="15"/>
  <c r="H94" i="38"/>
  <c r="G95" i="15"/>
  <c r="G93" i="38"/>
  <c r="S111" i="14"/>
  <c r="AF111" i="14" s="1"/>
  <c r="AL111" i="14" s="1"/>
  <c r="AM111" i="14" s="1"/>
  <c r="AO111" i="14" s="1"/>
  <c r="I97" i="15"/>
  <c r="I110" i="14"/>
  <c r="S110" i="14" s="1"/>
  <c r="AF110" i="14" s="1"/>
  <c r="Q69" i="6"/>
  <c r="J110" i="14"/>
  <c r="P68" i="6"/>
  <c r="F109" i="14"/>
  <c r="AW115" i="14"/>
  <c r="BB115" i="14" s="1"/>
  <c r="BC115" i="14" s="1"/>
  <c r="BD115" i="14" s="1"/>
  <c r="BE115" i="14" s="1"/>
  <c r="BJ115" i="14" s="1"/>
  <c r="BK115" i="14" s="1"/>
  <c r="BL115" i="14" s="1"/>
  <c r="BM115" i="14" s="1"/>
  <c r="BR115" i="14" s="1"/>
  <c r="GQ113" i="14"/>
  <c r="GT113" i="14" s="1"/>
  <c r="AQ114" i="14"/>
  <c r="AT114" i="14" s="1"/>
  <c r="AU114" i="14" s="1"/>
  <c r="AV114" i="14" s="1"/>
  <c r="AY114" i="14"/>
  <c r="AN114" i="14"/>
  <c r="IY112" i="14"/>
  <c r="JA112" i="14" s="1"/>
  <c r="JB112" i="14" s="1"/>
  <c r="R113" i="14"/>
  <c r="Q112" i="14"/>
  <c r="P110" i="14"/>
  <c r="AE110" i="14" s="1"/>
  <c r="T111" i="14"/>
  <c r="IX111" i="14" s="1"/>
  <c r="IZ111" i="14" s="1"/>
  <c r="N69" i="6"/>
  <c r="H109" i="14" s="1"/>
  <c r="G108" i="14"/>
  <c r="AK113" i="14" l="1"/>
  <c r="AQ113" i="14" s="1"/>
  <c r="AT113" i="14" s="1"/>
  <c r="AU113" i="14" s="1"/>
  <c r="AV113" i="14" s="1"/>
  <c r="AJ112" i="14"/>
  <c r="BO112" i="14" s="1"/>
  <c r="CH112" i="14" s="1"/>
  <c r="GR111" i="14"/>
  <c r="GS111" i="14" s="1"/>
  <c r="GU111" i="14" s="1"/>
  <c r="AG111" i="14"/>
  <c r="AH111" i="14" s="1"/>
  <c r="AJ111" i="14" s="1"/>
  <c r="BO111" i="14" s="1"/>
  <c r="CH111" i="14" s="1"/>
  <c r="GM111" i="14"/>
  <c r="GN111" i="14" s="1"/>
  <c r="GO111" i="14" s="1"/>
  <c r="HT111" i="14" s="1"/>
  <c r="IF111" i="14" s="1"/>
  <c r="GP112" i="14"/>
  <c r="HU112" i="14" s="1"/>
  <c r="IN112" i="14" s="1"/>
  <c r="F95" i="15"/>
  <c r="F93" i="38"/>
  <c r="J96" i="15"/>
  <c r="J94" i="38"/>
  <c r="G94" i="15"/>
  <c r="G92" i="38"/>
  <c r="H95" i="15"/>
  <c r="H93" i="38"/>
  <c r="I96" i="15"/>
  <c r="I94" i="38"/>
  <c r="P67" i="6"/>
  <c r="F108" i="14"/>
  <c r="Q68" i="6"/>
  <c r="J109" i="14"/>
  <c r="I109" i="14"/>
  <c r="I93" i="38" s="1"/>
  <c r="GM110" i="14"/>
  <c r="GN110" i="14" s="1"/>
  <c r="GO110" i="14" s="1"/>
  <c r="AW114" i="14"/>
  <c r="BB114" i="14" s="1"/>
  <c r="BC114" i="14" s="1"/>
  <c r="BD114" i="14" s="1"/>
  <c r="BE114" i="14" s="1"/>
  <c r="BJ114" i="14" s="1"/>
  <c r="BK114" i="14" s="1"/>
  <c r="BL114" i="14" s="1"/>
  <c r="BM114" i="14" s="1"/>
  <c r="BR114" i="14" s="1"/>
  <c r="AN113" i="14"/>
  <c r="AY113" i="14"/>
  <c r="AG110" i="14"/>
  <c r="AH110" i="14" s="1"/>
  <c r="AJ110" i="14" s="1"/>
  <c r="BO110" i="14" s="1"/>
  <c r="CH110" i="14" s="1"/>
  <c r="IY111" i="14"/>
  <c r="JA111" i="14" s="1"/>
  <c r="JB111" i="14" s="1"/>
  <c r="R112" i="14"/>
  <c r="AL110" i="14"/>
  <c r="AM110" i="14" s="1"/>
  <c r="AO110" i="14" s="1"/>
  <c r="Q111" i="14"/>
  <c r="GR110" i="14"/>
  <c r="GS110" i="14" s="1"/>
  <c r="GU110" i="14" s="1"/>
  <c r="T110" i="14"/>
  <c r="IX110" i="14" s="1"/>
  <c r="IZ110" i="14" s="1"/>
  <c r="P109" i="14"/>
  <c r="AE109" i="14" s="1"/>
  <c r="G107" i="14"/>
  <c r="N68" i="6"/>
  <c r="H108" i="14" s="1"/>
  <c r="AI111" i="14" l="1"/>
  <c r="BN111" i="14" s="1"/>
  <c r="BZ111" i="14" s="1"/>
  <c r="AK112" i="14"/>
  <c r="BG112" i="14" s="1"/>
  <c r="AW113" i="14"/>
  <c r="BB113" i="14" s="1"/>
  <c r="BC113" i="14" s="1"/>
  <c r="BD113" i="14" s="1"/>
  <c r="BE113" i="14" s="1"/>
  <c r="BG113" i="14"/>
  <c r="GP111" i="14"/>
  <c r="HU111" i="14" s="1"/>
  <c r="IN111" i="14" s="1"/>
  <c r="GQ112" i="14"/>
  <c r="GT112" i="14" s="1"/>
  <c r="J95" i="15"/>
  <c r="J93" i="38"/>
  <c r="F94" i="15"/>
  <c r="F92" i="38"/>
  <c r="H94" i="15"/>
  <c r="H92" i="38"/>
  <c r="G93" i="15"/>
  <c r="G91" i="38"/>
  <c r="S109" i="14"/>
  <c r="AF109" i="14" s="1"/>
  <c r="GM109" i="14" s="1"/>
  <c r="GN109" i="14" s="1"/>
  <c r="GO109" i="14" s="1"/>
  <c r="HT109" i="14" s="1"/>
  <c r="I95" i="15"/>
  <c r="I108" i="14"/>
  <c r="S108" i="14" s="1"/>
  <c r="AF108" i="14" s="1"/>
  <c r="Q67" i="6"/>
  <c r="J108" i="14"/>
  <c r="P66" i="6"/>
  <c r="F107" i="14"/>
  <c r="GP110" i="14"/>
  <c r="HU110" i="14" s="1"/>
  <c r="IN110" i="14" s="1"/>
  <c r="AQ112" i="14"/>
  <c r="AT112" i="14" s="1"/>
  <c r="AU112" i="14" s="1"/>
  <c r="AV112" i="14" s="1"/>
  <c r="AI110" i="14"/>
  <c r="BN110" i="14" s="1"/>
  <c r="BZ110" i="14" s="1"/>
  <c r="AK111" i="14"/>
  <c r="AN111" i="14" s="1"/>
  <c r="AY112" i="14"/>
  <c r="AN112" i="14"/>
  <c r="IY110" i="14"/>
  <c r="JA110" i="14" s="1"/>
  <c r="JC114" i="14" s="1"/>
  <c r="R111" i="14"/>
  <c r="Q110" i="14"/>
  <c r="T109" i="14"/>
  <c r="IX109" i="14" s="1"/>
  <c r="IZ109" i="14" s="1"/>
  <c r="P108" i="14"/>
  <c r="AE108" i="14" s="1"/>
  <c r="HT110" i="14"/>
  <c r="IF110" i="14" s="1"/>
  <c r="N67" i="6"/>
  <c r="H107" i="14" s="1"/>
  <c r="G106" i="14"/>
  <c r="BJ113" i="14" l="1"/>
  <c r="BK113" i="14" s="1"/>
  <c r="BL113" i="14" s="1"/>
  <c r="BM113" i="14" s="1"/>
  <c r="BR113" i="14" s="1"/>
  <c r="GR109" i="14"/>
  <c r="GS109" i="14" s="1"/>
  <c r="GU109" i="14" s="1"/>
  <c r="GP109" i="14"/>
  <c r="HU109" i="14" s="1"/>
  <c r="IN109" i="14" s="1"/>
  <c r="AL109" i="14"/>
  <c r="AM109" i="14" s="1"/>
  <c r="AO109" i="14" s="1"/>
  <c r="GQ111" i="14"/>
  <c r="GT111" i="14" s="1"/>
  <c r="IM109" i="14"/>
  <c r="IE109" i="14"/>
  <c r="IF109" i="14"/>
  <c r="AG109" i="14"/>
  <c r="AH109" i="14" s="1"/>
  <c r="AI109" i="14" s="1"/>
  <c r="BN109" i="14" s="1"/>
  <c r="H93" i="15"/>
  <c r="H91" i="38"/>
  <c r="G92" i="15"/>
  <c r="G90" i="38"/>
  <c r="AH98" i="38"/>
  <c r="AF98" i="38"/>
  <c r="I94" i="15"/>
  <c r="I92" i="38"/>
  <c r="J94" i="15"/>
  <c r="J92" i="38"/>
  <c r="F93" i="15"/>
  <c r="F91" i="38"/>
  <c r="P65" i="6"/>
  <c r="F106" i="14"/>
  <c r="Q66" i="6"/>
  <c r="J107" i="14"/>
  <c r="I107" i="14"/>
  <c r="I91" i="38" s="1"/>
  <c r="GQ110" i="14"/>
  <c r="GT110" i="14" s="1"/>
  <c r="GR108" i="14"/>
  <c r="GS108" i="14" s="1"/>
  <c r="GU108" i="14" s="1"/>
  <c r="AK110" i="14"/>
  <c r="AY110" i="14" s="1"/>
  <c r="AW112" i="14"/>
  <c r="BB112" i="14" s="1"/>
  <c r="BC112" i="14" s="1"/>
  <c r="BD112" i="14" s="1"/>
  <c r="BE112" i="14" s="1"/>
  <c r="BJ112" i="14" s="1"/>
  <c r="BK112" i="14" s="1"/>
  <c r="BL112" i="14" s="1"/>
  <c r="BM112" i="14" s="1"/>
  <c r="BR112" i="14" s="1"/>
  <c r="AQ111" i="14"/>
  <c r="AT111" i="14" s="1"/>
  <c r="AU111" i="14" s="1"/>
  <c r="AV111" i="14" s="1"/>
  <c r="AW111" i="14" s="1"/>
  <c r="AY111" i="14"/>
  <c r="BG111" i="14"/>
  <c r="JC118" i="14"/>
  <c r="JC119" i="14"/>
  <c r="JC111" i="14"/>
  <c r="IY109" i="14"/>
  <c r="JA109" i="14" s="1"/>
  <c r="JB109" i="14" s="1"/>
  <c r="JC115" i="14"/>
  <c r="JC113" i="14"/>
  <c r="JC112" i="14"/>
  <c r="JC117" i="14"/>
  <c r="JC116" i="14"/>
  <c r="JC110" i="14"/>
  <c r="JB110" i="14"/>
  <c r="JD118" i="14" s="1"/>
  <c r="GM108" i="14"/>
  <c r="GN108" i="14" s="1"/>
  <c r="GO108" i="14" s="1"/>
  <c r="AG108" i="14"/>
  <c r="AH108" i="14" s="1"/>
  <c r="AI108" i="14" s="1"/>
  <c r="BN108" i="14" s="1"/>
  <c r="AL108" i="14"/>
  <c r="AM108" i="14" s="1"/>
  <c r="AO108" i="14" s="1"/>
  <c r="R110" i="14"/>
  <c r="AW100" i="15"/>
  <c r="BI100" i="15" s="1"/>
  <c r="AU100" i="15"/>
  <c r="BH100" i="15" s="1"/>
  <c r="T108" i="14"/>
  <c r="IX108" i="14" s="1"/>
  <c r="IZ108" i="14" s="1"/>
  <c r="P107" i="14"/>
  <c r="AE107" i="14" s="1"/>
  <c r="Q109" i="14"/>
  <c r="N66" i="6"/>
  <c r="H106" i="14" s="1"/>
  <c r="G105" i="14"/>
  <c r="GQ109" i="14" l="1"/>
  <c r="GT109" i="14" s="1"/>
  <c r="BY108" i="14"/>
  <c r="BZ108" i="14"/>
  <c r="BY109" i="14"/>
  <c r="BZ109" i="14"/>
  <c r="AJ109" i="14"/>
  <c r="AH94" i="38"/>
  <c r="AF94" i="38"/>
  <c r="AW105" i="15"/>
  <c r="BI105" i="15" s="1"/>
  <c r="AF103" i="38"/>
  <c r="AH103" i="38"/>
  <c r="AF95" i="38"/>
  <c r="AH95" i="38"/>
  <c r="AW102" i="15"/>
  <c r="BI102" i="15" s="1"/>
  <c r="AF100" i="38"/>
  <c r="AH100" i="38"/>
  <c r="AU104" i="15"/>
  <c r="BH104" i="15" s="1"/>
  <c r="AF102" i="38"/>
  <c r="AH102" i="38"/>
  <c r="F92" i="15"/>
  <c r="F90" i="38"/>
  <c r="AU103" i="15"/>
  <c r="BH103" i="15" s="1"/>
  <c r="AH101" i="38"/>
  <c r="AF101" i="38"/>
  <c r="G91" i="15"/>
  <c r="G89" i="38"/>
  <c r="AU98" i="15"/>
  <c r="BH98" i="15" s="1"/>
  <c r="AF96" i="38"/>
  <c r="AH96" i="38"/>
  <c r="AG102" i="38"/>
  <c r="AI102" i="38"/>
  <c r="H92" i="15"/>
  <c r="H90" i="38"/>
  <c r="AH97" i="38"/>
  <c r="AF97" i="38"/>
  <c r="AW101" i="15"/>
  <c r="BI101" i="15" s="1"/>
  <c r="AH99" i="38"/>
  <c r="AF99" i="38"/>
  <c r="J93" i="15"/>
  <c r="J91" i="38"/>
  <c r="S107" i="14"/>
  <c r="AF107" i="14" s="1"/>
  <c r="AG107" i="14" s="1"/>
  <c r="AH107" i="14" s="1"/>
  <c r="I93" i="15"/>
  <c r="I106" i="14"/>
  <c r="S106" i="14" s="1"/>
  <c r="AF106" i="14" s="1"/>
  <c r="Q65" i="6"/>
  <c r="J106" i="14"/>
  <c r="P64" i="6"/>
  <c r="F105" i="14"/>
  <c r="AU97" i="15"/>
  <c r="BH97" i="15" s="1"/>
  <c r="AW97" i="15"/>
  <c r="BI97" i="15" s="1"/>
  <c r="AQ110" i="14"/>
  <c r="AT110" i="14" s="1"/>
  <c r="AU110" i="14" s="1"/>
  <c r="AV110" i="14" s="1"/>
  <c r="BG110" i="14"/>
  <c r="AN110" i="14"/>
  <c r="BB111" i="14"/>
  <c r="BC111" i="14" s="1"/>
  <c r="BD111" i="14" s="1"/>
  <c r="BE111" i="14" s="1"/>
  <c r="BJ111" i="14" s="1"/>
  <c r="BK111" i="14" s="1"/>
  <c r="BL111" i="14" s="1"/>
  <c r="BM111" i="14" s="1"/>
  <c r="BR111" i="14" s="1"/>
  <c r="JD111" i="14"/>
  <c r="AW104" i="15"/>
  <c r="BI104" i="15" s="1"/>
  <c r="AU99" i="15"/>
  <c r="BH99" i="15" s="1"/>
  <c r="AU105" i="15"/>
  <c r="BH105" i="15" s="1"/>
  <c r="AU101" i="15"/>
  <c r="BH101" i="15" s="1"/>
  <c r="AW98" i="15"/>
  <c r="BI98" i="15" s="1"/>
  <c r="AW99" i="15"/>
  <c r="BI99" i="15" s="1"/>
  <c r="AW103" i="15"/>
  <c r="BI103" i="15" s="1"/>
  <c r="AU102" i="15"/>
  <c r="BH102" i="15" s="1"/>
  <c r="AU96" i="15"/>
  <c r="BH96" i="15" s="1"/>
  <c r="AW96" i="15"/>
  <c r="BI96" i="15" s="1"/>
  <c r="JD119" i="14"/>
  <c r="JD115" i="14"/>
  <c r="JD117" i="14"/>
  <c r="JD112" i="14"/>
  <c r="JD110" i="14"/>
  <c r="JD116" i="14"/>
  <c r="JD113" i="14"/>
  <c r="JD114" i="14"/>
  <c r="GP108" i="14"/>
  <c r="HU108" i="14" s="1"/>
  <c r="IY108" i="14"/>
  <c r="JA108" i="14" s="1"/>
  <c r="JB108" i="14" s="1"/>
  <c r="AJ108" i="14"/>
  <c r="BO108" i="14" s="1"/>
  <c r="R109" i="14"/>
  <c r="T107" i="14"/>
  <c r="IX107" i="14" s="1"/>
  <c r="IZ107" i="14" s="1"/>
  <c r="P106" i="14"/>
  <c r="AE106" i="14" s="1"/>
  <c r="Q108" i="14"/>
  <c r="AX104" i="15"/>
  <c r="AV104" i="15"/>
  <c r="HT108" i="14"/>
  <c r="G104" i="14"/>
  <c r="N65" i="6"/>
  <c r="H105" i="14" s="1"/>
  <c r="AL107" i="14" l="1"/>
  <c r="AM107" i="14" s="1"/>
  <c r="AO107" i="14" s="1"/>
  <c r="IE108" i="14"/>
  <c r="IF108" i="14"/>
  <c r="CG108" i="14"/>
  <c r="CH108" i="14"/>
  <c r="IM108" i="14"/>
  <c r="IN108" i="14"/>
  <c r="BO109" i="14"/>
  <c r="AK109" i="14"/>
  <c r="I92" i="15"/>
  <c r="I90" i="38"/>
  <c r="G90" i="15"/>
  <c r="G88" i="38"/>
  <c r="AI94" i="38"/>
  <c r="AG94" i="38"/>
  <c r="AV97" i="15"/>
  <c r="AG95" i="38"/>
  <c r="AI95" i="38"/>
  <c r="AI101" i="38"/>
  <c r="AG101" i="38"/>
  <c r="F91" i="15"/>
  <c r="F89" i="38"/>
  <c r="AX98" i="15"/>
  <c r="AG96" i="38"/>
  <c r="AI96" i="38"/>
  <c r="AX101" i="15"/>
  <c r="AG99" i="38"/>
  <c r="AI99" i="38"/>
  <c r="AV99" i="15"/>
  <c r="AG97" i="38"/>
  <c r="AI97" i="38"/>
  <c r="AX102" i="15"/>
  <c r="AG100" i="38"/>
  <c r="AI100" i="38"/>
  <c r="AX105" i="15"/>
  <c r="AG103" i="38"/>
  <c r="AI103" i="38"/>
  <c r="H91" i="15"/>
  <c r="H89" i="38"/>
  <c r="AX100" i="15"/>
  <c r="AG98" i="38"/>
  <c r="AI98" i="38"/>
  <c r="J92" i="15"/>
  <c r="J90" i="38"/>
  <c r="AJ107" i="14"/>
  <c r="BO107" i="14" s="1"/>
  <c r="AI107" i="14"/>
  <c r="BN107" i="14" s="1"/>
  <c r="GM107" i="14"/>
  <c r="GN107" i="14" s="1"/>
  <c r="GR107" i="14"/>
  <c r="GS107" i="14" s="1"/>
  <c r="GU107" i="14" s="1"/>
  <c r="P63" i="6"/>
  <c r="F104" i="14"/>
  <c r="Q64" i="6"/>
  <c r="J105" i="14"/>
  <c r="I105" i="14"/>
  <c r="AW110" i="14"/>
  <c r="BB110" i="14" s="1"/>
  <c r="BC110" i="14" s="1"/>
  <c r="BD110" i="14" s="1"/>
  <c r="BE110" i="14" s="1"/>
  <c r="BJ110" i="14" s="1"/>
  <c r="BK110" i="14" s="1"/>
  <c r="BL110" i="14" s="1"/>
  <c r="BM110" i="14" s="1"/>
  <c r="BR110" i="14" s="1"/>
  <c r="AX97" i="15"/>
  <c r="AV98" i="15"/>
  <c r="AV96" i="15"/>
  <c r="AV105" i="15"/>
  <c r="AX103" i="15"/>
  <c r="AV103" i="15"/>
  <c r="AV101" i="15"/>
  <c r="IY107" i="14"/>
  <c r="JA107" i="14" s="1"/>
  <c r="JB107" i="14" s="1"/>
  <c r="AV102" i="15"/>
  <c r="GQ108" i="14"/>
  <c r="GT108" i="14" s="1"/>
  <c r="AX99" i="15"/>
  <c r="AX96" i="15"/>
  <c r="AV100" i="15"/>
  <c r="AK108" i="14"/>
  <c r="AN108" i="14" s="1"/>
  <c r="AG106" i="14"/>
  <c r="AH106" i="14" s="1"/>
  <c r="AJ106" i="14" s="1"/>
  <c r="BO106" i="14" s="1"/>
  <c r="GR106" i="14"/>
  <c r="GS106" i="14" s="1"/>
  <c r="GU106" i="14" s="1"/>
  <c r="GM106" i="14"/>
  <c r="GN106" i="14" s="1"/>
  <c r="GO106" i="14" s="1"/>
  <c r="P105" i="14"/>
  <c r="AE105" i="14" s="1"/>
  <c r="T106" i="14"/>
  <c r="IX106" i="14" s="1"/>
  <c r="IZ106" i="14" s="1"/>
  <c r="AL106" i="14"/>
  <c r="AM106" i="14" s="1"/>
  <c r="AO106" i="14" s="1"/>
  <c r="R108" i="14"/>
  <c r="Q107" i="14"/>
  <c r="N64" i="6"/>
  <c r="H104" i="14" s="1"/>
  <c r="G103" i="14"/>
  <c r="CG106" i="14" l="1"/>
  <c r="CH106" i="14"/>
  <c r="BY107" i="14"/>
  <c r="BZ107" i="14"/>
  <c r="CG107" i="14"/>
  <c r="CH107" i="14"/>
  <c r="CG109" i="14"/>
  <c r="CH109" i="14"/>
  <c r="AQ109" i="14"/>
  <c r="AT109" i="14" s="1"/>
  <c r="AU109" i="14" s="1"/>
  <c r="AV109" i="14" s="1"/>
  <c r="BG109" i="14"/>
  <c r="AY109" i="14"/>
  <c r="AN109" i="14"/>
  <c r="AK107" i="14"/>
  <c r="AN107" i="14" s="1"/>
  <c r="I91" i="15"/>
  <c r="I89" i="38"/>
  <c r="J91" i="15"/>
  <c r="J89" i="38"/>
  <c r="G89" i="15"/>
  <c r="G87" i="38"/>
  <c r="H90" i="15"/>
  <c r="H88" i="38"/>
  <c r="F90" i="15"/>
  <c r="F88" i="38"/>
  <c r="S105" i="14"/>
  <c r="AF105" i="14" s="1"/>
  <c r="AG105" i="14" s="1"/>
  <c r="AH105" i="14" s="1"/>
  <c r="AI105" i="14" s="1"/>
  <c r="BN105" i="14" s="1"/>
  <c r="GP107" i="14"/>
  <c r="HU107" i="14" s="1"/>
  <c r="GO107" i="14"/>
  <c r="I104" i="14"/>
  <c r="S104" i="14" s="1"/>
  <c r="AF104" i="14" s="1"/>
  <c r="Q63" i="6"/>
  <c r="J104" i="14"/>
  <c r="P62" i="6"/>
  <c r="F103" i="14"/>
  <c r="P103" i="14" s="1"/>
  <c r="AE103" i="14" s="1"/>
  <c r="BG108" i="14"/>
  <c r="AY108" i="14"/>
  <c r="AQ108" i="14"/>
  <c r="AT108" i="14" s="1"/>
  <c r="AU108" i="14" s="1"/>
  <c r="AV108" i="14" s="1"/>
  <c r="AW108" i="14" s="1"/>
  <c r="AI106" i="14"/>
  <c r="BN106" i="14" s="1"/>
  <c r="IY106" i="14"/>
  <c r="JA106" i="14" s="1"/>
  <c r="JB106" i="14" s="1"/>
  <c r="P104" i="14"/>
  <c r="AE104" i="14" s="1"/>
  <c r="Q106" i="14"/>
  <c r="T105" i="14"/>
  <c r="IX105" i="14" s="1"/>
  <c r="GP106" i="14"/>
  <c r="HU106" i="14" s="1"/>
  <c r="R107" i="14"/>
  <c r="HT106" i="14"/>
  <c r="G102" i="14"/>
  <c r="N63" i="6"/>
  <c r="H103" i="14" s="1"/>
  <c r="AQ107" i="14" l="1"/>
  <c r="AT107" i="14" s="1"/>
  <c r="AU107" i="14" s="1"/>
  <c r="AV107" i="14" s="1"/>
  <c r="AW107" i="14" s="1"/>
  <c r="AY107" i="14"/>
  <c r="BG107" i="14"/>
  <c r="AW109" i="14"/>
  <c r="BB109" i="14" s="1"/>
  <c r="BC109" i="14" s="1"/>
  <c r="BD109" i="14" s="1"/>
  <c r="BE109" i="14" s="1"/>
  <c r="BJ109" i="14" s="1"/>
  <c r="BK109" i="14" s="1"/>
  <c r="BL109" i="14" s="1"/>
  <c r="BM109" i="14" s="1"/>
  <c r="BR109" i="14" s="1"/>
  <c r="IM107" i="14"/>
  <c r="IN107" i="14"/>
  <c r="BY105" i="14"/>
  <c r="BZ105" i="14"/>
  <c r="IE106" i="14"/>
  <c r="IF106" i="14"/>
  <c r="IM106" i="14"/>
  <c r="IN106" i="14"/>
  <c r="BY106" i="14"/>
  <c r="BZ106" i="14"/>
  <c r="AL105" i="14"/>
  <c r="AM105" i="14" s="1"/>
  <c r="AO105" i="14" s="1"/>
  <c r="GM105" i="14"/>
  <c r="GN105" i="14" s="1"/>
  <c r="GP105" i="14" s="1"/>
  <c r="HU105" i="14" s="1"/>
  <c r="GR105" i="14"/>
  <c r="GS105" i="14" s="1"/>
  <c r="GU105" i="14" s="1"/>
  <c r="I90" i="15"/>
  <c r="I88" i="38"/>
  <c r="F89" i="15"/>
  <c r="F87" i="38"/>
  <c r="H89" i="15"/>
  <c r="H87" i="38"/>
  <c r="G88" i="15"/>
  <c r="G86" i="38"/>
  <c r="J90" i="15"/>
  <c r="J88" i="38"/>
  <c r="HT107" i="14"/>
  <c r="GQ107" i="14"/>
  <c r="GT107" i="14" s="1"/>
  <c r="P61" i="6"/>
  <c r="F102" i="14"/>
  <c r="Q62" i="6"/>
  <c r="J103" i="14"/>
  <c r="I103" i="14"/>
  <c r="GM104" i="14"/>
  <c r="GN104" i="14" s="1"/>
  <c r="GP104" i="14" s="1"/>
  <c r="HU104" i="14" s="1"/>
  <c r="AG104" i="14"/>
  <c r="AH104" i="14" s="1"/>
  <c r="AI104" i="14" s="1"/>
  <c r="BN104" i="14" s="1"/>
  <c r="GR104" i="14"/>
  <c r="GS104" i="14" s="1"/>
  <c r="GU104" i="14" s="1"/>
  <c r="AK106" i="14"/>
  <c r="AN106" i="14" s="1"/>
  <c r="BB108" i="14"/>
  <c r="BC108" i="14" s="1"/>
  <c r="BD108" i="14" s="1"/>
  <c r="BE108" i="14" s="1"/>
  <c r="BJ108" i="14" s="1"/>
  <c r="BK108" i="14" s="1"/>
  <c r="BL108" i="14" s="1"/>
  <c r="BM108" i="14" s="1"/>
  <c r="AL104" i="14"/>
  <c r="AM104" i="14" s="1"/>
  <c r="AO104" i="14" s="1"/>
  <c r="GQ106" i="14"/>
  <c r="GT106" i="14" s="1"/>
  <c r="IZ105" i="14"/>
  <c r="IY105" i="14"/>
  <c r="AJ105" i="14"/>
  <c r="BO105" i="14" s="1"/>
  <c r="T104" i="14"/>
  <c r="IX104" i="14" s="1"/>
  <c r="IZ104" i="14" s="1"/>
  <c r="R106" i="14"/>
  <c r="Q105" i="14"/>
  <c r="G101" i="14"/>
  <c r="N62" i="6"/>
  <c r="H102" i="14" s="1"/>
  <c r="BQ109" i="14" l="1"/>
  <c r="BB107" i="14"/>
  <c r="BC107" i="14" s="1"/>
  <c r="BD107" i="14" s="1"/>
  <c r="BE107" i="14" s="1"/>
  <c r="BJ107" i="14" s="1"/>
  <c r="BK107" i="14" s="1"/>
  <c r="BL107" i="14" s="1"/>
  <c r="BM107" i="14" s="1"/>
  <c r="BQ107" i="14" s="1"/>
  <c r="GO105" i="14"/>
  <c r="HT105" i="14" s="1"/>
  <c r="IM104" i="14"/>
  <c r="IN104" i="14"/>
  <c r="BR107" i="14"/>
  <c r="IE105" i="14"/>
  <c r="IF105" i="14"/>
  <c r="BQ108" i="14"/>
  <c r="BR108" i="14"/>
  <c r="IM105" i="14"/>
  <c r="IN105" i="14"/>
  <c r="IE107" i="14"/>
  <c r="IF107" i="14"/>
  <c r="CG105" i="14"/>
  <c r="CH105" i="14"/>
  <c r="BY104" i="14"/>
  <c r="BZ104" i="14"/>
  <c r="F88" i="15"/>
  <c r="F86" i="38"/>
  <c r="J89" i="15"/>
  <c r="J87" i="38"/>
  <c r="H88" i="15"/>
  <c r="H86" i="38"/>
  <c r="G87" i="15"/>
  <c r="G85" i="38"/>
  <c r="I89" i="15"/>
  <c r="I87" i="38"/>
  <c r="P102" i="14"/>
  <c r="AE102" i="14" s="1"/>
  <c r="S103" i="14"/>
  <c r="AF103" i="14" s="1"/>
  <c r="GM103" i="14" s="1"/>
  <c r="GN103" i="14" s="1"/>
  <c r="GO103" i="14" s="1"/>
  <c r="HT103" i="14" s="1"/>
  <c r="I102" i="14"/>
  <c r="I86" i="38" s="1"/>
  <c r="Q61" i="6"/>
  <c r="J102" i="14"/>
  <c r="P60" i="6"/>
  <c r="F101" i="14"/>
  <c r="GO104" i="14"/>
  <c r="HT104" i="14" s="1"/>
  <c r="AJ104" i="14"/>
  <c r="BO104" i="14" s="1"/>
  <c r="T103" i="14"/>
  <c r="IX103" i="14" s="1"/>
  <c r="IZ103" i="14" s="1"/>
  <c r="BG106" i="14"/>
  <c r="AQ106" i="14"/>
  <c r="AT106" i="14" s="1"/>
  <c r="AU106" i="14" s="1"/>
  <c r="AV106" i="14" s="1"/>
  <c r="AW106" i="14" s="1"/>
  <c r="AY106" i="14"/>
  <c r="IY104" i="14"/>
  <c r="JA104" i="14" s="1"/>
  <c r="JB104" i="14" s="1"/>
  <c r="JA105" i="14"/>
  <c r="JB105" i="14" s="1"/>
  <c r="Q104" i="14"/>
  <c r="R105" i="14"/>
  <c r="AK105" i="14"/>
  <c r="AY105" i="14" s="1"/>
  <c r="G100" i="14"/>
  <c r="N61" i="6"/>
  <c r="H101" i="14" s="1"/>
  <c r="GQ105" i="14" l="1"/>
  <c r="GT105" i="14" s="1"/>
  <c r="CG104" i="14"/>
  <c r="CH104" i="14"/>
  <c r="IE104" i="14"/>
  <c r="IF104" i="14"/>
  <c r="IE103" i="14"/>
  <c r="IF103" i="14"/>
  <c r="AL103" i="14"/>
  <c r="AM103" i="14" s="1"/>
  <c r="AO103" i="14" s="1"/>
  <c r="AG103" i="14"/>
  <c r="AH103" i="14" s="1"/>
  <c r="AI103" i="14" s="1"/>
  <c r="BN103" i="14" s="1"/>
  <c r="GR103" i="14"/>
  <c r="GS103" i="14" s="1"/>
  <c r="GU103" i="14" s="1"/>
  <c r="J88" i="15"/>
  <c r="J86" i="38"/>
  <c r="H87" i="15"/>
  <c r="H85" i="38"/>
  <c r="G86" i="15"/>
  <c r="G84" i="38"/>
  <c r="F87" i="15"/>
  <c r="F85" i="38"/>
  <c r="S102" i="14"/>
  <c r="AF102" i="14" s="1"/>
  <c r="I88" i="15"/>
  <c r="P59" i="6"/>
  <c r="F100" i="14"/>
  <c r="Q60" i="6"/>
  <c r="J101" i="14"/>
  <c r="I101" i="14"/>
  <c r="R104" i="14"/>
  <c r="IY103" i="14"/>
  <c r="JA103" i="14" s="1"/>
  <c r="JB103" i="14" s="1"/>
  <c r="AK104" i="14"/>
  <c r="AN104" i="14" s="1"/>
  <c r="GQ104" i="14"/>
  <c r="GT104" i="14" s="1"/>
  <c r="BB106" i="14"/>
  <c r="BC106" i="14" s="1"/>
  <c r="BD106" i="14" s="1"/>
  <c r="BE106" i="14" s="1"/>
  <c r="BJ106" i="14" s="1"/>
  <c r="BK106" i="14" s="1"/>
  <c r="BL106" i="14" s="1"/>
  <c r="BM106" i="14" s="1"/>
  <c r="AQ105" i="14"/>
  <c r="AT105" i="14" s="1"/>
  <c r="AU105" i="14" s="1"/>
  <c r="AV105" i="14" s="1"/>
  <c r="GP103" i="14"/>
  <c r="HU103" i="14" s="1"/>
  <c r="BG105" i="14"/>
  <c r="AN105" i="14"/>
  <c r="P101" i="14"/>
  <c r="AE101" i="14" s="1"/>
  <c r="T102" i="14"/>
  <c r="IX102" i="14" s="1"/>
  <c r="IZ102" i="14" s="1"/>
  <c r="Q103" i="14"/>
  <c r="N60" i="6"/>
  <c r="H100" i="14" s="1"/>
  <c r="G99" i="14"/>
  <c r="BQ106" i="14" l="1"/>
  <c r="BR106" i="14"/>
  <c r="IM103" i="14"/>
  <c r="IN103" i="14"/>
  <c r="BY103" i="14"/>
  <c r="BZ103" i="14"/>
  <c r="AJ103" i="14"/>
  <c r="BO103" i="14" s="1"/>
  <c r="G85" i="15"/>
  <c r="G83" i="38"/>
  <c r="I87" i="15"/>
  <c r="I85" i="38"/>
  <c r="H86" i="15"/>
  <c r="H84" i="38"/>
  <c r="F86" i="15"/>
  <c r="F84" i="38"/>
  <c r="J87" i="15"/>
  <c r="J85" i="38"/>
  <c r="S101" i="14"/>
  <c r="AF101" i="14" s="1"/>
  <c r="GR101" i="14" s="1"/>
  <c r="GS101" i="14" s="1"/>
  <c r="GU101" i="14" s="1"/>
  <c r="AG102" i="14"/>
  <c r="AH102" i="14" s="1"/>
  <c r="AL102" i="14"/>
  <c r="AM102" i="14" s="1"/>
  <c r="AO102" i="14" s="1"/>
  <c r="GM102" i="14"/>
  <c r="GN102" i="14" s="1"/>
  <c r="GR102" i="14"/>
  <c r="GS102" i="14" s="1"/>
  <c r="GU102" i="14" s="1"/>
  <c r="Q59" i="6"/>
  <c r="J100" i="14"/>
  <c r="I100" i="14"/>
  <c r="P58" i="6"/>
  <c r="F99" i="14"/>
  <c r="AY104" i="14"/>
  <c r="BG104" i="14"/>
  <c r="AQ104" i="14"/>
  <c r="AT104" i="14" s="1"/>
  <c r="AU104" i="14" s="1"/>
  <c r="AV104" i="14" s="1"/>
  <c r="AW104" i="14" s="1"/>
  <c r="AW105" i="14"/>
  <c r="BB105" i="14" s="1"/>
  <c r="BC105" i="14" s="1"/>
  <c r="BD105" i="14" s="1"/>
  <c r="BE105" i="14" s="1"/>
  <c r="BJ105" i="14" s="1"/>
  <c r="BK105" i="14" s="1"/>
  <c r="BL105" i="14" s="1"/>
  <c r="BM105" i="14" s="1"/>
  <c r="GQ103" i="14"/>
  <c r="GT103" i="14" s="1"/>
  <c r="IY102" i="14"/>
  <c r="JA102" i="14" s="1"/>
  <c r="JB102" i="14" s="1"/>
  <c r="Q102" i="14"/>
  <c r="R103" i="14"/>
  <c r="P100" i="14"/>
  <c r="AE100" i="14" s="1"/>
  <c r="S100" i="14"/>
  <c r="AF100" i="14" s="1"/>
  <c r="AL101" i="14"/>
  <c r="AM101" i="14" s="1"/>
  <c r="AO101" i="14" s="1"/>
  <c r="T101" i="14"/>
  <c r="IX101" i="14" s="1"/>
  <c r="G98" i="14"/>
  <c r="N59" i="6"/>
  <c r="H99" i="14" s="1"/>
  <c r="BQ105" i="14" l="1"/>
  <c r="BR105" i="14"/>
  <c r="CG103" i="14"/>
  <c r="CH103" i="14"/>
  <c r="AK103" i="14"/>
  <c r="AN103" i="14" s="1"/>
  <c r="AG101" i="14"/>
  <c r="AH101" i="14" s="1"/>
  <c r="AJ101" i="14" s="1"/>
  <c r="BO101" i="14" s="1"/>
  <c r="GM101" i="14"/>
  <c r="GN101" i="14" s="1"/>
  <c r="GO101" i="14" s="1"/>
  <c r="HT101" i="14" s="1"/>
  <c r="H85" i="15"/>
  <c r="H83" i="38"/>
  <c r="G84" i="15"/>
  <c r="G82" i="38"/>
  <c r="I86" i="15"/>
  <c r="I84" i="38"/>
  <c r="F85" i="15"/>
  <c r="F83" i="38"/>
  <c r="J86" i="15"/>
  <c r="J84" i="38"/>
  <c r="GP102" i="14"/>
  <c r="HU102" i="14" s="1"/>
  <c r="GO102" i="14"/>
  <c r="AI102" i="14"/>
  <c r="AJ102" i="14"/>
  <c r="BO102" i="14" s="1"/>
  <c r="P57" i="6"/>
  <c r="F98" i="14"/>
  <c r="I99" i="14"/>
  <c r="BB104" i="14"/>
  <c r="BC104" i="14" s="1"/>
  <c r="BD104" i="14" s="1"/>
  <c r="BE104" i="14" s="1"/>
  <c r="BJ104" i="14" s="1"/>
  <c r="BK104" i="14" s="1"/>
  <c r="BL104" i="14" s="1"/>
  <c r="BM104" i="14" s="1"/>
  <c r="Q58" i="6"/>
  <c r="J99" i="14"/>
  <c r="R102" i="14"/>
  <c r="AG100" i="14"/>
  <c r="AH100" i="14" s="1"/>
  <c r="AJ100" i="14" s="1"/>
  <c r="BO100" i="14" s="1"/>
  <c r="AL100" i="14"/>
  <c r="AM100" i="14" s="1"/>
  <c r="AO100" i="14" s="1"/>
  <c r="GR100" i="14"/>
  <c r="GS100" i="14" s="1"/>
  <c r="GU100" i="14" s="1"/>
  <c r="Q101" i="14"/>
  <c r="P99" i="14"/>
  <c r="AE99" i="14" s="1"/>
  <c r="GM100" i="14"/>
  <c r="GN100" i="14" s="1"/>
  <c r="GO100" i="14" s="1"/>
  <c r="T100" i="14"/>
  <c r="IX100" i="14" s="1"/>
  <c r="IZ100" i="14" s="1"/>
  <c r="IZ101" i="14"/>
  <c r="IY101" i="14"/>
  <c r="N58" i="6"/>
  <c r="H98" i="14" s="1"/>
  <c r="G97" i="14"/>
  <c r="AI101" i="14" l="1"/>
  <c r="BN101" i="14" s="1"/>
  <c r="GP101" i="14"/>
  <c r="HU101" i="14" s="1"/>
  <c r="BG103" i="14"/>
  <c r="IM102" i="14"/>
  <c r="IN102" i="14"/>
  <c r="BQ104" i="14"/>
  <c r="BR104" i="14"/>
  <c r="BY101" i="14"/>
  <c r="BZ101" i="14"/>
  <c r="IM101" i="14"/>
  <c r="IN101" i="14"/>
  <c r="CG102" i="14"/>
  <c r="CH102" i="14"/>
  <c r="IE101" i="14"/>
  <c r="IF101" i="14"/>
  <c r="CG100" i="14"/>
  <c r="CH100" i="14"/>
  <c r="CG101" i="14"/>
  <c r="CH101" i="14"/>
  <c r="AY103" i="14"/>
  <c r="AQ103" i="14"/>
  <c r="AT103" i="14" s="1"/>
  <c r="AU103" i="14" s="1"/>
  <c r="AV103" i="14" s="1"/>
  <c r="AW103" i="14" s="1"/>
  <c r="BB103" i="14" s="1"/>
  <c r="BC103" i="14" s="1"/>
  <c r="BD103" i="14" s="1"/>
  <c r="BE103" i="14" s="1"/>
  <c r="BJ103" i="14" s="1"/>
  <c r="BK103" i="14" s="1"/>
  <c r="BL103" i="14" s="1"/>
  <c r="BM103" i="14" s="1"/>
  <c r="F84" i="15"/>
  <c r="F82" i="38"/>
  <c r="G83" i="15"/>
  <c r="G81" i="38"/>
  <c r="J85" i="15"/>
  <c r="J83" i="38"/>
  <c r="H84" i="15"/>
  <c r="H82" i="38"/>
  <c r="I85" i="15"/>
  <c r="I83" i="38"/>
  <c r="BN102" i="14"/>
  <c r="AK102" i="14"/>
  <c r="S99" i="14"/>
  <c r="AF99" i="14" s="1"/>
  <c r="AG99" i="14" s="1"/>
  <c r="AH99" i="14" s="1"/>
  <c r="AJ99" i="14" s="1"/>
  <c r="BO99" i="14" s="1"/>
  <c r="CG99" i="14" s="1"/>
  <c r="GQ102" i="14"/>
  <c r="GT102" i="14" s="1"/>
  <c r="HT102" i="14"/>
  <c r="Q57" i="6"/>
  <c r="J98" i="14"/>
  <c r="I98" i="14"/>
  <c r="I82" i="38" s="1"/>
  <c r="P56" i="6"/>
  <c r="F97" i="14"/>
  <c r="AK101" i="14"/>
  <c r="AQ101" i="14" s="1"/>
  <c r="AT101" i="14" s="1"/>
  <c r="AU101" i="14" s="1"/>
  <c r="AV101" i="14" s="1"/>
  <c r="AI100" i="14"/>
  <c r="BN100" i="14" s="1"/>
  <c r="GQ101" i="14"/>
  <c r="GT101" i="14" s="1"/>
  <c r="JA101" i="14"/>
  <c r="JB101" i="14" s="1"/>
  <c r="Q100" i="14"/>
  <c r="GP100" i="14"/>
  <c r="HU100" i="14" s="1"/>
  <c r="P98" i="14"/>
  <c r="AE98" i="14" s="1"/>
  <c r="IY100" i="14"/>
  <c r="JA100" i="14" s="1"/>
  <c r="JB100" i="14" s="1"/>
  <c r="R101" i="14"/>
  <c r="T99" i="14"/>
  <c r="IX99" i="14" s="1"/>
  <c r="IZ99" i="14" s="1"/>
  <c r="HT100" i="14"/>
  <c r="G96" i="14"/>
  <c r="N57" i="6"/>
  <c r="H97" i="14" s="1"/>
  <c r="CL83" i="14" l="1"/>
  <c r="CL87" i="14"/>
  <c r="CL88" i="14"/>
  <c r="CL81" i="14"/>
  <c r="CL89" i="14"/>
  <c r="CL84" i="14"/>
  <c r="CL82" i="14"/>
  <c r="CL85" i="14"/>
  <c r="CL86" i="14"/>
  <c r="CL80" i="14"/>
  <c r="CL91" i="14"/>
  <c r="CL95" i="14"/>
  <c r="CL96" i="14"/>
  <c r="CL92" i="14"/>
  <c r="CL99" i="14"/>
  <c r="CL94" i="14"/>
  <c r="CL97" i="14"/>
  <c r="CL98" i="14"/>
  <c r="CL90" i="14"/>
  <c r="CL93" i="14"/>
  <c r="CL147" i="14"/>
  <c r="CL148" i="14"/>
  <c r="CL149" i="14"/>
  <c r="CL146" i="14"/>
  <c r="CL143" i="14"/>
  <c r="CL142" i="14"/>
  <c r="CL141" i="14"/>
  <c r="CL144" i="14"/>
  <c r="CL145" i="14"/>
  <c r="CL140" i="14"/>
  <c r="CL138" i="14"/>
  <c r="CL135" i="14"/>
  <c r="CL137" i="14"/>
  <c r="CL139" i="14"/>
  <c r="CL136" i="14"/>
  <c r="CL133" i="14"/>
  <c r="CL121" i="14"/>
  <c r="CL123" i="14"/>
  <c r="CL124" i="14"/>
  <c r="CL128" i="14"/>
  <c r="CL122" i="14"/>
  <c r="CL120" i="14"/>
  <c r="CL132" i="14"/>
  <c r="CL129" i="14"/>
  <c r="CL127" i="14"/>
  <c r="CL130" i="14"/>
  <c r="CL125" i="14"/>
  <c r="CL131" i="14"/>
  <c r="CL134" i="14"/>
  <c r="CL126" i="14"/>
  <c r="CL102" i="14"/>
  <c r="CL101" i="14"/>
  <c r="IM100" i="14"/>
  <c r="IN100" i="14"/>
  <c r="BY102" i="14"/>
  <c r="BZ102" i="14"/>
  <c r="BQ103" i="14"/>
  <c r="BR103" i="14"/>
  <c r="IE100" i="14"/>
  <c r="IF100" i="14"/>
  <c r="IE102" i="14"/>
  <c r="IF102" i="14"/>
  <c r="BY100" i="14"/>
  <c r="BZ100" i="14"/>
  <c r="CL114" i="14"/>
  <c r="CL119" i="14"/>
  <c r="CL100" i="14"/>
  <c r="CL115" i="14"/>
  <c r="CL118" i="14"/>
  <c r="CL113" i="14"/>
  <c r="CL116" i="14"/>
  <c r="CL117" i="14"/>
  <c r="CL111" i="14"/>
  <c r="CL112" i="14"/>
  <c r="CL110" i="14"/>
  <c r="CL108" i="14"/>
  <c r="CL106" i="14"/>
  <c r="CL109" i="14"/>
  <c r="CL107" i="14"/>
  <c r="CL105" i="14"/>
  <c r="CL104" i="14"/>
  <c r="CL103" i="14"/>
  <c r="H83" i="15"/>
  <c r="H81" i="38"/>
  <c r="F83" i="15"/>
  <c r="F81" i="38"/>
  <c r="G82" i="15"/>
  <c r="G80" i="38"/>
  <c r="J84" i="15"/>
  <c r="J82" i="38"/>
  <c r="AL99" i="14"/>
  <c r="AM99" i="14" s="1"/>
  <c r="AO99" i="14" s="1"/>
  <c r="GM99" i="14"/>
  <c r="GN99" i="14" s="1"/>
  <c r="GP99" i="14" s="1"/>
  <c r="HU99" i="14" s="1"/>
  <c r="IM99" i="14" s="1"/>
  <c r="GR99" i="14"/>
  <c r="GS99" i="14" s="1"/>
  <c r="GU99" i="14" s="1"/>
  <c r="AN102" i="14"/>
  <c r="AQ102" i="14"/>
  <c r="AT102" i="14" s="1"/>
  <c r="AU102" i="14" s="1"/>
  <c r="AV102" i="14" s="1"/>
  <c r="AY102" i="14"/>
  <c r="BG102" i="14"/>
  <c r="S98" i="14"/>
  <c r="AF98" i="14" s="1"/>
  <c r="I84" i="15"/>
  <c r="P55" i="6"/>
  <c r="F96" i="14"/>
  <c r="I97" i="14"/>
  <c r="Q56" i="6"/>
  <c r="J97" i="14"/>
  <c r="AY101" i="14"/>
  <c r="BG101" i="14"/>
  <c r="AN101" i="14"/>
  <c r="AW101" i="14" s="1"/>
  <c r="AK100" i="14"/>
  <c r="AN100" i="14" s="1"/>
  <c r="AI99" i="14"/>
  <c r="BN99" i="14" s="1"/>
  <c r="BY99" i="14" s="1"/>
  <c r="JC102" i="14"/>
  <c r="GQ100" i="14"/>
  <c r="GT100" i="14" s="1"/>
  <c r="JC106" i="14"/>
  <c r="JC107" i="14"/>
  <c r="JC100" i="14"/>
  <c r="T98" i="14"/>
  <c r="IX98" i="14" s="1"/>
  <c r="IZ98" i="14" s="1"/>
  <c r="JC103" i="14"/>
  <c r="IY99" i="14"/>
  <c r="JA99" i="14" s="1"/>
  <c r="JB99" i="14" s="1"/>
  <c r="JC101" i="14"/>
  <c r="JC104" i="14"/>
  <c r="R100" i="14"/>
  <c r="Q99" i="14"/>
  <c r="JC105" i="14"/>
  <c r="JC108" i="14"/>
  <c r="P97" i="14"/>
  <c r="AE97" i="14" s="1"/>
  <c r="JC109" i="14"/>
  <c r="JD108" i="14"/>
  <c r="JD104" i="14"/>
  <c r="JD100" i="14"/>
  <c r="JD109" i="14"/>
  <c r="JD107" i="14"/>
  <c r="JD103" i="14"/>
  <c r="JD105" i="14"/>
  <c r="JD106" i="14"/>
  <c r="JD102" i="14"/>
  <c r="JD101" i="14"/>
  <c r="G95" i="14"/>
  <c r="N56" i="6"/>
  <c r="H96" i="14" s="1"/>
  <c r="IJ102" i="14" l="1"/>
  <c r="IR80" i="14"/>
  <c r="IR84" i="14"/>
  <c r="IR83" i="14"/>
  <c r="IR81" i="14"/>
  <c r="IR89" i="14"/>
  <c r="IR87" i="14"/>
  <c r="IR85" i="14"/>
  <c r="IR82" i="14"/>
  <c r="IR86" i="14"/>
  <c r="IR88" i="14"/>
  <c r="IJ89" i="14"/>
  <c r="IJ85" i="14"/>
  <c r="IJ87" i="14"/>
  <c r="IJ88" i="14"/>
  <c r="IJ81" i="14"/>
  <c r="IJ83" i="14"/>
  <c r="IJ80" i="14"/>
  <c r="IJ82" i="14"/>
  <c r="IJ86" i="14"/>
  <c r="IJ84" i="14"/>
  <c r="CD88" i="14"/>
  <c r="CD81" i="14"/>
  <c r="CD85" i="14"/>
  <c r="CD89" i="14"/>
  <c r="CD86" i="14"/>
  <c r="CD83" i="14"/>
  <c r="CD82" i="14"/>
  <c r="CD87" i="14"/>
  <c r="CD84" i="14"/>
  <c r="CD80" i="14"/>
  <c r="IR101" i="14"/>
  <c r="CD91" i="14"/>
  <c r="CD98" i="14"/>
  <c r="CD94" i="14"/>
  <c r="CD95" i="14"/>
  <c r="CD90" i="14"/>
  <c r="CD96" i="14"/>
  <c r="CD92" i="14"/>
  <c r="CD99" i="14"/>
  <c r="CD93" i="14"/>
  <c r="CD97" i="14"/>
  <c r="IR96" i="14"/>
  <c r="IR93" i="14"/>
  <c r="IR91" i="14"/>
  <c r="IR90" i="14"/>
  <c r="IR97" i="14"/>
  <c r="IR98" i="14"/>
  <c r="IR92" i="14"/>
  <c r="IR99" i="14"/>
  <c r="IR94" i="14"/>
  <c r="IR95" i="14"/>
  <c r="IJ93" i="14"/>
  <c r="IJ96" i="14"/>
  <c r="IJ97" i="14"/>
  <c r="IJ91" i="14"/>
  <c r="IJ92" i="14"/>
  <c r="IJ98" i="14"/>
  <c r="IJ95" i="14"/>
  <c r="IJ94" i="14"/>
  <c r="IJ99" i="14"/>
  <c r="IJ90" i="14"/>
  <c r="CD149" i="14"/>
  <c r="CD148" i="14"/>
  <c r="CD147" i="14"/>
  <c r="CD145" i="14"/>
  <c r="CD146" i="14"/>
  <c r="CD144" i="14"/>
  <c r="CD142" i="14"/>
  <c r="CD140" i="14"/>
  <c r="CD143" i="14"/>
  <c r="CD141" i="14"/>
  <c r="CD137" i="14"/>
  <c r="CD136" i="14"/>
  <c r="CD135" i="14"/>
  <c r="CD138" i="14"/>
  <c r="CD139" i="14"/>
  <c r="IR147" i="14"/>
  <c r="IR149" i="14"/>
  <c r="IR148" i="14"/>
  <c r="IR142" i="14"/>
  <c r="IR143" i="14"/>
  <c r="IR141" i="14"/>
  <c r="IR144" i="14"/>
  <c r="IR140" i="14"/>
  <c r="IR145" i="14"/>
  <c r="IR146" i="14"/>
  <c r="IR139" i="14"/>
  <c r="IR135" i="14"/>
  <c r="IR136" i="14"/>
  <c r="IR138" i="14"/>
  <c r="IR137" i="14"/>
  <c r="IJ149" i="14"/>
  <c r="IJ147" i="14"/>
  <c r="IJ148" i="14"/>
  <c r="IJ140" i="14"/>
  <c r="IJ146" i="14"/>
  <c r="IJ145" i="14"/>
  <c r="IJ144" i="14"/>
  <c r="IJ142" i="14"/>
  <c r="IJ141" i="14"/>
  <c r="IJ143" i="14"/>
  <c r="IJ139" i="14"/>
  <c r="IJ138" i="14"/>
  <c r="IJ137" i="14"/>
  <c r="IJ135" i="14"/>
  <c r="IJ136" i="14"/>
  <c r="CD129" i="14"/>
  <c r="CD124" i="14"/>
  <c r="CD120" i="14"/>
  <c r="CD127" i="14"/>
  <c r="CD121" i="14"/>
  <c r="CD132" i="14"/>
  <c r="CD134" i="14"/>
  <c r="CD131" i="14"/>
  <c r="CD133" i="14"/>
  <c r="CD125" i="14"/>
  <c r="CD123" i="14"/>
  <c r="CD126" i="14"/>
  <c r="CD128" i="14"/>
  <c r="CD130" i="14"/>
  <c r="CD122" i="14"/>
  <c r="IR102" i="14"/>
  <c r="IR127" i="14"/>
  <c r="IR132" i="14"/>
  <c r="IR120" i="14"/>
  <c r="IR128" i="14"/>
  <c r="IR122" i="14"/>
  <c r="IR121" i="14"/>
  <c r="IR125" i="14"/>
  <c r="IR123" i="14"/>
  <c r="IR130" i="14"/>
  <c r="IR124" i="14"/>
  <c r="IR131" i="14"/>
  <c r="IR134" i="14"/>
  <c r="IR133" i="14"/>
  <c r="IR129" i="14"/>
  <c r="IR126" i="14"/>
  <c r="IJ123" i="14"/>
  <c r="IJ126" i="14"/>
  <c r="IJ129" i="14"/>
  <c r="IJ133" i="14"/>
  <c r="IJ122" i="14"/>
  <c r="IJ125" i="14"/>
  <c r="IJ131" i="14"/>
  <c r="IJ121" i="14"/>
  <c r="IJ127" i="14"/>
  <c r="IJ132" i="14"/>
  <c r="IJ128" i="14"/>
  <c r="IJ130" i="14"/>
  <c r="IJ124" i="14"/>
  <c r="IJ120" i="14"/>
  <c r="IJ134" i="14"/>
  <c r="CD102" i="14"/>
  <c r="CD114" i="14"/>
  <c r="CD113" i="14"/>
  <c r="CD116" i="14"/>
  <c r="CD112" i="14"/>
  <c r="CD110" i="14"/>
  <c r="CD118" i="14"/>
  <c r="CD117" i="14"/>
  <c r="CD111" i="14"/>
  <c r="CD100" i="14"/>
  <c r="CD119" i="14"/>
  <c r="CD115" i="14"/>
  <c r="CD108" i="14"/>
  <c r="CD109" i="14"/>
  <c r="CD107" i="14"/>
  <c r="CD106" i="14"/>
  <c r="CD105" i="14"/>
  <c r="CD104" i="14"/>
  <c r="CD103" i="14"/>
  <c r="IJ117" i="14"/>
  <c r="IJ100" i="14"/>
  <c r="IJ116" i="14"/>
  <c r="IJ119" i="14"/>
  <c r="IJ115" i="14"/>
  <c r="IJ111" i="14"/>
  <c r="IJ114" i="14"/>
  <c r="IJ109" i="14"/>
  <c r="IJ113" i="14"/>
  <c r="IJ110" i="14"/>
  <c r="IJ118" i="14"/>
  <c r="IJ112" i="14"/>
  <c r="IJ108" i="14"/>
  <c r="IJ106" i="14"/>
  <c r="IJ107" i="14"/>
  <c r="IJ105" i="14"/>
  <c r="IJ104" i="14"/>
  <c r="IJ103" i="14"/>
  <c r="IJ101" i="14"/>
  <c r="G9" i="16"/>
  <c r="CD101" i="14"/>
  <c r="IR100" i="14"/>
  <c r="IR113" i="14"/>
  <c r="IR112" i="14"/>
  <c r="IR110" i="14"/>
  <c r="IR114" i="14"/>
  <c r="IR118" i="14"/>
  <c r="IR117" i="14"/>
  <c r="IR111" i="14"/>
  <c r="IR119" i="14"/>
  <c r="IR116" i="14"/>
  <c r="IR109" i="14"/>
  <c r="IR115" i="14"/>
  <c r="IR108" i="14"/>
  <c r="IR106" i="14"/>
  <c r="IR107" i="14"/>
  <c r="IR105" i="14"/>
  <c r="IR104" i="14"/>
  <c r="IR103" i="14"/>
  <c r="GO99" i="14"/>
  <c r="GQ99" i="14" s="1"/>
  <c r="GT99" i="14" s="1"/>
  <c r="AI86" i="38"/>
  <c r="AG86" i="38"/>
  <c r="AI92" i="38"/>
  <c r="AG92" i="38"/>
  <c r="AW92" i="15"/>
  <c r="BI92" i="15" s="1"/>
  <c r="AH90" i="38"/>
  <c r="AF90" i="38"/>
  <c r="J83" i="15"/>
  <c r="J81" i="38"/>
  <c r="AG88" i="38"/>
  <c r="AI88" i="38"/>
  <c r="AH93" i="38"/>
  <c r="AF93" i="38"/>
  <c r="AH88" i="38"/>
  <c r="AF88" i="38"/>
  <c r="AI89" i="38"/>
  <c r="AG89" i="38"/>
  <c r="AH86" i="38"/>
  <c r="AF86" i="38"/>
  <c r="I83" i="15"/>
  <c r="I81" i="38"/>
  <c r="AI85" i="38"/>
  <c r="AG85" i="38"/>
  <c r="AI87" i="38"/>
  <c r="AG87" i="38"/>
  <c r="AU93" i="15"/>
  <c r="BH93" i="15" s="1"/>
  <c r="AH91" i="38"/>
  <c r="AF91" i="38"/>
  <c r="AH87" i="38"/>
  <c r="AF87" i="38"/>
  <c r="F82" i="15"/>
  <c r="F80" i="38"/>
  <c r="AH85" i="38"/>
  <c r="AF85" i="38"/>
  <c r="AG91" i="38"/>
  <c r="AI91" i="38"/>
  <c r="AI93" i="38"/>
  <c r="AG93" i="38"/>
  <c r="AH92" i="38"/>
  <c r="AF92" i="38"/>
  <c r="AG90" i="38"/>
  <c r="AI90" i="38"/>
  <c r="H82" i="15"/>
  <c r="H80" i="38"/>
  <c r="G81" i="15"/>
  <c r="G79" i="38"/>
  <c r="AG84" i="38"/>
  <c r="AI84" i="38"/>
  <c r="AH89" i="38"/>
  <c r="AF89" i="38"/>
  <c r="AH84" i="38"/>
  <c r="AF84" i="38"/>
  <c r="AW102" i="14"/>
  <c r="BB102" i="14" s="1"/>
  <c r="BC102" i="14" s="1"/>
  <c r="BD102" i="14" s="1"/>
  <c r="BE102" i="14" s="1"/>
  <c r="BJ102" i="14" s="1"/>
  <c r="BK102" i="14" s="1"/>
  <c r="BL102" i="14" s="1"/>
  <c r="BM102" i="14" s="1"/>
  <c r="GM98" i="14"/>
  <c r="GN98" i="14" s="1"/>
  <c r="GR98" i="14"/>
  <c r="GS98" i="14" s="1"/>
  <c r="GU98" i="14" s="1"/>
  <c r="AL98" i="14"/>
  <c r="AM98" i="14" s="1"/>
  <c r="AO98" i="14" s="1"/>
  <c r="S97" i="14"/>
  <c r="AF97" i="14" s="1"/>
  <c r="AL97" i="14" s="1"/>
  <c r="AM97" i="14" s="1"/>
  <c r="AO97" i="14" s="1"/>
  <c r="AG98" i="14"/>
  <c r="AH98" i="14" s="1"/>
  <c r="Q55" i="6"/>
  <c r="J96" i="14"/>
  <c r="I96" i="14"/>
  <c r="I80" i="38" s="1"/>
  <c r="P54" i="6"/>
  <c r="F95" i="14"/>
  <c r="BB101" i="14"/>
  <c r="BC101" i="14" s="1"/>
  <c r="BD101" i="14" s="1"/>
  <c r="BE101" i="14" s="1"/>
  <c r="BJ101" i="14" s="1"/>
  <c r="BK101" i="14" s="1"/>
  <c r="BL101" i="14" s="1"/>
  <c r="BM101" i="14" s="1"/>
  <c r="AQ100" i="14"/>
  <c r="AT100" i="14" s="1"/>
  <c r="AU100" i="14" s="1"/>
  <c r="AV100" i="14" s="1"/>
  <c r="AW100" i="14" s="1"/>
  <c r="AY100" i="14"/>
  <c r="BG100" i="14"/>
  <c r="AK99" i="14"/>
  <c r="AN99" i="14" s="1"/>
  <c r="AU88" i="15"/>
  <c r="BH88" i="15" s="1"/>
  <c r="AW88" i="15"/>
  <c r="BI88" i="15" s="1"/>
  <c r="AW86" i="15"/>
  <c r="BI86" i="15" s="1"/>
  <c r="AU86" i="15"/>
  <c r="BH86" i="15" s="1"/>
  <c r="AU92" i="15"/>
  <c r="BH92" i="15" s="1"/>
  <c r="AW93" i="15"/>
  <c r="BI93" i="15" s="1"/>
  <c r="IY98" i="14"/>
  <c r="JA98" i="14" s="1"/>
  <c r="JB98" i="14" s="1"/>
  <c r="R99" i="14"/>
  <c r="AX92" i="15"/>
  <c r="AV92" i="15"/>
  <c r="AW95" i="15"/>
  <c r="BI95" i="15" s="1"/>
  <c r="AU95" i="15"/>
  <c r="BH95" i="15" s="1"/>
  <c r="HT99" i="14"/>
  <c r="IE99" i="14" s="1"/>
  <c r="AX91" i="15"/>
  <c r="AV91" i="15"/>
  <c r="AX89" i="15"/>
  <c r="AV89" i="15"/>
  <c r="AW94" i="15"/>
  <c r="BI94" i="15" s="1"/>
  <c r="AU94" i="15"/>
  <c r="BH94" i="15" s="1"/>
  <c r="T97" i="14"/>
  <c r="IX97" i="14" s="1"/>
  <c r="Q98" i="14"/>
  <c r="AX86" i="15"/>
  <c r="AV86" i="15"/>
  <c r="AW87" i="15"/>
  <c r="BI87" i="15" s="1"/>
  <c r="AU87" i="15"/>
  <c r="BH87" i="15" s="1"/>
  <c r="AX93" i="15"/>
  <c r="AV93" i="15"/>
  <c r="AW91" i="15"/>
  <c r="BI91" i="15" s="1"/>
  <c r="AU91" i="15"/>
  <c r="BH91" i="15" s="1"/>
  <c r="AU90" i="15"/>
  <c r="BH90" i="15" s="1"/>
  <c r="AW90" i="15"/>
  <c r="BI90" i="15" s="1"/>
  <c r="P96" i="14"/>
  <c r="AE96" i="14" s="1"/>
  <c r="AX87" i="15"/>
  <c r="AV87" i="15"/>
  <c r="AX90" i="15"/>
  <c r="AV90" i="15"/>
  <c r="AX95" i="15"/>
  <c r="AV95" i="15"/>
  <c r="AX88" i="15"/>
  <c r="AV88" i="15"/>
  <c r="AX94" i="15"/>
  <c r="AV94" i="15"/>
  <c r="AW89" i="15"/>
  <c r="BI89" i="15" s="1"/>
  <c r="AU89" i="15"/>
  <c r="BH89" i="15" s="1"/>
  <c r="G94" i="14"/>
  <c r="N55" i="6"/>
  <c r="H95" i="14" s="1"/>
  <c r="V34" i="46" l="1"/>
  <c r="V34" i="1"/>
  <c r="G16" i="16"/>
  <c r="F56" i="16"/>
  <c r="BQ101" i="14"/>
  <c r="BR101" i="14"/>
  <c r="G56" i="16"/>
  <c r="F9" i="16"/>
  <c r="BQ102" i="14"/>
  <c r="BR102" i="14"/>
  <c r="F81" i="15"/>
  <c r="F79" i="38"/>
  <c r="H81" i="15"/>
  <c r="H79" i="38"/>
  <c r="J82" i="15"/>
  <c r="J80" i="38"/>
  <c r="G80" i="15"/>
  <c r="G78" i="38"/>
  <c r="GM97" i="14"/>
  <c r="GN97" i="14" s="1"/>
  <c r="GO97" i="14" s="1"/>
  <c r="HT97" i="14" s="1"/>
  <c r="IE97" i="14" s="1"/>
  <c r="GR97" i="14"/>
  <c r="GS97" i="14" s="1"/>
  <c r="GU97" i="14" s="1"/>
  <c r="AG97" i="14"/>
  <c r="AH97" i="14" s="1"/>
  <c r="AI97" i="14" s="1"/>
  <c r="BN97" i="14" s="1"/>
  <c r="BY97" i="14" s="1"/>
  <c r="AI98" i="14"/>
  <c r="AJ98" i="14"/>
  <c r="BO98" i="14" s="1"/>
  <c r="CG98" i="14" s="1"/>
  <c r="S96" i="14"/>
  <c r="AF96" i="14" s="1"/>
  <c r="AG96" i="14" s="1"/>
  <c r="AH96" i="14" s="1"/>
  <c r="AJ96" i="14" s="1"/>
  <c r="BO96" i="14" s="1"/>
  <c r="CG96" i="14" s="1"/>
  <c r="I82" i="15"/>
  <c r="GP98" i="14"/>
  <c r="HU98" i="14" s="1"/>
  <c r="IM98" i="14" s="1"/>
  <c r="GO98" i="14"/>
  <c r="P53" i="6"/>
  <c r="F94" i="14"/>
  <c r="F78" i="38" s="1"/>
  <c r="I95" i="14"/>
  <c r="Q54" i="6"/>
  <c r="J95" i="14"/>
  <c r="BB100" i="14"/>
  <c r="BC100" i="14" s="1"/>
  <c r="BD100" i="14" s="1"/>
  <c r="BE100" i="14" s="1"/>
  <c r="BJ100" i="14" s="1"/>
  <c r="BK100" i="14" s="1"/>
  <c r="BL100" i="14" s="1"/>
  <c r="BM100" i="14" s="1"/>
  <c r="AQ99" i="14"/>
  <c r="AT99" i="14" s="1"/>
  <c r="AU99" i="14" s="1"/>
  <c r="AV99" i="14" s="1"/>
  <c r="AW99" i="14" s="1"/>
  <c r="AY99" i="14"/>
  <c r="BG99" i="14"/>
  <c r="Q97" i="14"/>
  <c r="P95" i="14"/>
  <c r="AE95" i="14" s="1"/>
  <c r="T96" i="14"/>
  <c r="IX96" i="14" s="1"/>
  <c r="IZ96" i="14" s="1"/>
  <c r="R98" i="14"/>
  <c r="IZ97" i="14"/>
  <c r="IY97" i="14"/>
  <c r="N54" i="6"/>
  <c r="H94" i="14" s="1"/>
  <c r="G93" i="14"/>
  <c r="V42" i="1" l="1"/>
  <c r="V42" i="46"/>
  <c r="U42" i="1"/>
  <c r="U42" i="46"/>
  <c r="U34" i="46"/>
  <c r="F16" i="16"/>
  <c r="U34" i="1"/>
  <c r="BQ100" i="14"/>
  <c r="BR100" i="14"/>
  <c r="AJ97" i="14"/>
  <c r="BO97" i="14" s="1"/>
  <c r="CG97" i="14" s="1"/>
  <c r="GP97" i="14"/>
  <c r="HU97" i="14" s="1"/>
  <c r="IM97" i="14" s="1"/>
  <c r="J81" i="15"/>
  <c r="J79" i="38"/>
  <c r="I81" i="15"/>
  <c r="I79" i="38"/>
  <c r="G79" i="15"/>
  <c r="G77" i="38"/>
  <c r="H80" i="15"/>
  <c r="H78" i="38"/>
  <c r="S95" i="14"/>
  <c r="AF95" i="14" s="1"/>
  <c r="GM95" i="14" s="1"/>
  <c r="GN95" i="14" s="1"/>
  <c r="HT98" i="14"/>
  <c r="IE98" i="14" s="1"/>
  <c r="GQ98" i="14"/>
  <c r="GT98" i="14" s="1"/>
  <c r="GM96" i="14"/>
  <c r="GN96" i="14" s="1"/>
  <c r="GR96" i="14"/>
  <c r="GS96" i="14" s="1"/>
  <c r="GU96" i="14" s="1"/>
  <c r="AL96" i="14"/>
  <c r="AM96" i="14" s="1"/>
  <c r="AO96" i="14" s="1"/>
  <c r="P94" i="14"/>
  <c r="AE94" i="14" s="1"/>
  <c r="F80" i="15"/>
  <c r="BN98" i="14"/>
  <c r="BY98" i="14" s="1"/>
  <c r="AK98" i="14"/>
  <c r="Q53" i="6"/>
  <c r="J94" i="14"/>
  <c r="I94" i="14"/>
  <c r="I78" i="38" s="1"/>
  <c r="P52" i="6"/>
  <c r="F93" i="14"/>
  <c r="AI96" i="14"/>
  <c r="BN96" i="14" s="1"/>
  <c r="BY96" i="14" s="1"/>
  <c r="BB99" i="14"/>
  <c r="BC99" i="14" s="1"/>
  <c r="BD99" i="14" s="1"/>
  <c r="BE99" i="14" s="1"/>
  <c r="BJ99" i="14" s="1"/>
  <c r="BK99" i="14" s="1"/>
  <c r="BL99" i="14" s="1"/>
  <c r="BM99" i="14" s="1"/>
  <c r="BQ99" i="14" s="1"/>
  <c r="T95" i="14"/>
  <c r="IX95" i="14" s="1"/>
  <c r="IZ95" i="14" s="1"/>
  <c r="Q96" i="14"/>
  <c r="IY96" i="14"/>
  <c r="JA96" i="14" s="1"/>
  <c r="JB96" i="14" s="1"/>
  <c r="R97" i="14"/>
  <c r="JA97" i="14"/>
  <c r="JB97" i="14" s="1"/>
  <c r="N53" i="6"/>
  <c r="H93" i="14" s="1"/>
  <c r="G92" i="14"/>
  <c r="BV80" i="14" l="1"/>
  <c r="BV89" i="14"/>
  <c r="BV87" i="14"/>
  <c r="BV83" i="14"/>
  <c r="BV88" i="14"/>
  <c r="BV86" i="14"/>
  <c r="BV81" i="14"/>
  <c r="BV82" i="14"/>
  <c r="BV84" i="14"/>
  <c r="BV85" i="14"/>
  <c r="BV90" i="14"/>
  <c r="BV99" i="14"/>
  <c r="BV94" i="14"/>
  <c r="BV96" i="14"/>
  <c r="BV95" i="14"/>
  <c r="BV93" i="14"/>
  <c r="BV91" i="14"/>
  <c r="BV97" i="14"/>
  <c r="BV92" i="14"/>
  <c r="BV98" i="14"/>
  <c r="BV148" i="14"/>
  <c r="BV147" i="14"/>
  <c r="BV149" i="14"/>
  <c r="BV146" i="14"/>
  <c r="BV145" i="14"/>
  <c r="BV143" i="14"/>
  <c r="BV140" i="14"/>
  <c r="BV144" i="14"/>
  <c r="BV141" i="14"/>
  <c r="BV142" i="14"/>
  <c r="BV136" i="14"/>
  <c r="BV139" i="14"/>
  <c r="CN139" i="14" s="1"/>
  <c r="BV138" i="14"/>
  <c r="BV137" i="14"/>
  <c r="BV135" i="14"/>
  <c r="BV102" i="14"/>
  <c r="BV130" i="14"/>
  <c r="BV126" i="14"/>
  <c r="BV132" i="14"/>
  <c r="BV120" i="14"/>
  <c r="BV128" i="14"/>
  <c r="BV125" i="14"/>
  <c r="BV122" i="14"/>
  <c r="BV129" i="14"/>
  <c r="BV131" i="14"/>
  <c r="BV133" i="14"/>
  <c r="BV127" i="14"/>
  <c r="BV124" i="14"/>
  <c r="BV134" i="14"/>
  <c r="BV123" i="14"/>
  <c r="BV121" i="14"/>
  <c r="AK97" i="14"/>
  <c r="AY97" i="14" s="1"/>
  <c r="AG95" i="14"/>
  <c r="AH95" i="14" s="1"/>
  <c r="AJ95" i="14" s="1"/>
  <c r="BO95" i="14" s="1"/>
  <c r="CG95" i="14" s="1"/>
  <c r="AL95" i="14"/>
  <c r="AM95" i="14" s="1"/>
  <c r="AO95" i="14" s="1"/>
  <c r="BV117" i="14"/>
  <c r="BV114" i="14"/>
  <c r="BV119" i="14"/>
  <c r="BV118" i="14"/>
  <c r="BV113" i="14"/>
  <c r="BV100" i="14"/>
  <c r="BV112" i="14"/>
  <c r="BV111" i="14"/>
  <c r="BV110" i="14"/>
  <c r="BV115" i="14"/>
  <c r="BV116" i="14"/>
  <c r="BV109" i="14"/>
  <c r="BV107" i="14"/>
  <c r="BV108" i="14"/>
  <c r="BV106" i="14"/>
  <c r="BV105" i="14"/>
  <c r="BV104" i="14"/>
  <c r="BV103" i="14"/>
  <c r="BV101" i="14"/>
  <c r="GR95" i="14"/>
  <c r="GS95" i="14" s="1"/>
  <c r="GU95" i="14" s="1"/>
  <c r="GQ97" i="14"/>
  <c r="GT97" i="14" s="1"/>
  <c r="G78" i="15"/>
  <c r="G76" i="38"/>
  <c r="F79" i="15"/>
  <c r="F77" i="38"/>
  <c r="H79" i="15"/>
  <c r="H77" i="38"/>
  <c r="J80" i="15"/>
  <c r="J78" i="38"/>
  <c r="S94" i="14"/>
  <c r="AF94" i="14" s="1"/>
  <c r="GM94" i="14" s="1"/>
  <c r="GN94" i="14" s="1"/>
  <c r="GP94" i="14" s="1"/>
  <c r="HU94" i="14" s="1"/>
  <c r="IM94" i="14" s="1"/>
  <c r="I80" i="15"/>
  <c r="GO96" i="14"/>
  <c r="GP96" i="14"/>
  <c r="HU96" i="14" s="1"/>
  <c r="IM96" i="14" s="1"/>
  <c r="BG98" i="14"/>
  <c r="AY98" i="14"/>
  <c r="AN98" i="14"/>
  <c r="AQ98" i="14"/>
  <c r="AT98" i="14" s="1"/>
  <c r="AU98" i="14" s="1"/>
  <c r="AV98" i="14" s="1"/>
  <c r="P51" i="6"/>
  <c r="F92" i="14"/>
  <c r="I93" i="14"/>
  <c r="I77" i="38" s="1"/>
  <c r="Q52" i="6"/>
  <c r="J93" i="14"/>
  <c r="AK96" i="14"/>
  <c r="BG96" i="14" s="1"/>
  <c r="AQ97" i="14"/>
  <c r="AT97" i="14" s="1"/>
  <c r="AU97" i="14" s="1"/>
  <c r="AV97" i="14" s="1"/>
  <c r="AN97" i="14"/>
  <c r="IY95" i="14"/>
  <c r="JA95" i="14" s="1"/>
  <c r="JB95" i="14" s="1"/>
  <c r="GP95" i="14"/>
  <c r="HU95" i="14" s="1"/>
  <c r="IM95" i="14" s="1"/>
  <c r="GO95" i="14"/>
  <c r="P93" i="14"/>
  <c r="AE93" i="14" s="1"/>
  <c r="R96" i="14"/>
  <c r="Q95" i="14"/>
  <c r="T94" i="14"/>
  <c r="IX94" i="14" s="1"/>
  <c r="G91" i="14"/>
  <c r="N52" i="6"/>
  <c r="H92" i="14" s="1"/>
  <c r="AI95" i="14" l="1"/>
  <c r="BN95" i="14" s="1"/>
  <c r="BY95" i="14" s="1"/>
  <c r="BG97" i="14"/>
  <c r="T125" i="15"/>
  <c r="X125" i="15" s="1"/>
  <c r="U123" i="38"/>
  <c r="H9" i="16"/>
  <c r="AW98" i="14"/>
  <c r="BB98" i="14" s="1"/>
  <c r="BC98" i="14" s="1"/>
  <c r="BD98" i="14" s="1"/>
  <c r="BE98" i="14" s="1"/>
  <c r="BJ98" i="14" s="1"/>
  <c r="BK98" i="14" s="1"/>
  <c r="BL98" i="14" s="1"/>
  <c r="BM98" i="14" s="1"/>
  <c r="BQ98" i="14" s="1"/>
  <c r="GO94" i="14"/>
  <c r="HT94" i="14" s="1"/>
  <c r="IE94" i="14" s="1"/>
  <c r="J79" i="15"/>
  <c r="J77" i="38"/>
  <c r="H78" i="15"/>
  <c r="H76" i="38"/>
  <c r="G77" i="15"/>
  <c r="G75" i="38"/>
  <c r="F78" i="15"/>
  <c r="F76" i="38"/>
  <c r="S93" i="14"/>
  <c r="AF93" i="14" s="1"/>
  <c r="GR93" i="14" s="1"/>
  <c r="GS93" i="14" s="1"/>
  <c r="GU93" i="14" s="1"/>
  <c r="I79" i="15"/>
  <c r="HT96" i="14"/>
  <c r="IE96" i="14" s="1"/>
  <c r="GQ96" i="14"/>
  <c r="GT96" i="14" s="1"/>
  <c r="AG94" i="14"/>
  <c r="AH94" i="14" s="1"/>
  <c r="AL94" i="14"/>
  <c r="AM94" i="14" s="1"/>
  <c r="AO94" i="14" s="1"/>
  <c r="GR94" i="14"/>
  <c r="GS94" i="14" s="1"/>
  <c r="GU94" i="14" s="1"/>
  <c r="Q51" i="6"/>
  <c r="J92" i="14"/>
  <c r="I92" i="14"/>
  <c r="I76" i="38" s="1"/>
  <c r="P50" i="6"/>
  <c r="F91" i="14"/>
  <c r="F75" i="38" s="1"/>
  <c r="AQ96" i="14"/>
  <c r="AT96" i="14" s="1"/>
  <c r="AU96" i="14" s="1"/>
  <c r="AV96" i="14" s="1"/>
  <c r="AY96" i="14"/>
  <c r="AN96" i="14"/>
  <c r="AW97" i="14"/>
  <c r="BB97" i="14" s="1"/>
  <c r="BC97" i="14" s="1"/>
  <c r="BD97" i="14" s="1"/>
  <c r="BE97" i="14" s="1"/>
  <c r="BJ97" i="14" s="1"/>
  <c r="BK97" i="14" s="1"/>
  <c r="BL97" i="14" s="1"/>
  <c r="BM97" i="14" s="1"/>
  <c r="BQ97" i="14" s="1"/>
  <c r="AK95" i="14"/>
  <c r="AQ95" i="14" s="1"/>
  <c r="AT95" i="14" s="1"/>
  <c r="AU95" i="14" s="1"/>
  <c r="AV95" i="14" s="1"/>
  <c r="GM93" i="14"/>
  <c r="GN93" i="14" s="1"/>
  <c r="GP93" i="14" s="1"/>
  <c r="HU93" i="14" s="1"/>
  <c r="IM93" i="14" s="1"/>
  <c r="AG93" i="14"/>
  <c r="AH93" i="14" s="1"/>
  <c r="AJ93" i="14" s="1"/>
  <c r="BO93" i="14" s="1"/>
  <c r="CG93" i="14" s="1"/>
  <c r="R95" i="14"/>
  <c r="T93" i="14"/>
  <c r="IX93" i="14" s="1"/>
  <c r="IZ93" i="14" s="1"/>
  <c r="P92" i="14"/>
  <c r="AE92" i="14" s="1"/>
  <c r="HT95" i="14"/>
  <c r="IE95" i="14" s="1"/>
  <c r="GQ95" i="14"/>
  <c r="GT95" i="14" s="1"/>
  <c r="IZ94" i="14"/>
  <c r="IY94" i="14"/>
  <c r="Q94" i="14"/>
  <c r="N51" i="6"/>
  <c r="H91" i="14" s="1"/>
  <c r="G90" i="14"/>
  <c r="AA125" i="15" l="1"/>
  <c r="AD125" i="15"/>
  <c r="W34" i="46"/>
  <c r="W34" i="1"/>
  <c r="H16" i="16"/>
  <c r="GQ94" i="14"/>
  <c r="GT94" i="14" s="1"/>
  <c r="H77" i="15"/>
  <c r="H75" i="38"/>
  <c r="G76" i="15"/>
  <c r="G74" i="38"/>
  <c r="J78" i="15"/>
  <c r="J76" i="38"/>
  <c r="AL93" i="14"/>
  <c r="AM93" i="14" s="1"/>
  <c r="AO93" i="14" s="1"/>
  <c r="P91" i="14"/>
  <c r="AE91" i="14" s="1"/>
  <c r="F77" i="15"/>
  <c r="AI94" i="14"/>
  <c r="AJ94" i="14"/>
  <c r="BO94" i="14" s="1"/>
  <c r="CG94" i="14" s="1"/>
  <c r="S92" i="14"/>
  <c r="AF92" i="14" s="1"/>
  <c r="GM92" i="14" s="1"/>
  <c r="GN92" i="14" s="1"/>
  <c r="GP92" i="14" s="1"/>
  <c r="HU92" i="14" s="1"/>
  <c r="IM92" i="14" s="1"/>
  <c r="I78" i="15"/>
  <c r="P49" i="6"/>
  <c r="F90" i="14"/>
  <c r="I91" i="14"/>
  <c r="I75" i="38" s="1"/>
  <c r="Q50" i="6"/>
  <c r="J91" i="14"/>
  <c r="J75" i="38" s="1"/>
  <c r="AW96" i="14"/>
  <c r="BB96" i="14" s="1"/>
  <c r="BC96" i="14" s="1"/>
  <c r="BD96" i="14" s="1"/>
  <c r="BE96" i="14" s="1"/>
  <c r="BJ96" i="14" s="1"/>
  <c r="BK96" i="14" s="1"/>
  <c r="BL96" i="14" s="1"/>
  <c r="BM96" i="14" s="1"/>
  <c r="BQ96" i="14" s="1"/>
  <c r="AY95" i="14"/>
  <c r="AN95" i="14"/>
  <c r="AW95" i="14" s="1"/>
  <c r="BG95" i="14"/>
  <c r="GO93" i="14"/>
  <c r="HT93" i="14" s="1"/>
  <c r="IE93" i="14" s="1"/>
  <c r="JA94" i="14"/>
  <c r="JB94" i="14" s="1"/>
  <c r="AI93" i="14"/>
  <c r="BN93" i="14" s="1"/>
  <c r="BY93" i="14" s="1"/>
  <c r="IY93" i="14"/>
  <c r="JA93" i="14" s="1"/>
  <c r="JB93" i="14" s="1"/>
  <c r="T92" i="14"/>
  <c r="IX92" i="14" s="1"/>
  <c r="IZ92" i="14" s="1"/>
  <c r="Q93" i="14"/>
  <c r="R94" i="14"/>
  <c r="G89" i="14"/>
  <c r="N50" i="6"/>
  <c r="H90" i="14" s="1"/>
  <c r="H76" i="15" l="1"/>
  <c r="H74" i="38"/>
  <c r="G75" i="15"/>
  <c r="G73" i="38"/>
  <c r="F76" i="15"/>
  <c r="F74" i="38"/>
  <c r="AL92" i="14"/>
  <c r="AM92" i="14" s="1"/>
  <c r="AO92" i="14" s="1"/>
  <c r="GO92" i="14"/>
  <c r="HT92" i="14" s="1"/>
  <c r="IE92" i="14" s="1"/>
  <c r="GR92" i="14"/>
  <c r="GS92" i="14" s="1"/>
  <c r="GU92" i="14" s="1"/>
  <c r="T91" i="14"/>
  <c r="IX91" i="14" s="1"/>
  <c r="IZ91" i="14" s="1"/>
  <c r="J77" i="15"/>
  <c r="S91" i="14"/>
  <c r="AF91" i="14" s="1"/>
  <c r="GR91" i="14" s="1"/>
  <c r="GS91" i="14" s="1"/>
  <c r="GU91" i="14" s="1"/>
  <c r="I77" i="15"/>
  <c r="BN94" i="14"/>
  <c r="BY94" i="14" s="1"/>
  <c r="AK94" i="14"/>
  <c r="AG92" i="14"/>
  <c r="AH92" i="14" s="1"/>
  <c r="AI92" i="14" s="1"/>
  <c r="BN92" i="14" s="1"/>
  <c r="BY92" i="14" s="1"/>
  <c r="Q49" i="6"/>
  <c r="J90" i="14"/>
  <c r="I90" i="14"/>
  <c r="P48" i="6"/>
  <c r="F89" i="14"/>
  <c r="BB95" i="14"/>
  <c r="BC95" i="14" s="1"/>
  <c r="BD95" i="14" s="1"/>
  <c r="BE95" i="14" s="1"/>
  <c r="BJ95" i="14" s="1"/>
  <c r="BK95" i="14" s="1"/>
  <c r="BL95" i="14" s="1"/>
  <c r="BM95" i="14" s="1"/>
  <c r="BQ95" i="14" s="1"/>
  <c r="GQ93" i="14"/>
  <c r="GT93" i="14" s="1"/>
  <c r="IY92" i="14"/>
  <c r="JA92" i="14" s="1"/>
  <c r="JB92" i="14" s="1"/>
  <c r="AK93" i="14"/>
  <c r="AQ93" i="14" s="1"/>
  <c r="AT93" i="14" s="1"/>
  <c r="AU93" i="14" s="1"/>
  <c r="AV93" i="14" s="1"/>
  <c r="Q92" i="14"/>
  <c r="P90" i="14"/>
  <c r="AE90" i="14" s="1"/>
  <c r="R93" i="14"/>
  <c r="N49" i="6"/>
  <c r="H89" i="14" s="1"/>
  <c r="G88" i="14"/>
  <c r="AG91" i="14" l="1"/>
  <c r="AH91" i="14" s="1"/>
  <c r="AJ91" i="14" s="1"/>
  <c r="BO91" i="14" s="1"/>
  <c r="CG91" i="14" s="1"/>
  <c r="F75" i="15"/>
  <c r="F73" i="38"/>
  <c r="H75" i="15"/>
  <c r="H73" i="38"/>
  <c r="I76" i="15"/>
  <c r="I74" i="38"/>
  <c r="GQ92" i="14"/>
  <c r="GT92" i="14" s="1"/>
  <c r="J76" i="15"/>
  <c r="J74" i="38"/>
  <c r="G74" i="15"/>
  <c r="G72" i="38"/>
  <c r="IY91" i="14"/>
  <c r="AL91" i="14"/>
  <c r="AM91" i="14" s="1"/>
  <c r="AO91" i="14" s="1"/>
  <c r="GM91" i="14"/>
  <c r="GN91" i="14" s="1"/>
  <c r="GP91" i="14" s="1"/>
  <c r="HU91" i="14" s="1"/>
  <c r="IM91" i="14" s="1"/>
  <c r="AN94" i="14"/>
  <c r="BG94" i="14"/>
  <c r="AQ94" i="14"/>
  <c r="AT94" i="14" s="1"/>
  <c r="AU94" i="14" s="1"/>
  <c r="AV94" i="14" s="1"/>
  <c r="AY94" i="14"/>
  <c r="AJ92" i="14"/>
  <c r="BO92" i="14" s="1"/>
  <c r="CG92" i="14" s="1"/>
  <c r="S90" i="14"/>
  <c r="AF90" i="14" s="1"/>
  <c r="GM90" i="14" s="1"/>
  <c r="GN90" i="14" s="1"/>
  <c r="GP90" i="14" s="1"/>
  <c r="HU90" i="14" s="1"/>
  <c r="IM90" i="14" s="1"/>
  <c r="P47" i="6"/>
  <c r="F88" i="14"/>
  <c r="I89" i="14"/>
  <c r="Q48" i="6"/>
  <c r="J89" i="14"/>
  <c r="BG93" i="14"/>
  <c r="AY93" i="14"/>
  <c r="AN93" i="14"/>
  <c r="AW93" i="14" s="1"/>
  <c r="JA91" i="14"/>
  <c r="JB91" i="14" s="1"/>
  <c r="R92" i="14"/>
  <c r="T90" i="14"/>
  <c r="IX90" i="14" s="1"/>
  <c r="IZ90" i="14" s="1"/>
  <c r="P89" i="14"/>
  <c r="AE89" i="14" s="1"/>
  <c r="Q91" i="14"/>
  <c r="G87" i="14"/>
  <c r="N48" i="6"/>
  <c r="H88" i="14" s="1"/>
  <c r="AI91" i="14" l="1"/>
  <c r="BN91" i="14" s="1"/>
  <c r="BY91" i="14" s="1"/>
  <c r="F74" i="15"/>
  <c r="F72" i="38"/>
  <c r="I75" i="15"/>
  <c r="I73" i="38"/>
  <c r="H74" i="15"/>
  <c r="H72" i="38"/>
  <c r="G73" i="15"/>
  <c r="G71" i="38"/>
  <c r="J75" i="15"/>
  <c r="J73" i="38"/>
  <c r="GO91" i="14"/>
  <c r="HT91" i="14" s="1"/>
  <c r="IE91" i="14" s="1"/>
  <c r="AW94" i="14"/>
  <c r="BB94" i="14" s="1"/>
  <c r="BC94" i="14" s="1"/>
  <c r="BD94" i="14" s="1"/>
  <c r="BE94" i="14" s="1"/>
  <c r="BJ94" i="14" s="1"/>
  <c r="BK94" i="14" s="1"/>
  <c r="BL94" i="14" s="1"/>
  <c r="BM94" i="14" s="1"/>
  <c r="BQ94" i="14" s="1"/>
  <c r="S89" i="14"/>
  <c r="AF89" i="14" s="1"/>
  <c r="AG89" i="14" s="1"/>
  <c r="AH89" i="14" s="1"/>
  <c r="AJ89" i="14" s="1"/>
  <c r="BO89" i="14" s="1"/>
  <c r="CG89" i="14" s="1"/>
  <c r="AK92" i="14"/>
  <c r="BG92" i="14" s="1"/>
  <c r="AL90" i="14"/>
  <c r="AM90" i="14" s="1"/>
  <c r="AO90" i="14" s="1"/>
  <c r="AG90" i="14"/>
  <c r="AH90" i="14" s="1"/>
  <c r="AJ90" i="14" s="1"/>
  <c r="BO90" i="14" s="1"/>
  <c r="CG90" i="14" s="1"/>
  <c r="GR90" i="14"/>
  <c r="GS90" i="14" s="1"/>
  <c r="GU90" i="14" s="1"/>
  <c r="Q47" i="6"/>
  <c r="J88" i="14"/>
  <c r="I88" i="14"/>
  <c r="I72" i="38" s="1"/>
  <c r="P46" i="6"/>
  <c r="F87" i="14"/>
  <c r="BB93" i="14"/>
  <c r="BC93" i="14" s="1"/>
  <c r="BD93" i="14" s="1"/>
  <c r="BE93" i="14" s="1"/>
  <c r="BJ93" i="14" s="1"/>
  <c r="BK93" i="14" s="1"/>
  <c r="BL93" i="14" s="1"/>
  <c r="BM93" i="14" s="1"/>
  <c r="BQ93" i="14" s="1"/>
  <c r="GO90" i="14"/>
  <c r="HT90" i="14" s="1"/>
  <c r="IE90" i="14" s="1"/>
  <c r="IY90" i="14"/>
  <c r="JA90" i="14" s="1"/>
  <c r="JC94" i="14" s="1"/>
  <c r="P88" i="14"/>
  <c r="AE88" i="14" s="1"/>
  <c r="T89" i="14"/>
  <c r="IX89" i="14" s="1"/>
  <c r="IZ89" i="14" s="1"/>
  <c r="Q90" i="14"/>
  <c r="R91" i="14"/>
  <c r="N47" i="6"/>
  <c r="H87" i="14" s="1"/>
  <c r="G86" i="14"/>
  <c r="AK91" i="14" l="1"/>
  <c r="AY91" i="14" s="1"/>
  <c r="F73" i="15"/>
  <c r="F71" i="38"/>
  <c r="AH78" i="38"/>
  <c r="AF78" i="38"/>
  <c r="J74" i="15"/>
  <c r="J72" i="38"/>
  <c r="G72" i="15"/>
  <c r="G70" i="38"/>
  <c r="GQ91" i="14"/>
  <c r="GT91" i="14" s="1"/>
  <c r="H73" i="15"/>
  <c r="H71" i="38"/>
  <c r="GR89" i="14"/>
  <c r="GS89" i="14" s="1"/>
  <c r="GU89" i="14" s="1"/>
  <c r="GM89" i="14"/>
  <c r="GN89" i="14" s="1"/>
  <c r="GP89" i="14" s="1"/>
  <c r="HU89" i="14" s="1"/>
  <c r="IM89" i="14" s="1"/>
  <c r="AY92" i="14"/>
  <c r="AN92" i="14"/>
  <c r="AQ92" i="14"/>
  <c r="AT92" i="14" s="1"/>
  <c r="AU92" i="14" s="1"/>
  <c r="AV92" i="14" s="1"/>
  <c r="AI90" i="14"/>
  <c r="BN90" i="14" s="1"/>
  <c r="BY90" i="14" s="1"/>
  <c r="AL89" i="14"/>
  <c r="AM89" i="14" s="1"/>
  <c r="AO89" i="14" s="1"/>
  <c r="S88" i="14"/>
  <c r="AF88" i="14" s="1"/>
  <c r="AG88" i="14" s="1"/>
  <c r="AH88" i="14" s="1"/>
  <c r="I74" i="15"/>
  <c r="P45" i="6"/>
  <c r="F86" i="14"/>
  <c r="I87" i="14"/>
  <c r="Q46" i="6"/>
  <c r="J87" i="14"/>
  <c r="GQ90" i="14"/>
  <c r="GT90" i="14" s="1"/>
  <c r="AI89" i="14"/>
  <c r="BN89" i="14" s="1"/>
  <c r="BY89" i="14" s="1"/>
  <c r="IY89" i="14"/>
  <c r="JA89" i="14" s="1"/>
  <c r="JB89" i="14" s="1"/>
  <c r="JC98" i="14"/>
  <c r="JC91" i="14"/>
  <c r="JC95" i="14"/>
  <c r="JC99" i="14"/>
  <c r="JC93" i="14"/>
  <c r="JC92" i="14"/>
  <c r="JC97" i="14"/>
  <c r="JC96" i="14"/>
  <c r="JC90" i="14"/>
  <c r="JB90" i="14"/>
  <c r="JD92" i="14" s="1"/>
  <c r="T88" i="14"/>
  <c r="IX88" i="14" s="1"/>
  <c r="IZ88" i="14" s="1"/>
  <c r="Q89" i="14"/>
  <c r="P87" i="14"/>
  <c r="AE87" i="14" s="1"/>
  <c r="R90" i="14"/>
  <c r="AW80" i="15"/>
  <c r="BI80" i="15" s="1"/>
  <c r="AU80" i="15"/>
  <c r="BH80" i="15" s="1"/>
  <c r="N46" i="6"/>
  <c r="H86" i="14" s="1"/>
  <c r="G85" i="14"/>
  <c r="AN91" i="14" l="1"/>
  <c r="BG91" i="14"/>
  <c r="AQ91" i="14"/>
  <c r="AT91" i="14" s="1"/>
  <c r="AU91" i="14" s="1"/>
  <c r="AV91" i="14" s="1"/>
  <c r="AW91" i="14" s="1"/>
  <c r="BB91" i="14" s="1"/>
  <c r="BC91" i="14" s="1"/>
  <c r="BD91" i="14" s="1"/>
  <c r="BE91" i="14" s="1"/>
  <c r="BJ91" i="14" s="1"/>
  <c r="BK91" i="14" s="1"/>
  <c r="BL91" i="14" s="1"/>
  <c r="BM91" i="14" s="1"/>
  <c r="BQ91" i="14" s="1"/>
  <c r="GO89" i="14"/>
  <c r="HT89" i="14" s="1"/>
  <c r="IE89" i="14" s="1"/>
  <c r="AH81" i="38"/>
  <c r="AF81" i="38"/>
  <c r="F72" i="15"/>
  <c r="F70" i="38"/>
  <c r="AU85" i="15"/>
  <c r="BH85" i="15" s="1"/>
  <c r="AH83" i="38"/>
  <c r="AF83" i="38"/>
  <c r="I73" i="15"/>
  <c r="I71" i="38"/>
  <c r="AW79" i="15"/>
  <c r="BI79" i="15" s="1"/>
  <c r="AF77" i="38"/>
  <c r="AH77" i="38"/>
  <c r="AH79" i="38"/>
  <c r="AF79" i="38"/>
  <c r="AW77" i="15"/>
  <c r="BI77" i="15" s="1"/>
  <c r="AF75" i="38"/>
  <c r="AH75" i="38"/>
  <c r="AH76" i="38"/>
  <c r="AF76" i="38"/>
  <c r="AG76" i="38"/>
  <c r="AI76" i="38"/>
  <c r="H72" i="15"/>
  <c r="H70" i="38"/>
  <c r="AF74" i="38"/>
  <c r="AH74" i="38"/>
  <c r="AH82" i="38"/>
  <c r="AF82" i="38"/>
  <c r="J73" i="15"/>
  <c r="J71" i="38"/>
  <c r="G71" i="15"/>
  <c r="G69" i="38"/>
  <c r="AU82" i="15"/>
  <c r="BH82" i="15" s="1"/>
  <c r="AH80" i="38"/>
  <c r="AF80" i="38"/>
  <c r="AW92" i="14"/>
  <c r="BB92" i="14" s="1"/>
  <c r="BC92" i="14" s="1"/>
  <c r="BD92" i="14" s="1"/>
  <c r="BE92" i="14" s="1"/>
  <c r="BJ92" i="14" s="1"/>
  <c r="BK92" i="14" s="1"/>
  <c r="BL92" i="14" s="1"/>
  <c r="BM92" i="14" s="1"/>
  <c r="BQ92" i="14" s="1"/>
  <c r="AL88" i="14"/>
  <c r="AM88" i="14" s="1"/>
  <c r="AO88" i="14" s="1"/>
  <c r="AK90" i="14"/>
  <c r="AQ90" i="14" s="1"/>
  <c r="AT90" i="14" s="1"/>
  <c r="AU90" i="14" s="1"/>
  <c r="AV90" i="14" s="1"/>
  <c r="AI88" i="14"/>
  <c r="BN88" i="14" s="1"/>
  <c r="BY88" i="14" s="1"/>
  <c r="AJ88" i="14"/>
  <c r="BO88" i="14" s="1"/>
  <c r="CG88" i="14" s="1"/>
  <c r="S87" i="14"/>
  <c r="AF87" i="14" s="1"/>
  <c r="GM87" i="14" s="1"/>
  <c r="GN87" i="14" s="1"/>
  <c r="GR88" i="14"/>
  <c r="GS88" i="14" s="1"/>
  <c r="GU88" i="14" s="1"/>
  <c r="GM88" i="14"/>
  <c r="GN88" i="14" s="1"/>
  <c r="Q45" i="6"/>
  <c r="J86" i="14"/>
  <c r="I86" i="14"/>
  <c r="I70" i="38" s="1"/>
  <c r="P44" i="6"/>
  <c r="F85" i="14"/>
  <c r="AK89" i="14"/>
  <c r="AQ89" i="14" s="1"/>
  <c r="AT89" i="14" s="1"/>
  <c r="AU89" i="14" s="1"/>
  <c r="AV89" i="14" s="1"/>
  <c r="R89" i="14"/>
  <c r="AU84" i="15"/>
  <c r="BH84" i="15" s="1"/>
  <c r="AW76" i="15"/>
  <c r="BI76" i="15" s="1"/>
  <c r="JD97" i="14"/>
  <c r="JD91" i="14"/>
  <c r="AU83" i="15"/>
  <c r="BH83" i="15" s="1"/>
  <c r="AW84" i="15"/>
  <c r="BI84" i="15" s="1"/>
  <c r="JD90" i="14"/>
  <c r="JD98" i="14"/>
  <c r="JD94" i="14"/>
  <c r="AU76" i="15"/>
  <c r="BH76" i="15" s="1"/>
  <c r="JD96" i="14"/>
  <c r="AU77" i="15"/>
  <c r="BH77" i="15" s="1"/>
  <c r="JD95" i="14"/>
  <c r="AW78" i="15"/>
  <c r="BI78" i="15" s="1"/>
  <c r="AW85" i="15"/>
  <c r="BI85" i="15" s="1"/>
  <c r="JD93" i="14"/>
  <c r="AU78" i="15"/>
  <c r="BH78" i="15" s="1"/>
  <c r="AL87" i="14"/>
  <c r="AM87" i="14" s="1"/>
  <c r="AO87" i="14" s="1"/>
  <c r="AW81" i="15"/>
  <c r="BI81" i="15" s="1"/>
  <c r="AU81" i="15"/>
  <c r="BH81" i="15" s="1"/>
  <c r="JD99" i="14"/>
  <c r="AW83" i="15"/>
  <c r="BI83" i="15" s="1"/>
  <c r="AW82" i="15"/>
  <c r="BI82" i="15" s="1"/>
  <c r="IY88" i="14"/>
  <c r="JA88" i="14" s="1"/>
  <c r="JB88" i="14" s="1"/>
  <c r="AU79" i="15"/>
  <c r="BH79" i="15" s="1"/>
  <c r="AG87" i="14"/>
  <c r="AH87" i="14" s="1"/>
  <c r="AI87" i="14" s="1"/>
  <c r="BN87" i="14" s="1"/>
  <c r="BY87" i="14" s="1"/>
  <c r="P86" i="14"/>
  <c r="AE86" i="14" s="1"/>
  <c r="AV78" i="15"/>
  <c r="AX78" i="15"/>
  <c r="T87" i="14"/>
  <c r="IX87" i="14" s="1"/>
  <c r="Q88" i="14"/>
  <c r="N45" i="6"/>
  <c r="H85" i="14" s="1"/>
  <c r="G84" i="14"/>
  <c r="BG89" i="14" l="1"/>
  <c r="GQ89" i="14"/>
  <c r="GT89" i="14" s="1"/>
  <c r="AY90" i="14"/>
  <c r="F71" i="15"/>
  <c r="F69" i="38"/>
  <c r="AX80" i="15"/>
  <c r="AI78" i="38"/>
  <c r="AG78" i="38"/>
  <c r="AV77" i="15"/>
  <c r="AI75" i="38"/>
  <c r="AG75" i="38"/>
  <c r="AX79" i="15"/>
  <c r="AI77" i="38"/>
  <c r="AG77" i="38"/>
  <c r="AX84" i="15"/>
  <c r="AG82" i="38"/>
  <c r="AI82" i="38"/>
  <c r="AV83" i="15"/>
  <c r="AG81" i="38"/>
  <c r="AI81" i="38"/>
  <c r="AX76" i="15"/>
  <c r="AG74" i="38"/>
  <c r="AI74" i="38"/>
  <c r="J72" i="15"/>
  <c r="J70" i="38"/>
  <c r="AG83" i="38"/>
  <c r="AI83" i="38"/>
  <c r="AV81" i="15"/>
  <c r="AI79" i="38"/>
  <c r="AG79" i="38"/>
  <c r="G70" i="15"/>
  <c r="G68" i="38"/>
  <c r="GR87" i="14"/>
  <c r="GS87" i="14" s="1"/>
  <c r="GU87" i="14" s="1"/>
  <c r="H71" i="15"/>
  <c r="H69" i="38"/>
  <c r="AV82" i="15"/>
  <c r="AI80" i="38"/>
  <c r="AG80" i="38"/>
  <c r="AY89" i="14"/>
  <c r="AN89" i="14"/>
  <c r="AW89" i="14" s="1"/>
  <c r="BB89" i="14" s="1"/>
  <c r="BC89" i="14" s="1"/>
  <c r="BD89" i="14" s="1"/>
  <c r="BE89" i="14" s="1"/>
  <c r="BJ89" i="14" s="1"/>
  <c r="BK89" i="14" s="1"/>
  <c r="BL89" i="14" s="1"/>
  <c r="BM89" i="14" s="1"/>
  <c r="BQ89" i="14" s="1"/>
  <c r="BG90" i="14"/>
  <c r="AN90" i="14"/>
  <c r="AW90" i="14" s="1"/>
  <c r="AK88" i="14"/>
  <c r="AN88" i="14" s="1"/>
  <c r="S86" i="14"/>
  <c r="AF86" i="14" s="1"/>
  <c r="AG86" i="14" s="1"/>
  <c r="AH86" i="14" s="1"/>
  <c r="AI86" i="14" s="1"/>
  <c r="BN86" i="14" s="1"/>
  <c r="BY86" i="14" s="1"/>
  <c r="I72" i="15"/>
  <c r="P85" i="14"/>
  <c r="AE85" i="14" s="1"/>
  <c r="GO88" i="14"/>
  <c r="GP88" i="14"/>
  <c r="HU88" i="14" s="1"/>
  <c r="IM88" i="14" s="1"/>
  <c r="P43" i="6"/>
  <c r="F84" i="14"/>
  <c r="I85" i="14"/>
  <c r="Q44" i="6"/>
  <c r="J85" i="14"/>
  <c r="AX83" i="15"/>
  <c r="AX77" i="15"/>
  <c r="AL86" i="14"/>
  <c r="AX85" i="15"/>
  <c r="AV80" i="15"/>
  <c r="AX81" i="15"/>
  <c r="AV76" i="15"/>
  <c r="AV84" i="15"/>
  <c r="AX82" i="15"/>
  <c r="AV85" i="15"/>
  <c r="AV79" i="15"/>
  <c r="AJ87" i="14"/>
  <c r="BO87" i="14" s="1"/>
  <c r="CG87" i="14" s="1"/>
  <c r="Q87" i="14"/>
  <c r="IZ87" i="14"/>
  <c r="IY87" i="14"/>
  <c r="R88" i="14"/>
  <c r="GO87" i="14"/>
  <c r="GP87" i="14"/>
  <c r="HU87" i="14" s="1"/>
  <c r="IM87" i="14" s="1"/>
  <c r="T86" i="14"/>
  <c r="IX86" i="14" s="1"/>
  <c r="IZ86" i="14" s="1"/>
  <c r="G83" i="14"/>
  <c r="N44" i="6"/>
  <c r="H84" i="14" s="1"/>
  <c r="BB90" i="14" l="1"/>
  <c r="BC90" i="14" s="1"/>
  <c r="BD90" i="14" s="1"/>
  <c r="BE90" i="14" s="1"/>
  <c r="BJ90" i="14" s="1"/>
  <c r="BK90" i="14" s="1"/>
  <c r="BL90" i="14" s="1"/>
  <c r="BM90" i="14" s="1"/>
  <c r="BQ90" i="14" s="1"/>
  <c r="G69" i="15"/>
  <c r="G67" i="38"/>
  <c r="F70" i="15"/>
  <c r="F68" i="38"/>
  <c r="J71" i="15"/>
  <c r="J69" i="38"/>
  <c r="H70" i="15"/>
  <c r="H68" i="38"/>
  <c r="I71" i="15"/>
  <c r="I69" i="38"/>
  <c r="AY88" i="14"/>
  <c r="BG88" i="14"/>
  <c r="AQ88" i="14"/>
  <c r="AT88" i="14" s="1"/>
  <c r="AU88" i="14" s="1"/>
  <c r="AV88" i="14" s="1"/>
  <c r="AW88" i="14" s="1"/>
  <c r="BB88" i="14" s="1"/>
  <c r="BC88" i="14" s="1"/>
  <c r="BD88" i="14" s="1"/>
  <c r="BE88" i="14" s="1"/>
  <c r="BJ88" i="14" s="1"/>
  <c r="BK88" i="14" s="1"/>
  <c r="BL88" i="14" s="1"/>
  <c r="BM88" i="14" s="1"/>
  <c r="BQ88" i="14" s="1"/>
  <c r="AM86" i="14"/>
  <c r="AO86" i="14" s="1"/>
  <c r="S85" i="14"/>
  <c r="AF85" i="14" s="1"/>
  <c r="GR85" i="14" s="1"/>
  <c r="GS85" i="14" s="1"/>
  <c r="HT88" i="14"/>
  <c r="IE88" i="14" s="1"/>
  <c r="GQ88" i="14"/>
  <c r="GT88" i="14" s="1"/>
  <c r="AJ86" i="14"/>
  <c r="BO86" i="14" s="1"/>
  <c r="CG86" i="14" s="1"/>
  <c r="GM86" i="14"/>
  <c r="GN86" i="14" s="1"/>
  <c r="GR86" i="14"/>
  <c r="GS86" i="14" s="1"/>
  <c r="GU86" i="14" s="1"/>
  <c r="Q43" i="6"/>
  <c r="J84" i="14"/>
  <c r="I84" i="14"/>
  <c r="P42" i="6"/>
  <c r="F83" i="14"/>
  <c r="R87" i="14"/>
  <c r="IY86" i="14"/>
  <c r="JA86" i="14" s="1"/>
  <c r="JB86" i="14" s="1"/>
  <c r="AK87" i="14"/>
  <c r="AN87" i="14" s="1"/>
  <c r="Q86" i="14"/>
  <c r="P84" i="14"/>
  <c r="AE84" i="14" s="1"/>
  <c r="JA87" i="14"/>
  <c r="JB87" i="14" s="1"/>
  <c r="T85" i="14"/>
  <c r="IX85" i="14" s="1"/>
  <c r="IZ85" i="14" s="1"/>
  <c r="GQ87" i="14"/>
  <c r="GT87" i="14" s="1"/>
  <c r="HT87" i="14"/>
  <c r="IE87" i="14" s="1"/>
  <c r="G82" i="14"/>
  <c r="N43" i="6"/>
  <c r="H83" i="14" s="1"/>
  <c r="H69" i="15" l="1"/>
  <c r="H67" i="38"/>
  <c r="J70" i="15"/>
  <c r="J68" i="38"/>
  <c r="G68" i="15"/>
  <c r="G66" i="38"/>
  <c r="F69" i="15"/>
  <c r="F67" i="38"/>
  <c r="I70" i="15"/>
  <c r="I68" i="38"/>
  <c r="AG85" i="14"/>
  <c r="AH85" i="14" s="1"/>
  <c r="AJ85" i="14" s="1"/>
  <c r="BO85" i="14" s="1"/>
  <c r="CG85" i="14" s="1"/>
  <c r="AL85" i="14"/>
  <c r="AM85" i="14" s="1"/>
  <c r="AO85" i="14" s="1"/>
  <c r="GM85" i="14"/>
  <c r="GN85" i="14" s="1"/>
  <c r="GP85" i="14" s="1"/>
  <c r="HU85" i="14" s="1"/>
  <c r="IM85" i="14" s="1"/>
  <c r="S84" i="14"/>
  <c r="AF84" i="14" s="1"/>
  <c r="AG84" i="14" s="1"/>
  <c r="AH84" i="14" s="1"/>
  <c r="AK86" i="14"/>
  <c r="BG86" i="14" s="1"/>
  <c r="GO86" i="14"/>
  <c r="GP86" i="14"/>
  <c r="HU86" i="14" s="1"/>
  <c r="IM86" i="14" s="1"/>
  <c r="P41" i="6"/>
  <c r="F82" i="14"/>
  <c r="I83" i="14"/>
  <c r="I67" i="38" s="1"/>
  <c r="Q42" i="6"/>
  <c r="J83" i="14"/>
  <c r="R85" i="14"/>
  <c r="AY87" i="14"/>
  <c r="AQ87" i="14"/>
  <c r="AT87" i="14" s="1"/>
  <c r="AU87" i="14" s="1"/>
  <c r="AV87" i="14" s="1"/>
  <c r="AW87" i="14" s="1"/>
  <c r="BG87" i="14"/>
  <c r="GU85" i="14"/>
  <c r="R86" i="14"/>
  <c r="T84" i="14"/>
  <c r="IX84" i="14" s="1"/>
  <c r="IZ84" i="14" s="1"/>
  <c r="IY85" i="14"/>
  <c r="JA85" i="14" s="1"/>
  <c r="JB85" i="14" s="1"/>
  <c r="Q85" i="14"/>
  <c r="P83" i="14"/>
  <c r="AE83" i="14" s="1"/>
  <c r="N42" i="6"/>
  <c r="H82" i="14" s="1"/>
  <c r="G81" i="14"/>
  <c r="CK66" i="14" l="1"/>
  <c r="CK68" i="14"/>
  <c r="CK67" i="14"/>
  <c r="CK69" i="14"/>
  <c r="CK65" i="14"/>
  <c r="IQ69" i="14"/>
  <c r="IQ66" i="14"/>
  <c r="IQ67" i="14"/>
  <c r="IQ68" i="14"/>
  <c r="IQ65" i="14"/>
  <c r="AI85" i="14"/>
  <c r="BN85" i="14" s="1"/>
  <c r="BY85" i="14" s="1"/>
  <c r="AY86" i="14"/>
  <c r="AN86" i="14"/>
  <c r="AQ86" i="14"/>
  <c r="AT86" i="14" s="1"/>
  <c r="AU86" i="14" s="1"/>
  <c r="AV86" i="14" s="1"/>
  <c r="GR84" i="14"/>
  <c r="GS84" i="14" s="1"/>
  <c r="GU84" i="14" s="1"/>
  <c r="GM84" i="14"/>
  <c r="GN84" i="14" s="1"/>
  <c r="GP84" i="14" s="1"/>
  <c r="HU84" i="14" s="1"/>
  <c r="AL84" i="14"/>
  <c r="AM84" i="14" s="1"/>
  <c r="AO84" i="14" s="1"/>
  <c r="GO85" i="14"/>
  <c r="HT85" i="14" s="1"/>
  <c r="IE85" i="14" s="1"/>
  <c r="G67" i="15"/>
  <c r="G65" i="38"/>
  <c r="J69" i="15"/>
  <c r="J67" i="38"/>
  <c r="H68" i="15"/>
  <c r="H66" i="38"/>
  <c r="F68" i="15"/>
  <c r="F66" i="38"/>
  <c r="HT86" i="14"/>
  <c r="IE86" i="14" s="1"/>
  <c r="GQ86" i="14"/>
  <c r="GT86" i="14" s="1"/>
  <c r="S83" i="14"/>
  <c r="AF83" i="14" s="1"/>
  <c r="AL83" i="14" s="1"/>
  <c r="AM83" i="14" s="1"/>
  <c r="AO83" i="14" s="1"/>
  <c r="I69" i="15"/>
  <c r="Q41" i="6"/>
  <c r="J82" i="14"/>
  <c r="I82" i="14"/>
  <c r="I66" i="38" s="1"/>
  <c r="P40" i="6"/>
  <c r="F81" i="14"/>
  <c r="T83" i="14"/>
  <c r="IX83" i="14" s="1"/>
  <c r="IZ83" i="14" s="1"/>
  <c r="BB87" i="14"/>
  <c r="BC87" i="14" s="1"/>
  <c r="BD87" i="14" s="1"/>
  <c r="BE87" i="14" s="1"/>
  <c r="BJ87" i="14" s="1"/>
  <c r="BK87" i="14" s="1"/>
  <c r="BL87" i="14" s="1"/>
  <c r="BM87" i="14" s="1"/>
  <c r="BQ87" i="14" s="1"/>
  <c r="AI84" i="14"/>
  <c r="AJ84" i="14"/>
  <c r="BO84" i="14" s="1"/>
  <c r="Q84" i="14"/>
  <c r="P82" i="14"/>
  <c r="AE82" i="14" s="1"/>
  <c r="IY84" i="14"/>
  <c r="JA84" i="14" s="1"/>
  <c r="JB84" i="14" s="1"/>
  <c r="N41" i="6"/>
  <c r="H81" i="14" s="1"/>
  <c r="G80" i="14"/>
  <c r="CF84" i="14" l="1"/>
  <c r="CG84" i="14"/>
  <c r="IL84" i="14"/>
  <c r="IM84" i="14"/>
  <c r="CC66" i="14"/>
  <c r="CC65" i="14"/>
  <c r="CC68" i="14"/>
  <c r="CC67" i="14"/>
  <c r="CC69" i="14"/>
  <c r="II69" i="14"/>
  <c r="II67" i="14"/>
  <c r="II66" i="14"/>
  <c r="II65" i="14"/>
  <c r="II68" i="14"/>
  <c r="AK85" i="14"/>
  <c r="AQ85" i="14" s="1"/>
  <c r="AT85" i="14" s="1"/>
  <c r="AU85" i="14" s="1"/>
  <c r="AV85" i="14" s="1"/>
  <c r="GO84" i="14"/>
  <c r="HT84" i="14" s="1"/>
  <c r="AW86" i="14"/>
  <c r="BB86" i="14" s="1"/>
  <c r="BC86" i="14" s="1"/>
  <c r="BD86" i="14" s="1"/>
  <c r="BE86" i="14" s="1"/>
  <c r="BJ86" i="14" s="1"/>
  <c r="BK86" i="14" s="1"/>
  <c r="BL86" i="14" s="1"/>
  <c r="BM86" i="14" s="1"/>
  <c r="BQ86" i="14" s="1"/>
  <c r="GQ85" i="14"/>
  <c r="GT85" i="14" s="1"/>
  <c r="J68" i="15"/>
  <c r="J66" i="38"/>
  <c r="G66" i="15"/>
  <c r="G64" i="38"/>
  <c r="F67" i="15"/>
  <c r="F65" i="38"/>
  <c r="H67" i="15"/>
  <c r="H65" i="38"/>
  <c r="S82" i="14"/>
  <c r="AF82" i="14" s="1"/>
  <c r="AG82" i="14" s="1"/>
  <c r="AH82" i="14" s="1"/>
  <c r="AJ82" i="14" s="1"/>
  <c r="BO82" i="14" s="1"/>
  <c r="I68" i="15"/>
  <c r="GM83" i="14"/>
  <c r="GN83" i="14" s="1"/>
  <c r="GR83" i="14"/>
  <c r="GS83" i="14" s="1"/>
  <c r="GU83" i="14" s="1"/>
  <c r="AG83" i="14"/>
  <c r="AH83" i="14" s="1"/>
  <c r="Q40" i="6"/>
  <c r="J81" i="14"/>
  <c r="I81" i="14"/>
  <c r="I65" i="38" s="1"/>
  <c r="P39" i="6"/>
  <c r="F80" i="14"/>
  <c r="IY83" i="14"/>
  <c r="JA83" i="14" s="1"/>
  <c r="JB83" i="14" s="1"/>
  <c r="R84" i="14"/>
  <c r="BN84" i="14"/>
  <c r="AK84" i="14"/>
  <c r="T82" i="14"/>
  <c r="IX82" i="14" s="1"/>
  <c r="IZ82" i="14" s="1"/>
  <c r="P81" i="14"/>
  <c r="AE81" i="14" s="1"/>
  <c r="Q83" i="14"/>
  <c r="N40" i="6"/>
  <c r="H80" i="14" s="1"/>
  <c r="G79" i="14"/>
  <c r="GQ84" i="14" l="1"/>
  <c r="GT84" i="14" s="1"/>
  <c r="ID84" i="14"/>
  <c r="IE84" i="14"/>
  <c r="BX84" i="14"/>
  <c r="BY84" i="14"/>
  <c r="CF82" i="14"/>
  <c r="CG82" i="14"/>
  <c r="AN85" i="14"/>
  <c r="AW85" i="14" s="1"/>
  <c r="BB85" i="14" s="1"/>
  <c r="BC85" i="14" s="1"/>
  <c r="BD85" i="14" s="1"/>
  <c r="BE85" i="14" s="1"/>
  <c r="BJ85" i="14" s="1"/>
  <c r="BK85" i="14" s="1"/>
  <c r="BL85" i="14" s="1"/>
  <c r="BM85" i="14" s="1"/>
  <c r="BQ85" i="14" s="1"/>
  <c r="BG85" i="14"/>
  <c r="AY85" i="14"/>
  <c r="F66" i="15"/>
  <c r="F64" i="38"/>
  <c r="H66" i="15"/>
  <c r="H64" i="38"/>
  <c r="G65" i="15"/>
  <c r="G63" i="38"/>
  <c r="J67" i="15"/>
  <c r="J65" i="38"/>
  <c r="GM82" i="14"/>
  <c r="GN82" i="14" s="1"/>
  <c r="GP82" i="14" s="1"/>
  <c r="HU82" i="14" s="1"/>
  <c r="GR82" i="14"/>
  <c r="GS82" i="14" s="1"/>
  <c r="GU82" i="14" s="1"/>
  <c r="AL82" i="14"/>
  <c r="AM82" i="14" s="1"/>
  <c r="AO82" i="14" s="1"/>
  <c r="GP83" i="14"/>
  <c r="HU83" i="14" s="1"/>
  <c r="GO83" i="14"/>
  <c r="S81" i="14"/>
  <c r="AF81" i="14" s="1"/>
  <c r="AL81" i="14" s="1"/>
  <c r="AM81" i="14" s="1"/>
  <c r="AO81" i="14" s="1"/>
  <c r="I67" i="15"/>
  <c r="AI83" i="14"/>
  <c r="AJ83" i="14"/>
  <c r="BO83" i="14" s="1"/>
  <c r="P38" i="6"/>
  <c r="F79" i="14"/>
  <c r="I80" i="14"/>
  <c r="I64" i="38" s="1"/>
  <c r="Q39" i="6"/>
  <c r="J80" i="14"/>
  <c r="AI82" i="14"/>
  <c r="BN82" i="14" s="1"/>
  <c r="R83" i="14"/>
  <c r="Q82" i="14"/>
  <c r="P80" i="14"/>
  <c r="AE80" i="14" s="1"/>
  <c r="IY82" i="14"/>
  <c r="JA82" i="14" s="1"/>
  <c r="JB82" i="14" s="1"/>
  <c r="T81" i="14"/>
  <c r="IX81" i="14" s="1"/>
  <c r="IZ81" i="14" s="1"/>
  <c r="BG84" i="14"/>
  <c r="AQ84" i="14"/>
  <c r="AT84" i="14" s="1"/>
  <c r="AU84" i="14" s="1"/>
  <c r="AV84" i="14" s="1"/>
  <c r="AN84" i="14"/>
  <c r="AY84" i="14"/>
  <c r="N39" i="6"/>
  <c r="H79" i="14" s="1"/>
  <c r="G78" i="14"/>
  <c r="BX82" i="14" l="1"/>
  <c r="BY82" i="14"/>
  <c r="IL83" i="14"/>
  <c r="IM83" i="14"/>
  <c r="IL82" i="14"/>
  <c r="IM82" i="14"/>
  <c r="CF83" i="14"/>
  <c r="CG83" i="14"/>
  <c r="BU67" i="14"/>
  <c r="BU66" i="14"/>
  <c r="BU69" i="14"/>
  <c r="BU68" i="14"/>
  <c r="BU65" i="14"/>
  <c r="G64" i="15"/>
  <c r="G62" i="38"/>
  <c r="F65" i="15"/>
  <c r="F63" i="38"/>
  <c r="H65" i="15"/>
  <c r="H63" i="38"/>
  <c r="J66" i="15"/>
  <c r="J64" i="38"/>
  <c r="GO82" i="14"/>
  <c r="GQ82" i="14" s="1"/>
  <c r="GT82" i="14" s="1"/>
  <c r="AG81" i="14"/>
  <c r="AH81" i="14" s="1"/>
  <c r="AJ81" i="14" s="1"/>
  <c r="BO81" i="14" s="1"/>
  <c r="BN83" i="14"/>
  <c r="AK83" i="14"/>
  <c r="S80" i="14"/>
  <c r="AF80" i="14" s="1"/>
  <c r="GM80" i="14" s="1"/>
  <c r="GN80" i="14" s="1"/>
  <c r="GP80" i="14" s="1"/>
  <c r="HU80" i="14" s="1"/>
  <c r="I66" i="15"/>
  <c r="GM81" i="14"/>
  <c r="GN81" i="14" s="1"/>
  <c r="GR81" i="14"/>
  <c r="GS81" i="14" s="1"/>
  <c r="GU81" i="14" s="1"/>
  <c r="GQ83" i="14"/>
  <c r="GT83" i="14" s="1"/>
  <c r="HT83" i="14"/>
  <c r="Q38" i="6"/>
  <c r="J79" i="14"/>
  <c r="I79" i="14"/>
  <c r="I63" i="38" s="1"/>
  <c r="P37" i="6"/>
  <c r="F78" i="14"/>
  <c r="R82" i="14"/>
  <c r="IY81" i="14"/>
  <c r="JA81" i="14" s="1"/>
  <c r="JB81" i="14" s="1"/>
  <c r="AK82" i="14"/>
  <c r="AN82" i="14" s="1"/>
  <c r="AW84" i="14"/>
  <c r="BB84" i="14" s="1"/>
  <c r="BC84" i="14" s="1"/>
  <c r="BD84" i="14" s="1"/>
  <c r="BE84" i="14" s="1"/>
  <c r="BJ84" i="14" s="1"/>
  <c r="BK84" i="14" s="1"/>
  <c r="BL84" i="14" s="1"/>
  <c r="BM84" i="14" s="1"/>
  <c r="AL80" i="14"/>
  <c r="AM80" i="14" s="1"/>
  <c r="AO80" i="14" s="1"/>
  <c r="AG80" i="14"/>
  <c r="AH80" i="14" s="1"/>
  <c r="AI80" i="14" s="1"/>
  <c r="BN80" i="14" s="1"/>
  <c r="Q81" i="14"/>
  <c r="P79" i="14"/>
  <c r="AE79" i="14" s="1"/>
  <c r="T80" i="14"/>
  <c r="IX80" i="14" s="1"/>
  <c r="IZ80" i="14" s="1"/>
  <c r="G77" i="14"/>
  <c r="N38" i="6"/>
  <c r="H78" i="14" s="1"/>
  <c r="AI81" i="14" l="1"/>
  <c r="BN81" i="14" s="1"/>
  <c r="HT82" i="14"/>
  <c r="CF81" i="14"/>
  <c r="CG81" i="14"/>
  <c r="BP84" i="14"/>
  <c r="BQ84" i="14"/>
  <c r="ID83" i="14"/>
  <c r="IE83" i="14"/>
  <c r="BX81" i="14"/>
  <c r="BY81" i="14"/>
  <c r="BX83" i="14"/>
  <c r="BY83" i="14"/>
  <c r="ID82" i="14"/>
  <c r="IE82" i="14"/>
  <c r="BX80" i="14"/>
  <c r="BY80" i="14"/>
  <c r="IL80" i="14"/>
  <c r="IM80" i="14"/>
  <c r="F64" i="15"/>
  <c r="F62" i="38"/>
  <c r="J65" i="15"/>
  <c r="J63" i="38"/>
  <c r="H64" i="15"/>
  <c r="H62" i="38"/>
  <c r="G63" i="15"/>
  <c r="G61" i="38"/>
  <c r="GR80" i="14"/>
  <c r="GS80" i="14" s="1"/>
  <c r="GU80" i="14" s="1"/>
  <c r="GP81" i="14"/>
  <c r="HU81" i="14" s="1"/>
  <c r="GO81" i="14"/>
  <c r="S79" i="14"/>
  <c r="AF79" i="14" s="1"/>
  <c r="GM79" i="14" s="1"/>
  <c r="GN79" i="14" s="1"/>
  <c r="GP79" i="14" s="1"/>
  <c r="HU79" i="14" s="1"/>
  <c r="IL79" i="14" s="1"/>
  <c r="I65" i="15"/>
  <c r="BG83" i="14"/>
  <c r="AQ83" i="14"/>
  <c r="AT83" i="14" s="1"/>
  <c r="AU83" i="14" s="1"/>
  <c r="AV83" i="14" s="1"/>
  <c r="AN83" i="14"/>
  <c r="AY83" i="14"/>
  <c r="I78" i="14"/>
  <c r="I62" i="38" s="1"/>
  <c r="P36" i="6"/>
  <c r="F77" i="14"/>
  <c r="Q37" i="6"/>
  <c r="J78" i="14"/>
  <c r="GO80" i="14"/>
  <c r="GQ80" i="14" s="1"/>
  <c r="GT80" i="14" s="1"/>
  <c r="AJ80" i="14"/>
  <c r="BO80" i="14" s="1"/>
  <c r="BG82" i="14"/>
  <c r="AY82" i="14"/>
  <c r="AQ82" i="14"/>
  <c r="AT82" i="14" s="1"/>
  <c r="AU82" i="14" s="1"/>
  <c r="AV82" i="14" s="1"/>
  <c r="AW82" i="14" s="1"/>
  <c r="IY80" i="14"/>
  <c r="JA80" i="14" s="1"/>
  <c r="JC80" i="14" s="1"/>
  <c r="AK81" i="14"/>
  <c r="AN81" i="14" s="1"/>
  <c r="P78" i="14"/>
  <c r="AE78" i="14" s="1"/>
  <c r="T79" i="14"/>
  <c r="IX79" i="14" s="1"/>
  <c r="IZ79" i="14" s="1"/>
  <c r="R81" i="14"/>
  <c r="Q80" i="14"/>
  <c r="G76" i="14"/>
  <c r="N37" i="6"/>
  <c r="H77" i="14" s="1"/>
  <c r="CC71" i="14" l="1"/>
  <c r="CC79" i="14"/>
  <c r="CC75" i="14"/>
  <c r="CC76" i="14"/>
  <c r="CC72" i="14"/>
  <c r="CC73" i="14"/>
  <c r="CC77" i="14"/>
  <c r="CC70" i="14"/>
  <c r="CC74" i="14"/>
  <c r="CC78" i="14"/>
  <c r="CC119" i="14"/>
  <c r="CC118" i="14"/>
  <c r="CC117" i="14"/>
  <c r="CC111" i="14"/>
  <c r="CC116" i="14"/>
  <c r="CC115" i="14"/>
  <c r="CC113" i="14"/>
  <c r="CC112" i="14"/>
  <c r="CC114" i="14"/>
  <c r="CC110" i="14"/>
  <c r="CC82" i="14"/>
  <c r="CC108" i="14"/>
  <c r="CC103" i="14"/>
  <c r="CC105" i="14"/>
  <c r="CC101" i="14"/>
  <c r="CC104" i="14"/>
  <c r="CC106" i="14"/>
  <c r="CC107" i="14"/>
  <c r="CC100" i="14"/>
  <c r="CC109" i="14"/>
  <c r="CC102" i="14"/>
  <c r="CC83" i="14"/>
  <c r="IL81" i="14"/>
  <c r="IM81" i="14"/>
  <c r="IQ99" i="14" s="1"/>
  <c r="CF80" i="14"/>
  <c r="CG80" i="14"/>
  <c r="CC95" i="14"/>
  <c r="CC93" i="14"/>
  <c r="CC92" i="14"/>
  <c r="CC85" i="14"/>
  <c r="CC94" i="14"/>
  <c r="CC98" i="14"/>
  <c r="CC90" i="14"/>
  <c r="CC97" i="14"/>
  <c r="CC96" i="14"/>
  <c r="CC99" i="14"/>
  <c r="CC91" i="14"/>
  <c r="CC88" i="14"/>
  <c r="CC87" i="14"/>
  <c r="CC86" i="14"/>
  <c r="CC89" i="14"/>
  <c r="CC80" i="14"/>
  <c r="CC84" i="14"/>
  <c r="CC81" i="14"/>
  <c r="AF64" i="38"/>
  <c r="AH64" i="38"/>
  <c r="F63" i="15"/>
  <c r="F61" i="38"/>
  <c r="H63" i="15"/>
  <c r="H61" i="38"/>
  <c r="G62" i="15"/>
  <c r="G60" i="38"/>
  <c r="J64" i="15"/>
  <c r="J62" i="38"/>
  <c r="AG79" i="14"/>
  <c r="AH79" i="14" s="1"/>
  <c r="AI79" i="14" s="1"/>
  <c r="BN79" i="14" s="1"/>
  <c r="BX79" i="14" s="1"/>
  <c r="GR79" i="14"/>
  <c r="GS79" i="14" s="1"/>
  <c r="GU79" i="14" s="1"/>
  <c r="AL79" i="14"/>
  <c r="AM79" i="14" s="1"/>
  <c r="AO79" i="14" s="1"/>
  <c r="AW83" i="14"/>
  <c r="BB83" i="14" s="1"/>
  <c r="BC83" i="14" s="1"/>
  <c r="BD83" i="14" s="1"/>
  <c r="BE83" i="14" s="1"/>
  <c r="BJ83" i="14" s="1"/>
  <c r="BK83" i="14" s="1"/>
  <c r="BL83" i="14" s="1"/>
  <c r="BM83" i="14" s="1"/>
  <c r="S78" i="14"/>
  <c r="AF78" i="14" s="1"/>
  <c r="AG78" i="14" s="1"/>
  <c r="AH78" i="14" s="1"/>
  <c r="I64" i="15"/>
  <c r="HT81" i="14"/>
  <c r="GQ81" i="14"/>
  <c r="GT81" i="14" s="1"/>
  <c r="Q36" i="6"/>
  <c r="J77" i="14"/>
  <c r="P35" i="6"/>
  <c r="F76" i="14"/>
  <c r="HT80" i="14"/>
  <c r="I77" i="14"/>
  <c r="GO79" i="14"/>
  <c r="HT79" i="14" s="1"/>
  <c r="ID79" i="14" s="1"/>
  <c r="IY79" i="14"/>
  <c r="JA79" i="14" s="1"/>
  <c r="JB79" i="14" s="1"/>
  <c r="JC85" i="14"/>
  <c r="JC88" i="14"/>
  <c r="JC84" i="14"/>
  <c r="JC81" i="14"/>
  <c r="JC89" i="14"/>
  <c r="JB80" i="14"/>
  <c r="JD83" i="14" s="1"/>
  <c r="JC82" i="14"/>
  <c r="JC86" i="14"/>
  <c r="JC83" i="14"/>
  <c r="JC87" i="14"/>
  <c r="BB82" i="14"/>
  <c r="BC82" i="14" s="1"/>
  <c r="BD82" i="14" s="1"/>
  <c r="BE82" i="14" s="1"/>
  <c r="BJ82" i="14" s="1"/>
  <c r="BK82" i="14" s="1"/>
  <c r="BL82" i="14" s="1"/>
  <c r="BM82" i="14" s="1"/>
  <c r="AK80" i="14"/>
  <c r="BG80" i="14" s="1"/>
  <c r="BG81" i="14"/>
  <c r="AY81" i="14"/>
  <c r="AQ81" i="14"/>
  <c r="AT81" i="14" s="1"/>
  <c r="AU81" i="14" s="1"/>
  <c r="AV81" i="14" s="1"/>
  <c r="AW81" i="14" s="1"/>
  <c r="P77" i="14"/>
  <c r="AE77" i="14" s="1"/>
  <c r="R80" i="14"/>
  <c r="Q79" i="14"/>
  <c r="T78" i="14"/>
  <c r="IX78" i="14" s="1"/>
  <c r="IZ78" i="14" s="1"/>
  <c r="AU66" i="15"/>
  <c r="BH66" i="15" s="1"/>
  <c r="AW66" i="15"/>
  <c r="BI66" i="15" s="1"/>
  <c r="G75" i="14"/>
  <c r="N36" i="6"/>
  <c r="H76" i="14" s="1"/>
  <c r="IQ110" i="14" l="1"/>
  <c r="IQ115" i="14"/>
  <c r="IQ112" i="14"/>
  <c r="IQ111" i="14"/>
  <c r="IQ117" i="14"/>
  <c r="IQ76" i="14"/>
  <c r="IQ78" i="14"/>
  <c r="IQ77" i="14"/>
  <c r="IQ79" i="14"/>
  <c r="IQ75" i="14"/>
  <c r="IQ74" i="14"/>
  <c r="CK76" i="14"/>
  <c r="CK75" i="14"/>
  <c r="CK73" i="14"/>
  <c r="CK79" i="14"/>
  <c r="CK70" i="14"/>
  <c r="CK78" i="14"/>
  <c r="CK77" i="14"/>
  <c r="CK71" i="14"/>
  <c r="CK72" i="14"/>
  <c r="CK74" i="14"/>
  <c r="IQ72" i="14"/>
  <c r="IQ71" i="14"/>
  <c r="IQ70" i="14"/>
  <c r="IQ73" i="14"/>
  <c r="IQ106" i="14"/>
  <c r="CK118" i="14"/>
  <c r="CK119" i="14"/>
  <c r="CK117" i="14"/>
  <c r="CK115" i="14"/>
  <c r="CK111" i="14"/>
  <c r="CK116" i="14"/>
  <c r="CK114" i="14"/>
  <c r="CK113" i="14"/>
  <c r="CK112" i="14"/>
  <c r="CK110" i="14"/>
  <c r="IQ116" i="14"/>
  <c r="IQ118" i="14"/>
  <c r="IQ114" i="14"/>
  <c r="IQ119" i="14"/>
  <c r="IQ113" i="14"/>
  <c r="IQ102" i="14"/>
  <c r="IQ105" i="14"/>
  <c r="IQ109" i="14"/>
  <c r="IQ108" i="14"/>
  <c r="IQ100" i="14"/>
  <c r="IQ104" i="14"/>
  <c r="IQ101" i="14"/>
  <c r="IQ95" i="14"/>
  <c r="CK81" i="14"/>
  <c r="CK103" i="14"/>
  <c r="CK100" i="14"/>
  <c r="CK102" i="14"/>
  <c r="CK107" i="14"/>
  <c r="CK109" i="14"/>
  <c r="CK106" i="14"/>
  <c r="CK105" i="14"/>
  <c r="CK108" i="14"/>
  <c r="CK101" i="14"/>
  <c r="CK104" i="14"/>
  <c r="IQ103" i="14"/>
  <c r="IQ107" i="14"/>
  <c r="IQ94" i="14"/>
  <c r="IQ88" i="14"/>
  <c r="IQ82" i="14"/>
  <c r="IQ91" i="14"/>
  <c r="IQ84" i="14"/>
  <c r="IQ90" i="14"/>
  <c r="IQ96" i="14"/>
  <c r="IQ89" i="14"/>
  <c r="IQ80" i="14"/>
  <c r="IQ98" i="14"/>
  <c r="IQ93" i="14"/>
  <c r="IQ92" i="14"/>
  <c r="IQ97" i="14"/>
  <c r="IQ86" i="14"/>
  <c r="IQ87" i="14"/>
  <c r="F8" i="16"/>
  <c r="F15" i="16" s="1"/>
  <c r="IQ85" i="14"/>
  <c r="ID81" i="14"/>
  <c r="IE81" i="14"/>
  <c r="ID80" i="14"/>
  <c r="IE80" i="14"/>
  <c r="CK88" i="14"/>
  <c r="CK87" i="14"/>
  <c r="CK96" i="14"/>
  <c r="CK94" i="14"/>
  <c r="CK89" i="14"/>
  <c r="CK97" i="14"/>
  <c r="CK90" i="14"/>
  <c r="CK98" i="14"/>
  <c r="CK86" i="14"/>
  <c r="CK85" i="14"/>
  <c r="CK91" i="14"/>
  <c r="CK99" i="14"/>
  <c r="CK93" i="14"/>
  <c r="CK80" i="14"/>
  <c r="CK92" i="14"/>
  <c r="CK95" i="14"/>
  <c r="CK84" i="14"/>
  <c r="CK82" i="14"/>
  <c r="CK83" i="14"/>
  <c r="BP83" i="14"/>
  <c r="BQ83" i="14"/>
  <c r="IQ81" i="14"/>
  <c r="IQ83" i="14"/>
  <c r="BP82" i="14"/>
  <c r="BQ82" i="14"/>
  <c r="AJ79" i="14"/>
  <c r="BO79" i="14" s="1"/>
  <c r="CF79" i="14" s="1"/>
  <c r="AL78" i="14"/>
  <c r="AM78" i="14" s="1"/>
  <c r="AO78" i="14" s="1"/>
  <c r="AF65" i="38"/>
  <c r="AH65" i="38"/>
  <c r="AF68" i="38"/>
  <c r="AH68" i="38"/>
  <c r="AH72" i="38"/>
  <c r="AF72" i="38"/>
  <c r="H62" i="15"/>
  <c r="H60" i="38"/>
  <c r="G61" i="15"/>
  <c r="G59" i="38"/>
  <c r="AW69" i="15"/>
  <c r="BI69" i="15" s="1"/>
  <c r="AF67" i="38"/>
  <c r="AH67" i="38"/>
  <c r="AF69" i="38"/>
  <c r="AH69" i="38"/>
  <c r="J63" i="15"/>
  <c r="J61" i="38"/>
  <c r="AW72" i="15"/>
  <c r="BI72" i="15" s="1"/>
  <c r="AH70" i="38"/>
  <c r="AF70" i="38"/>
  <c r="F62" i="15"/>
  <c r="F60" i="38"/>
  <c r="AU73" i="15"/>
  <c r="BH73" i="15" s="1"/>
  <c r="AH71" i="38"/>
  <c r="AF71" i="38"/>
  <c r="AI67" i="38"/>
  <c r="AG67" i="38"/>
  <c r="I63" i="15"/>
  <c r="I61" i="38"/>
  <c r="AW68" i="15"/>
  <c r="BI68" i="15" s="1"/>
  <c r="AH66" i="38"/>
  <c r="AF66" i="38"/>
  <c r="AH73" i="38"/>
  <c r="AF73" i="38"/>
  <c r="S77" i="14"/>
  <c r="AF77" i="14" s="1"/>
  <c r="AL77" i="14" s="1"/>
  <c r="AM77" i="14" s="1"/>
  <c r="AO77" i="14" s="1"/>
  <c r="GR78" i="14"/>
  <c r="GS78" i="14" s="1"/>
  <c r="GU78" i="14" s="1"/>
  <c r="GM78" i="14"/>
  <c r="GN78" i="14" s="1"/>
  <c r="I76" i="14"/>
  <c r="S76" i="14" s="1"/>
  <c r="AF76" i="14" s="1"/>
  <c r="P34" i="6"/>
  <c r="F75" i="14"/>
  <c r="Q35" i="6"/>
  <c r="J76" i="14"/>
  <c r="T76" i="14" s="1"/>
  <c r="IX76" i="14" s="1"/>
  <c r="IZ76" i="14" s="1"/>
  <c r="GQ79" i="14"/>
  <c r="GT79" i="14" s="1"/>
  <c r="R79" i="14"/>
  <c r="AW67" i="15"/>
  <c r="BI67" i="15" s="1"/>
  <c r="AU67" i="15"/>
  <c r="BH67" i="15" s="1"/>
  <c r="AU75" i="15"/>
  <c r="BH75" i="15" s="1"/>
  <c r="AW75" i="15"/>
  <c r="BI75" i="15" s="1"/>
  <c r="AU71" i="15"/>
  <c r="BH71" i="15" s="1"/>
  <c r="JD80" i="14"/>
  <c r="AW71" i="15"/>
  <c r="BI71" i="15" s="1"/>
  <c r="AU70" i="15"/>
  <c r="BH70" i="15" s="1"/>
  <c r="AW70" i="15"/>
  <c r="BI70" i="15" s="1"/>
  <c r="AW74" i="15"/>
  <c r="BI74" i="15" s="1"/>
  <c r="AU74" i="15"/>
  <c r="BH74" i="15" s="1"/>
  <c r="AU69" i="15"/>
  <c r="BH69" i="15" s="1"/>
  <c r="JD84" i="14"/>
  <c r="JD85" i="14"/>
  <c r="JD88" i="14"/>
  <c r="JD82" i="14"/>
  <c r="JD86" i="14"/>
  <c r="JD81" i="14"/>
  <c r="JD87" i="14"/>
  <c r="JD89" i="14"/>
  <c r="AU72" i="15"/>
  <c r="BH72" i="15" s="1"/>
  <c r="AU68" i="15"/>
  <c r="BH68" i="15" s="1"/>
  <c r="AW73" i="15"/>
  <c r="BI73" i="15" s="1"/>
  <c r="AQ80" i="14"/>
  <c r="AT80" i="14" s="1"/>
  <c r="AU80" i="14" s="1"/>
  <c r="AV80" i="14" s="1"/>
  <c r="AY80" i="14"/>
  <c r="AN80" i="14"/>
  <c r="BB81" i="14"/>
  <c r="BC81" i="14" s="1"/>
  <c r="BD81" i="14" s="1"/>
  <c r="BE81" i="14" s="1"/>
  <c r="BJ81" i="14" s="1"/>
  <c r="BK81" i="14" s="1"/>
  <c r="BL81" i="14" s="1"/>
  <c r="BM81" i="14" s="1"/>
  <c r="IY78" i="14"/>
  <c r="JA78" i="14" s="1"/>
  <c r="JB78" i="14" s="1"/>
  <c r="T77" i="14"/>
  <c r="IX77" i="14" s="1"/>
  <c r="IZ77" i="14" s="1"/>
  <c r="P76" i="14"/>
  <c r="AE76" i="14" s="1"/>
  <c r="AI78" i="14"/>
  <c r="AJ78" i="14"/>
  <c r="BO78" i="14" s="1"/>
  <c r="CF78" i="14" s="1"/>
  <c r="Q78" i="14"/>
  <c r="AV69" i="15"/>
  <c r="AX69" i="15"/>
  <c r="N35" i="6"/>
  <c r="H75" i="14" s="1"/>
  <c r="G74" i="14"/>
  <c r="II78" i="14" l="1"/>
  <c r="II75" i="14"/>
  <c r="II70" i="14"/>
  <c r="II79" i="14"/>
  <c r="II74" i="14"/>
  <c r="II73" i="14"/>
  <c r="II76" i="14"/>
  <c r="II72" i="14"/>
  <c r="II71" i="14"/>
  <c r="II77" i="14"/>
  <c r="II118" i="14"/>
  <c r="II119" i="14"/>
  <c r="II113" i="14"/>
  <c r="II114" i="14"/>
  <c r="II117" i="14"/>
  <c r="II110" i="14"/>
  <c r="II115" i="14"/>
  <c r="II112" i="14"/>
  <c r="II116" i="14"/>
  <c r="II111" i="14"/>
  <c r="II106" i="14"/>
  <c r="II109" i="14"/>
  <c r="II105" i="14"/>
  <c r="II101" i="14"/>
  <c r="II107" i="14"/>
  <c r="II103" i="14"/>
  <c r="II104" i="14"/>
  <c r="II102" i="14"/>
  <c r="II100" i="14"/>
  <c r="II108" i="14"/>
  <c r="U33" i="1"/>
  <c r="U33" i="46"/>
  <c r="AK79" i="14"/>
  <c r="AY79" i="14" s="1"/>
  <c r="G55" i="16"/>
  <c r="V41" i="46" s="1"/>
  <c r="II87" i="14"/>
  <c r="II94" i="14"/>
  <c r="II97" i="14"/>
  <c r="II91" i="14"/>
  <c r="II90" i="14"/>
  <c r="II89" i="14"/>
  <c r="II92" i="14"/>
  <c r="II95" i="14"/>
  <c r="II86" i="14"/>
  <c r="II93" i="14"/>
  <c r="II88" i="14"/>
  <c r="II99" i="14"/>
  <c r="II96" i="14"/>
  <c r="II98" i="14"/>
  <c r="II85" i="14"/>
  <c r="II80" i="14"/>
  <c r="II84" i="14"/>
  <c r="II82" i="14"/>
  <c r="II83" i="14"/>
  <c r="G8" i="16"/>
  <c r="BP81" i="14"/>
  <c r="BQ81" i="14"/>
  <c r="II81" i="14"/>
  <c r="AG77" i="14"/>
  <c r="AH77" i="14" s="1"/>
  <c r="AJ77" i="14" s="1"/>
  <c r="BO77" i="14" s="1"/>
  <c r="CF77" i="14" s="1"/>
  <c r="GR77" i="14"/>
  <c r="GS77" i="14" s="1"/>
  <c r="GU77" i="14" s="1"/>
  <c r="GM77" i="14"/>
  <c r="GN77" i="14" s="1"/>
  <c r="GP77" i="14" s="1"/>
  <c r="HU77" i="14" s="1"/>
  <c r="IL77" i="14" s="1"/>
  <c r="AX72" i="15"/>
  <c r="AI70" i="38"/>
  <c r="AG70" i="38"/>
  <c r="I62" i="15"/>
  <c r="I60" i="38"/>
  <c r="AX67" i="15"/>
  <c r="AI65" i="38"/>
  <c r="AG65" i="38"/>
  <c r="AX68" i="15"/>
  <c r="AG66" i="38"/>
  <c r="AI66" i="38"/>
  <c r="H61" i="15"/>
  <c r="H59" i="38"/>
  <c r="AV74" i="15"/>
  <c r="AI72" i="38"/>
  <c r="AG72" i="38"/>
  <c r="AI69" i="38"/>
  <c r="AG69" i="38"/>
  <c r="AX66" i="15"/>
  <c r="AG64" i="38"/>
  <c r="AI64" i="38"/>
  <c r="AG68" i="38"/>
  <c r="AI68" i="38"/>
  <c r="J62" i="15"/>
  <c r="J60" i="38"/>
  <c r="AV75" i="15"/>
  <c r="AI73" i="38"/>
  <c r="AG73" i="38"/>
  <c r="G60" i="15"/>
  <c r="G58" i="38"/>
  <c r="AI71" i="38"/>
  <c r="AG71" i="38"/>
  <c r="F61" i="15"/>
  <c r="F59" i="38"/>
  <c r="GO78" i="14"/>
  <c r="GP78" i="14"/>
  <c r="HU78" i="14" s="1"/>
  <c r="IL78" i="14" s="1"/>
  <c r="Q34" i="6"/>
  <c r="J75" i="14"/>
  <c r="P33" i="6"/>
  <c r="F74" i="14"/>
  <c r="F58" i="38" s="1"/>
  <c r="I75" i="14"/>
  <c r="R78" i="14"/>
  <c r="AX75" i="15"/>
  <c r="AX70" i="15"/>
  <c r="AX73" i="15"/>
  <c r="AV66" i="15"/>
  <c r="AV71" i="15"/>
  <c r="AX71" i="15"/>
  <c r="AX74" i="15"/>
  <c r="AV68" i="15"/>
  <c r="AV73" i="15"/>
  <c r="AV70" i="15"/>
  <c r="IY77" i="14"/>
  <c r="JA77" i="14" s="1"/>
  <c r="JB77" i="14" s="1"/>
  <c r="AV67" i="15"/>
  <c r="AV72" i="15"/>
  <c r="AQ79" i="14"/>
  <c r="AT79" i="14" s="1"/>
  <c r="AU79" i="14" s="1"/>
  <c r="AV79" i="14" s="1"/>
  <c r="BG79" i="14"/>
  <c r="AN79" i="14"/>
  <c r="AW80" i="14"/>
  <c r="BB80" i="14" s="1"/>
  <c r="BC80" i="14" s="1"/>
  <c r="BD80" i="14" s="1"/>
  <c r="BE80" i="14" s="1"/>
  <c r="BJ80" i="14" s="1"/>
  <c r="BK80" i="14" s="1"/>
  <c r="BL80" i="14" s="1"/>
  <c r="BM80" i="14" s="1"/>
  <c r="IY76" i="14"/>
  <c r="JA76" i="14" s="1"/>
  <c r="JB76" i="14" s="1"/>
  <c r="AG76" i="14"/>
  <c r="AH76" i="14" s="1"/>
  <c r="AI76" i="14" s="1"/>
  <c r="AL76" i="14"/>
  <c r="AM76" i="14" s="1"/>
  <c r="AO76" i="14" s="1"/>
  <c r="P75" i="14"/>
  <c r="AE75" i="14" s="1"/>
  <c r="Q77" i="14"/>
  <c r="BN78" i="14"/>
  <c r="BX78" i="14" s="1"/>
  <c r="AK78" i="14"/>
  <c r="GR76" i="14"/>
  <c r="GS76" i="14" s="1"/>
  <c r="GU76" i="14" s="1"/>
  <c r="GM76" i="14"/>
  <c r="GN76" i="14" s="1"/>
  <c r="G73" i="14"/>
  <c r="N34" i="6"/>
  <c r="H74" i="14" s="1"/>
  <c r="AI77" i="14" l="1"/>
  <c r="BN77" i="14" s="1"/>
  <c r="BX77" i="14" s="1"/>
  <c r="V41" i="1"/>
  <c r="G15" i="16"/>
  <c r="V33" i="1"/>
  <c r="V33" i="46"/>
  <c r="F55" i="16"/>
  <c r="GO77" i="14"/>
  <c r="HT77" i="14" s="1"/>
  <c r="ID77" i="14" s="1"/>
  <c r="BP80" i="14"/>
  <c r="BQ80" i="14"/>
  <c r="J61" i="15"/>
  <c r="J59" i="38"/>
  <c r="G59" i="15"/>
  <c r="G57" i="38"/>
  <c r="I61" i="15"/>
  <c r="I59" i="38"/>
  <c r="H60" i="15"/>
  <c r="H58" i="38"/>
  <c r="P74" i="14"/>
  <c r="AE74" i="14" s="1"/>
  <c r="F60" i="15"/>
  <c r="S75" i="14"/>
  <c r="AF75" i="14" s="1"/>
  <c r="AG75" i="14" s="1"/>
  <c r="AH75" i="14" s="1"/>
  <c r="AJ75" i="14" s="1"/>
  <c r="BO75" i="14" s="1"/>
  <c r="CF75" i="14" s="1"/>
  <c r="HT78" i="14"/>
  <c r="ID78" i="14" s="1"/>
  <c r="GQ78" i="14"/>
  <c r="GT78" i="14" s="1"/>
  <c r="I74" i="14"/>
  <c r="P32" i="6"/>
  <c r="F73" i="14"/>
  <c r="Q33" i="6"/>
  <c r="J74" i="14"/>
  <c r="AW79" i="14"/>
  <c r="BB79" i="14" s="1"/>
  <c r="BC79" i="14" s="1"/>
  <c r="BD79" i="14" s="1"/>
  <c r="BE79" i="14" s="1"/>
  <c r="BJ79" i="14" s="1"/>
  <c r="BK79" i="14" s="1"/>
  <c r="BL79" i="14" s="1"/>
  <c r="BM79" i="14" s="1"/>
  <c r="BP79" i="14" s="1"/>
  <c r="AJ76" i="14"/>
  <c r="BO76" i="14" s="1"/>
  <c r="CF76" i="14" s="1"/>
  <c r="AK77" i="14"/>
  <c r="AY77" i="14" s="1"/>
  <c r="GO76" i="14"/>
  <c r="GP76" i="14"/>
  <c r="HU76" i="14" s="1"/>
  <c r="IL76" i="14" s="1"/>
  <c r="Q76" i="14"/>
  <c r="R77" i="14"/>
  <c r="T75" i="14"/>
  <c r="IX75" i="14" s="1"/>
  <c r="IZ75" i="14" s="1"/>
  <c r="AQ78" i="14"/>
  <c r="AT78" i="14" s="1"/>
  <c r="AU78" i="14" s="1"/>
  <c r="AV78" i="14" s="1"/>
  <c r="AN78" i="14"/>
  <c r="AY78" i="14"/>
  <c r="BG78" i="14"/>
  <c r="BN76" i="14"/>
  <c r="BX76" i="14" s="1"/>
  <c r="G72" i="14"/>
  <c r="N33" i="6"/>
  <c r="H73" i="14" s="1"/>
  <c r="BU70" i="14" l="1"/>
  <c r="BU78" i="14"/>
  <c r="BU74" i="14"/>
  <c r="BU72" i="14"/>
  <c r="BU79" i="14"/>
  <c r="BU76" i="14"/>
  <c r="BU71" i="14"/>
  <c r="BU77" i="14"/>
  <c r="BU73" i="14"/>
  <c r="BU75" i="14"/>
  <c r="BU118" i="14"/>
  <c r="BU119" i="14"/>
  <c r="BU114" i="14"/>
  <c r="BU113" i="14"/>
  <c r="BU112" i="14"/>
  <c r="BU115" i="14"/>
  <c r="BU116" i="14"/>
  <c r="BU110" i="14"/>
  <c r="BU117" i="14"/>
  <c r="BU111" i="14"/>
  <c r="BU108" i="14"/>
  <c r="BU107" i="14"/>
  <c r="BU109" i="14"/>
  <c r="BU106" i="14"/>
  <c r="BU103" i="14"/>
  <c r="BU104" i="14"/>
  <c r="BU101" i="14"/>
  <c r="BU105" i="14"/>
  <c r="BU100" i="14"/>
  <c r="BU102" i="14"/>
  <c r="BU86" i="14"/>
  <c r="BU98" i="14"/>
  <c r="BU90" i="14"/>
  <c r="BU92" i="14"/>
  <c r="BU88" i="14"/>
  <c r="BU94" i="14"/>
  <c r="BU97" i="14"/>
  <c r="BU99" i="14"/>
  <c r="BU96" i="14"/>
  <c r="BU93" i="14"/>
  <c r="BU95" i="14"/>
  <c r="BU80" i="14"/>
  <c r="BU89" i="14"/>
  <c r="BU91" i="14"/>
  <c r="BU85" i="14"/>
  <c r="BU87" i="14"/>
  <c r="BU84" i="14"/>
  <c r="BU82" i="14"/>
  <c r="BU83" i="14"/>
  <c r="BU81" i="14"/>
  <c r="U41" i="1"/>
  <c r="U41" i="46"/>
  <c r="GQ77" i="14"/>
  <c r="GT77" i="14" s="1"/>
  <c r="I60" i="15"/>
  <c r="I58" i="38"/>
  <c r="H59" i="15"/>
  <c r="H57" i="38"/>
  <c r="J60" i="15"/>
  <c r="J58" i="38"/>
  <c r="G58" i="15"/>
  <c r="G56" i="38"/>
  <c r="F59" i="15"/>
  <c r="F57" i="38"/>
  <c r="GM75" i="14"/>
  <c r="GN75" i="14" s="1"/>
  <c r="GO75" i="14" s="1"/>
  <c r="HT75" i="14" s="1"/>
  <c r="ID75" i="14" s="1"/>
  <c r="GR75" i="14"/>
  <c r="GS75" i="14" s="1"/>
  <c r="GU75" i="14" s="1"/>
  <c r="AL75" i="14"/>
  <c r="AM75" i="14" s="1"/>
  <c r="AO75" i="14" s="1"/>
  <c r="S74" i="14"/>
  <c r="AF74" i="14" s="1"/>
  <c r="AG74" i="14" s="1"/>
  <c r="AH74" i="14" s="1"/>
  <c r="AJ74" i="14" s="1"/>
  <c r="BO74" i="14" s="1"/>
  <c r="CF74" i="14" s="1"/>
  <c r="Q32" i="6"/>
  <c r="J73" i="14"/>
  <c r="P31" i="6"/>
  <c r="F72" i="14"/>
  <c r="I73" i="14"/>
  <c r="S73" i="14" s="1"/>
  <c r="AF73" i="14" s="1"/>
  <c r="R76" i="14"/>
  <c r="AI75" i="14"/>
  <c r="BN75" i="14" s="1"/>
  <c r="BX75" i="14" s="1"/>
  <c r="IY75" i="14"/>
  <c r="JA75" i="14" s="1"/>
  <c r="JB75" i="14" s="1"/>
  <c r="AQ77" i="14"/>
  <c r="AT77" i="14" s="1"/>
  <c r="AU77" i="14" s="1"/>
  <c r="AV77" i="14" s="1"/>
  <c r="BG77" i="14"/>
  <c r="AK76" i="14"/>
  <c r="AY76" i="14" s="1"/>
  <c r="AN77" i="14"/>
  <c r="AW78" i="14"/>
  <c r="BB78" i="14" s="1"/>
  <c r="BC78" i="14" s="1"/>
  <c r="BD78" i="14" s="1"/>
  <c r="BE78" i="14" s="1"/>
  <c r="BJ78" i="14" s="1"/>
  <c r="BK78" i="14" s="1"/>
  <c r="BL78" i="14" s="1"/>
  <c r="BM78" i="14" s="1"/>
  <c r="BP78" i="14" s="1"/>
  <c r="Q75" i="14"/>
  <c r="T74" i="14"/>
  <c r="IX74" i="14" s="1"/>
  <c r="IZ74" i="14" s="1"/>
  <c r="P73" i="14"/>
  <c r="AE73" i="14" s="1"/>
  <c r="GQ76" i="14"/>
  <c r="GT76" i="14" s="1"/>
  <c r="HT76" i="14"/>
  <c r="ID76" i="14" s="1"/>
  <c r="G71" i="14"/>
  <c r="N32" i="6"/>
  <c r="H72" i="14" s="1"/>
  <c r="GP75" i="14" l="1"/>
  <c r="HU75" i="14" s="1"/>
  <c r="IL75" i="14" s="1"/>
  <c r="H8" i="16"/>
  <c r="GR74" i="14"/>
  <c r="GS74" i="14" s="1"/>
  <c r="GU74" i="14" s="1"/>
  <c r="GM74" i="14"/>
  <c r="GN74" i="14" s="1"/>
  <c r="GP74" i="14" s="1"/>
  <c r="HU74" i="14" s="1"/>
  <c r="IL74" i="14" s="1"/>
  <c r="J59" i="15"/>
  <c r="J57" i="38"/>
  <c r="H58" i="15"/>
  <c r="H56" i="38"/>
  <c r="G57" i="15"/>
  <c r="G55" i="38"/>
  <c r="F58" i="15"/>
  <c r="F56" i="38"/>
  <c r="I59" i="15"/>
  <c r="I57" i="38"/>
  <c r="AL74" i="14"/>
  <c r="AM74" i="14" s="1"/>
  <c r="AO74" i="14" s="1"/>
  <c r="I72" i="14"/>
  <c r="I56" i="38" s="1"/>
  <c r="P30" i="6"/>
  <c r="F71" i="14"/>
  <c r="P71" i="14" s="1"/>
  <c r="AE71" i="14" s="1"/>
  <c r="Q31" i="6"/>
  <c r="J72" i="14"/>
  <c r="GQ75" i="14"/>
  <c r="GT75" i="14" s="1"/>
  <c r="IY74" i="14"/>
  <c r="JA74" i="14" s="1"/>
  <c r="JB74" i="14" s="1"/>
  <c r="AW77" i="14"/>
  <c r="BB77" i="14" s="1"/>
  <c r="BC77" i="14" s="1"/>
  <c r="BD77" i="14" s="1"/>
  <c r="BE77" i="14" s="1"/>
  <c r="BJ77" i="14" s="1"/>
  <c r="BK77" i="14" s="1"/>
  <c r="BL77" i="14" s="1"/>
  <c r="BM77" i="14" s="1"/>
  <c r="BP77" i="14" s="1"/>
  <c r="AK75" i="14"/>
  <c r="AN75" i="14" s="1"/>
  <c r="AQ76" i="14"/>
  <c r="AT76" i="14" s="1"/>
  <c r="AU76" i="14" s="1"/>
  <c r="AV76" i="14" s="1"/>
  <c r="AN76" i="14"/>
  <c r="BG76" i="14"/>
  <c r="AI74" i="14"/>
  <c r="BN74" i="14" s="1"/>
  <c r="BX74" i="14" s="1"/>
  <c r="AG73" i="14"/>
  <c r="AH73" i="14" s="1"/>
  <c r="AJ73" i="14" s="1"/>
  <c r="BO73" i="14" s="1"/>
  <c r="CF73" i="14" s="1"/>
  <c r="GR73" i="14"/>
  <c r="GS73" i="14" s="1"/>
  <c r="GU73" i="14" s="1"/>
  <c r="GM73" i="14"/>
  <c r="GN73" i="14" s="1"/>
  <c r="GP73" i="14" s="1"/>
  <c r="HU73" i="14" s="1"/>
  <c r="IL73" i="14" s="1"/>
  <c r="AL73" i="14"/>
  <c r="AM73" i="14" s="1"/>
  <c r="AO73" i="14" s="1"/>
  <c r="P72" i="14"/>
  <c r="AE72" i="14" s="1"/>
  <c r="T73" i="14"/>
  <c r="IX73" i="14" s="1"/>
  <c r="IZ73" i="14" s="1"/>
  <c r="R75" i="14"/>
  <c r="Q74" i="14"/>
  <c r="G70" i="14"/>
  <c r="N31" i="6"/>
  <c r="H71" i="14" s="1"/>
  <c r="GO74" i="14" l="1"/>
  <c r="GQ74" i="14" s="1"/>
  <c r="GT74" i="14" s="1"/>
  <c r="W33" i="46"/>
  <c r="H15" i="16"/>
  <c r="W33" i="1"/>
  <c r="F57" i="15"/>
  <c r="F55" i="38"/>
  <c r="H57" i="15"/>
  <c r="H55" i="38"/>
  <c r="G56" i="15"/>
  <c r="G54" i="38"/>
  <c r="J58" i="15"/>
  <c r="J56" i="38"/>
  <c r="S72" i="14"/>
  <c r="AF72" i="14" s="1"/>
  <c r="AL72" i="14" s="1"/>
  <c r="AM72" i="14" s="1"/>
  <c r="AO72" i="14" s="1"/>
  <c r="I58" i="15"/>
  <c r="Q30" i="6"/>
  <c r="J71" i="14"/>
  <c r="P29" i="6"/>
  <c r="F70" i="14"/>
  <c r="I71" i="14"/>
  <c r="I55" i="38" s="1"/>
  <c r="AQ75" i="14"/>
  <c r="AT75" i="14" s="1"/>
  <c r="AU75" i="14" s="1"/>
  <c r="AV75" i="14" s="1"/>
  <c r="AW75" i="14" s="1"/>
  <c r="AY75" i="14"/>
  <c r="BG75" i="14"/>
  <c r="AW76" i="14"/>
  <c r="BB76" i="14" s="1"/>
  <c r="BC76" i="14" s="1"/>
  <c r="BD76" i="14" s="1"/>
  <c r="BE76" i="14" s="1"/>
  <c r="BJ76" i="14" s="1"/>
  <c r="BK76" i="14" s="1"/>
  <c r="BL76" i="14" s="1"/>
  <c r="BM76" i="14" s="1"/>
  <c r="BP76" i="14" s="1"/>
  <c r="AI73" i="14"/>
  <c r="BN73" i="14" s="1"/>
  <c r="BX73" i="14" s="1"/>
  <c r="AK74" i="14"/>
  <c r="AQ74" i="14" s="1"/>
  <c r="AT74" i="14" s="1"/>
  <c r="AU74" i="14" s="1"/>
  <c r="AV74" i="14" s="1"/>
  <c r="IY73" i="14"/>
  <c r="JA73" i="14" s="1"/>
  <c r="JB73" i="14" s="1"/>
  <c r="GO73" i="14"/>
  <c r="GQ73" i="14" s="1"/>
  <c r="GT73" i="14" s="1"/>
  <c r="Q72" i="14"/>
  <c r="Q73" i="14"/>
  <c r="R74" i="14"/>
  <c r="T72" i="14"/>
  <c r="IX72" i="14" s="1"/>
  <c r="IZ72" i="14" s="1"/>
  <c r="N30" i="6"/>
  <c r="H70" i="14" s="1"/>
  <c r="G69" i="14"/>
  <c r="HT74" i="14" l="1"/>
  <c r="ID74" i="14" s="1"/>
  <c r="H56" i="15"/>
  <c r="H54" i="38"/>
  <c r="J57" i="15"/>
  <c r="J55" i="38"/>
  <c r="F56" i="15"/>
  <c r="F54" i="38"/>
  <c r="G55" i="15"/>
  <c r="G53" i="38"/>
  <c r="T71" i="14"/>
  <c r="IX71" i="14" s="1"/>
  <c r="IZ71" i="14" s="1"/>
  <c r="GM72" i="14"/>
  <c r="GN72" i="14" s="1"/>
  <c r="GR72" i="14"/>
  <c r="GS72" i="14" s="1"/>
  <c r="GU72" i="14" s="1"/>
  <c r="S71" i="14"/>
  <c r="AF71" i="14" s="1"/>
  <c r="GR71" i="14" s="1"/>
  <c r="GS71" i="14" s="1"/>
  <c r="GU71" i="14" s="1"/>
  <c r="I57" i="15"/>
  <c r="AG72" i="14"/>
  <c r="AH72" i="14" s="1"/>
  <c r="I70" i="14"/>
  <c r="I54" i="38" s="1"/>
  <c r="P28" i="6"/>
  <c r="F69" i="14"/>
  <c r="Q29" i="6"/>
  <c r="J70" i="14"/>
  <c r="BB75" i="14"/>
  <c r="BC75" i="14" s="1"/>
  <c r="BD75" i="14" s="1"/>
  <c r="BE75" i="14" s="1"/>
  <c r="BJ75" i="14" s="1"/>
  <c r="BK75" i="14" s="1"/>
  <c r="BL75" i="14" s="1"/>
  <c r="BM75" i="14" s="1"/>
  <c r="BP75" i="14" s="1"/>
  <c r="BG74" i="14"/>
  <c r="AK73" i="14"/>
  <c r="AN73" i="14" s="1"/>
  <c r="AN74" i="14"/>
  <c r="AW74" i="14" s="1"/>
  <c r="AY74" i="14"/>
  <c r="HT73" i="14"/>
  <c r="ID73" i="14" s="1"/>
  <c r="IY72" i="14"/>
  <c r="JA72" i="14" s="1"/>
  <c r="JB72" i="14" s="1"/>
  <c r="IY71" i="14"/>
  <c r="JA71" i="14" s="1"/>
  <c r="JB71" i="14" s="1"/>
  <c r="P70" i="14"/>
  <c r="AE70" i="14" s="1"/>
  <c r="R73" i="14"/>
  <c r="N29" i="6"/>
  <c r="H69" i="14" s="1"/>
  <c r="G68" i="14"/>
  <c r="H55" i="15" l="1"/>
  <c r="H53" i="38"/>
  <c r="J56" i="15"/>
  <c r="J54" i="38"/>
  <c r="G54" i="15"/>
  <c r="G52" i="38"/>
  <c r="F55" i="15"/>
  <c r="F53" i="38"/>
  <c r="GM71" i="14"/>
  <c r="GN71" i="14" s="1"/>
  <c r="GO71" i="14" s="1"/>
  <c r="AG71" i="14"/>
  <c r="AH71" i="14" s="1"/>
  <c r="AJ71" i="14" s="1"/>
  <c r="BO71" i="14" s="1"/>
  <c r="CF71" i="14" s="1"/>
  <c r="AL71" i="14"/>
  <c r="AM71" i="14" s="1"/>
  <c r="AO71" i="14" s="1"/>
  <c r="S70" i="14"/>
  <c r="AF70" i="14" s="1"/>
  <c r="AG70" i="14" s="1"/>
  <c r="AH70" i="14" s="1"/>
  <c r="AJ70" i="14" s="1"/>
  <c r="BO70" i="14" s="1"/>
  <c r="CF70" i="14" s="1"/>
  <c r="I56" i="15"/>
  <c r="AI72" i="14"/>
  <c r="AJ72" i="14"/>
  <c r="BO72" i="14" s="1"/>
  <c r="CF72" i="14" s="1"/>
  <c r="GO72" i="14"/>
  <c r="GP72" i="14"/>
  <c r="HU72" i="14" s="1"/>
  <c r="IL72" i="14" s="1"/>
  <c r="Q28" i="6"/>
  <c r="J69" i="14"/>
  <c r="P27" i="6"/>
  <c r="F68" i="14"/>
  <c r="I69" i="14"/>
  <c r="I53" i="38" s="1"/>
  <c r="R72" i="14"/>
  <c r="GP71" i="14"/>
  <c r="HU71" i="14" s="1"/>
  <c r="IL71" i="14" s="1"/>
  <c r="AY73" i="14"/>
  <c r="AQ73" i="14"/>
  <c r="AT73" i="14" s="1"/>
  <c r="AU73" i="14" s="1"/>
  <c r="AV73" i="14" s="1"/>
  <c r="AW73" i="14" s="1"/>
  <c r="BG73" i="14"/>
  <c r="BB74" i="14"/>
  <c r="BC74" i="14" s="1"/>
  <c r="BD74" i="14" s="1"/>
  <c r="BE74" i="14" s="1"/>
  <c r="BJ74" i="14" s="1"/>
  <c r="BK74" i="14" s="1"/>
  <c r="BL74" i="14" s="1"/>
  <c r="BM74" i="14" s="1"/>
  <c r="BP74" i="14" s="1"/>
  <c r="P69" i="14"/>
  <c r="AE69" i="14" s="1"/>
  <c r="T70" i="14"/>
  <c r="IX70" i="14" s="1"/>
  <c r="IZ70" i="14" s="1"/>
  <c r="Q71" i="14"/>
  <c r="HT71" i="14"/>
  <c r="ID71" i="14" s="1"/>
  <c r="N28" i="6"/>
  <c r="H68" i="14" s="1"/>
  <c r="G67" i="14"/>
  <c r="AI71" i="14" l="1"/>
  <c r="BN71" i="14" s="1"/>
  <c r="BX71" i="14" s="1"/>
  <c r="F54" i="15"/>
  <c r="F52" i="38"/>
  <c r="J55" i="15"/>
  <c r="J53" i="38"/>
  <c r="G53" i="15"/>
  <c r="G51" i="38"/>
  <c r="H54" i="15"/>
  <c r="H52" i="38"/>
  <c r="AL70" i="14"/>
  <c r="AM70" i="14" s="1"/>
  <c r="AO70" i="14" s="1"/>
  <c r="AI70" i="14"/>
  <c r="BN70" i="14" s="1"/>
  <c r="BX70" i="14" s="1"/>
  <c r="S69" i="14"/>
  <c r="AF69" i="14" s="1"/>
  <c r="GR69" i="14" s="1"/>
  <c r="GS69" i="14" s="1"/>
  <c r="GU69" i="14" s="1"/>
  <c r="I55" i="15"/>
  <c r="HT72" i="14"/>
  <c r="ID72" i="14" s="1"/>
  <c r="GQ72" i="14"/>
  <c r="GT72" i="14" s="1"/>
  <c r="BN72" i="14"/>
  <c r="BX72" i="14" s="1"/>
  <c r="AK72" i="14"/>
  <c r="GM70" i="14"/>
  <c r="GN70" i="14" s="1"/>
  <c r="GR70" i="14"/>
  <c r="GS70" i="14" s="1"/>
  <c r="GU70" i="14" s="1"/>
  <c r="I68" i="14"/>
  <c r="P26" i="6"/>
  <c r="F67" i="14"/>
  <c r="Q27" i="6"/>
  <c r="J68" i="14"/>
  <c r="GQ71" i="14"/>
  <c r="GT71" i="14" s="1"/>
  <c r="BB73" i="14"/>
  <c r="BC73" i="14" s="1"/>
  <c r="BD73" i="14" s="1"/>
  <c r="BE73" i="14" s="1"/>
  <c r="BJ73" i="14" s="1"/>
  <c r="BK73" i="14" s="1"/>
  <c r="BL73" i="14" s="1"/>
  <c r="BM73" i="14" s="1"/>
  <c r="BP73" i="14" s="1"/>
  <c r="IY70" i="14"/>
  <c r="JA70" i="14" s="1"/>
  <c r="JC71" i="14" s="1"/>
  <c r="T69" i="14"/>
  <c r="IX69" i="14" s="1"/>
  <c r="IZ69" i="14" s="1"/>
  <c r="R71" i="14"/>
  <c r="Q70" i="14"/>
  <c r="P68" i="14"/>
  <c r="AE68" i="14" s="1"/>
  <c r="N27" i="6"/>
  <c r="H67" i="14" s="1"/>
  <c r="AK71" i="14" l="1"/>
  <c r="AY71" i="14" s="1"/>
  <c r="AK70" i="14"/>
  <c r="AQ70" i="14" s="1"/>
  <c r="AT70" i="14" s="1"/>
  <c r="AU70" i="14" s="1"/>
  <c r="AV70" i="14" s="1"/>
  <c r="GM69" i="14"/>
  <c r="GN69" i="14" s="1"/>
  <c r="GO69" i="14" s="1"/>
  <c r="HT69" i="14" s="1"/>
  <c r="ID69" i="14" s="1"/>
  <c r="AG69" i="14"/>
  <c r="AH69" i="14" s="1"/>
  <c r="AI69" i="14" s="1"/>
  <c r="F53" i="15"/>
  <c r="F51" i="38"/>
  <c r="AH55" i="38"/>
  <c r="AF55" i="38"/>
  <c r="J54" i="15"/>
  <c r="J52" i="38"/>
  <c r="H53" i="15"/>
  <c r="H51" i="38"/>
  <c r="I54" i="15"/>
  <c r="I52" i="38"/>
  <c r="S68" i="14"/>
  <c r="AF68" i="14" s="1"/>
  <c r="GR68" i="14" s="1"/>
  <c r="GS68" i="14" s="1"/>
  <c r="GU68" i="14" s="1"/>
  <c r="G66" i="14"/>
  <c r="G65" i="14"/>
  <c r="AL69" i="14"/>
  <c r="AM69" i="14" s="1"/>
  <c r="AO69" i="14" s="1"/>
  <c r="GO70" i="14"/>
  <c r="GP70" i="14"/>
  <c r="HU70" i="14" s="1"/>
  <c r="IL70" i="14" s="1"/>
  <c r="AN72" i="14"/>
  <c r="AQ72" i="14"/>
  <c r="AT72" i="14" s="1"/>
  <c r="AU72" i="14" s="1"/>
  <c r="AV72" i="14" s="1"/>
  <c r="BG72" i="14"/>
  <c r="AY72" i="14"/>
  <c r="Q26" i="6"/>
  <c r="J67" i="14"/>
  <c r="P25" i="6"/>
  <c r="F66" i="14"/>
  <c r="I67" i="14"/>
  <c r="I51" i="38" s="1"/>
  <c r="IY69" i="14"/>
  <c r="JA69" i="14" s="1"/>
  <c r="JB69" i="14" s="1"/>
  <c r="JC75" i="14"/>
  <c r="JC73" i="14"/>
  <c r="JC72" i="14"/>
  <c r="JC77" i="14"/>
  <c r="JC76" i="14"/>
  <c r="JC70" i="14"/>
  <c r="JB70" i="14"/>
  <c r="JD74" i="14" s="1"/>
  <c r="JC79" i="14"/>
  <c r="JC74" i="14"/>
  <c r="JC78" i="14"/>
  <c r="T68" i="14"/>
  <c r="IX68" i="14" s="1"/>
  <c r="IZ68" i="14" s="1"/>
  <c r="AU57" i="15"/>
  <c r="BH57" i="15" s="1"/>
  <c r="AW57" i="15"/>
  <c r="BI57" i="15" s="1"/>
  <c r="P67" i="14"/>
  <c r="AE67" i="14" s="1"/>
  <c r="Q69" i="14"/>
  <c r="R70" i="14"/>
  <c r="AN70" i="14"/>
  <c r="BG70" i="14"/>
  <c r="N26" i="6"/>
  <c r="H66" i="14" s="1"/>
  <c r="AJ69" i="14" l="1"/>
  <c r="BO69" i="14" s="1"/>
  <c r="CF69" i="14" s="1"/>
  <c r="AY70" i="14"/>
  <c r="BG71" i="14"/>
  <c r="AQ71" i="14"/>
  <c r="AT71" i="14" s="1"/>
  <c r="AU71" i="14" s="1"/>
  <c r="AV71" i="14" s="1"/>
  <c r="AN71" i="14"/>
  <c r="GP69" i="14"/>
  <c r="HU69" i="14" s="1"/>
  <c r="IL69" i="14" s="1"/>
  <c r="AL68" i="14"/>
  <c r="AM68" i="14" s="1"/>
  <c r="AO68" i="14" s="1"/>
  <c r="AG68" i="14"/>
  <c r="AH68" i="14" s="1"/>
  <c r="AI68" i="14" s="1"/>
  <c r="BN68" i="14" s="1"/>
  <c r="BX68" i="14" s="1"/>
  <c r="GM68" i="14"/>
  <c r="GN68" i="14" s="1"/>
  <c r="GP68" i="14" s="1"/>
  <c r="HU68" i="14" s="1"/>
  <c r="IL68" i="14" s="1"/>
  <c r="AW65" i="15"/>
  <c r="BI65" i="15" s="1"/>
  <c r="AF63" i="38"/>
  <c r="AH63" i="38"/>
  <c r="F52" i="15"/>
  <c r="F50" i="38"/>
  <c r="AG58" i="38"/>
  <c r="AI58" i="38"/>
  <c r="J53" i="15"/>
  <c r="J51" i="38"/>
  <c r="AW56" i="15"/>
  <c r="BI56" i="15" s="1"/>
  <c r="AH54" i="38"/>
  <c r="AF54" i="38"/>
  <c r="G51" i="15"/>
  <c r="G49" i="38"/>
  <c r="AU61" i="15"/>
  <c r="BH61" i="15" s="1"/>
  <c r="AF59" i="38"/>
  <c r="AH59" i="38"/>
  <c r="AH60" i="38"/>
  <c r="AF60" i="38"/>
  <c r="G52" i="15"/>
  <c r="G50" i="38"/>
  <c r="AH58" i="38"/>
  <c r="AF58" i="38"/>
  <c r="AW63" i="15"/>
  <c r="BI63" i="15" s="1"/>
  <c r="AH61" i="38"/>
  <c r="AF61" i="38"/>
  <c r="P66" i="14"/>
  <c r="AE66" i="14" s="1"/>
  <c r="H52" i="15"/>
  <c r="H50" i="38"/>
  <c r="AW58" i="15"/>
  <c r="BI58" i="15" s="1"/>
  <c r="AH56" i="38"/>
  <c r="AF56" i="38"/>
  <c r="AF62" i="38"/>
  <c r="AH62" i="38"/>
  <c r="AH57" i="38"/>
  <c r="AF57" i="38"/>
  <c r="AW72" i="14"/>
  <c r="BB72" i="14" s="1"/>
  <c r="BC72" i="14" s="1"/>
  <c r="BD72" i="14" s="1"/>
  <c r="BE72" i="14" s="1"/>
  <c r="BJ72" i="14" s="1"/>
  <c r="BK72" i="14" s="1"/>
  <c r="BL72" i="14" s="1"/>
  <c r="BM72" i="14" s="1"/>
  <c r="BP72" i="14" s="1"/>
  <c r="S67" i="14"/>
  <c r="AF67" i="14" s="1"/>
  <c r="GR67" i="14" s="1"/>
  <c r="GS67" i="14" s="1"/>
  <c r="GU67" i="14" s="1"/>
  <c r="I53" i="15"/>
  <c r="HT70" i="14"/>
  <c r="ID70" i="14" s="1"/>
  <c r="GQ70" i="14"/>
  <c r="GT70" i="14" s="1"/>
  <c r="I66" i="14"/>
  <c r="I50" i="38" s="1"/>
  <c r="P24" i="6"/>
  <c r="F65" i="14"/>
  <c r="Q25" i="6"/>
  <c r="J66" i="14"/>
  <c r="JD73" i="14"/>
  <c r="AU63" i="15"/>
  <c r="BH63" i="15" s="1"/>
  <c r="AU65" i="15"/>
  <c r="BH65" i="15" s="1"/>
  <c r="AU59" i="15"/>
  <c r="BH59" i="15" s="1"/>
  <c r="AW59" i="15"/>
  <c r="BI59" i="15" s="1"/>
  <c r="AW61" i="15"/>
  <c r="BI61" i="15" s="1"/>
  <c r="AW62" i="15"/>
  <c r="BI62" i="15" s="1"/>
  <c r="AU62" i="15"/>
  <c r="BH62" i="15" s="1"/>
  <c r="AU64" i="15"/>
  <c r="BH64" i="15" s="1"/>
  <c r="AU60" i="15"/>
  <c r="BH60" i="15" s="1"/>
  <c r="AW64" i="15"/>
  <c r="BI64" i="15" s="1"/>
  <c r="AU58" i="15"/>
  <c r="BH58" i="15" s="1"/>
  <c r="AW60" i="15"/>
  <c r="BI60" i="15" s="1"/>
  <c r="AU56" i="15"/>
  <c r="BH56" i="15" s="1"/>
  <c r="JD78" i="14"/>
  <c r="JD71" i="14"/>
  <c r="JD75" i="14"/>
  <c r="JD79" i="14"/>
  <c r="JD77" i="14"/>
  <c r="JD72" i="14"/>
  <c r="JD70" i="14"/>
  <c r="JD76" i="14"/>
  <c r="IY68" i="14"/>
  <c r="JA68" i="14" s="1"/>
  <c r="JB68" i="14" s="1"/>
  <c r="R69" i="14"/>
  <c r="AX60" i="15"/>
  <c r="AV60" i="15"/>
  <c r="Q68" i="14"/>
  <c r="T67" i="14"/>
  <c r="IX67" i="14" s="1"/>
  <c r="IZ67" i="14" s="1"/>
  <c r="BN69" i="14"/>
  <c r="BX69" i="14" s="1"/>
  <c r="AK69" i="14"/>
  <c r="AW70" i="14"/>
  <c r="BB70" i="14" s="1"/>
  <c r="BC70" i="14" s="1"/>
  <c r="BD70" i="14" s="1"/>
  <c r="BE70" i="14" s="1"/>
  <c r="BJ70" i="14" s="1"/>
  <c r="BK70" i="14" s="1"/>
  <c r="BL70" i="14" s="1"/>
  <c r="BM70" i="14" s="1"/>
  <c r="BP70" i="14" s="1"/>
  <c r="N25" i="6"/>
  <c r="H65" i="14" s="1"/>
  <c r="G64" i="14"/>
  <c r="AW71" i="14" l="1"/>
  <c r="BB71" i="14" s="1"/>
  <c r="BC71" i="14" s="1"/>
  <c r="BD71" i="14" s="1"/>
  <c r="BE71" i="14" s="1"/>
  <c r="BJ71" i="14" s="1"/>
  <c r="BK71" i="14" s="1"/>
  <c r="BL71" i="14" s="1"/>
  <c r="BM71" i="14" s="1"/>
  <c r="BP71" i="14" s="1"/>
  <c r="AJ68" i="14"/>
  <c r="BO68" i="14" s="1"/>
  <c r="CF68" i="14" s="1"/>
  <c r="GQ69" i="14"/>
  <c r="GT69" i="14" s="1"/>
  <c r="GO68" i="14"/>
  <c r="GQ68" i="14" s="1"/>
  <c r="GT68" i="14" s="1"/>
  <c r="AV58" i="15"/>
  <c r="AI56" i="38"/>
  <c r="AG56" i="38"/>
  <c r="AG60" i="38"/>
  <c r="AI60" i="38"/>
  <c r="AV56" i="15"/>
  <c r="AI54" i="38"/>
  <c r="AG54" i="38"/>
  <c r="F51" i="15"/>
  <c r="F49" i="38"/>
  <c r="AG61" i="38"/>
  <c r="AI61" i="38"/>
  <c r="H51" i="15"/>
  <c r="H49" i="38"/>
  <c r="AV65" i="15"/>
  <c r="AG63" i="38"/>
  <c r="AI63" i="38"/>
  <c r="AV61" i="15"/>
  <c r="AG59" i="38"/>
  <c r="AI59" i="38"/>
  <c r="AX57" i="15"/>
  <c r="AG55" i="38"/>
  <c r="AI55" i="38"/>
  <c r="AX59" i="15"/>
  <c r="AG57" i="38"/>
  <c r="AI57" i="38"/>
  <c r="GM67" i="14"/>
  <c r="GN67" i="14" s="1"/>
  <c r="GP67" i="14" s="1"/>
  <c r="HU67" i="14" s="1"/>
  <c r="IL67" i="14" s="1"/>
  <c r="G50" i="15"/>
  <c r="G48" i="38"/>
  <c r="AX64" i="15"/>
  <c r="AG62" i="38"/>
  <c r="AI62" i="38"/>
  <c r="J52" i="15"/>
  <c r="J50" i="38"/>
  <c r="AL67" i="14"/>
  <c r="AM67" i="14" s="1"/>
  <c r="AO67" i="14" s="1"/>
  <c r="AG67" i="14"/>
  <c r="AH67" i="14" s="1"/>
  <c r="AJ67" i="14" s="1"/>
  <c r="BO67" i="14" s="1"/>
  <c r="CF67" i="14" s="1"/>
  <c r="AV59" i="15"/>
  <c r="S66" i="14"/>
  <c r="AF66" i="14" s="1"/>
  <c r="I52" i="15"/>
  <c r="Q24" i="6"/>
  <c r="J65" i="14"/>
  <c r="P23" i="6"/>
  <c r="F64" i="14"/>
  <c r="I65" i="14"/>
  <c r="I49" i="38" s="1"/>
  <c r="AV62" i="15"/>
  <c r="AX63" i="15"/>
  <c r="AV64" i="15"/>
  <c r="AX65" i="15"/>
  <c r="AV63" i="15"/>
  <c r="AX58" i="15"/>
  <c r="AX62" i="15"/>
  <c r="AV57" i="15"/>
  <c r="AX61" i="15"/>
  <c r="AX56" i="15"/>
  <c r="AK68" i="14"/>
  <c r="BG68" i="14" s="1"/>
  <c r="IY67" i="14"/>
  <c r="JA67" i="14" s="1"/>
  <c r="JB67" i="14" s="1"/>
  <c r="R68" i="14"/>
  <c r="Q67" i="14"/>
  <c r="AY69" i="14"/>
  <c r="AQ69" i="14"/>
  <c r="AT69" i="14" s="1"/>
  <c r="AU69" i="14" s="1"/>
  <c r="AV69" i="14" s="1"/>
  <c r="AN69" i="14"/>
  <c r="BG69" i="14"/>
  <c r="P65" i="14"/>
  <c r="AE65" i="14" s="1"/>
  <c r="T66" i="14"/>
  <c r="IX66" i="14" s="1"/>
  <c r="IZ66" i="14" s="1"/>
  <c r="N24" i="6"/>
  <c r="H64" i="14" s="1"/>
  <c r="G63" i="14"/>
  <c r="HT68" i="14" l="1"/>
  <c r="ID68" i="14" s="1"/>
  <c r="GO67" i="14"/>
  <c r="HT67" i="14" s="1"/>
  <c r="ID67" i="14" s="1"/>
  <c r="G49" i="15"/>
  <c r="G47" i="38"/>
  <c r="F50" i="15"/>
  <c r="F48" i="38"/>
  <c r="H50" i="15"/>
  <c r="H48" i="38"/>
  <c r="J51" i="15"/>
  <c r="J49" i="38"/>
  <c r="AI67" i="14"/>
  <c r="S65" i="14"/>
  <c r="AF65" i="14" s="1"/>
  <c r="AL65" i="14" s="1"/>
  <c r="AM65" i="14" s="1"/>
  <c r="AO65" i="14" s="1"/>
  <c r="I51" i="15"/>
  <c r="AG66" i="14"/>
  <c r="AH66" i="14" s="1"/>
  <c r="AL66" i="14"/>
  <c r="AM66" i="14" s="1"/>
  <c r="AO66" i="14" s="1"/>
  <c r="GR66" i="14"/>
  <c r="GS66" i="14" s="1"/>
  <c r="GU66" i="14" s="1"/>
  <c r="GM66" i="14"/>
  <c r="GN66" i="14" s="1"/>
  <c r="I64" i="14"/>
  <c r="P22" i="6"/>
  <c r="F63" i="14"/>
  <c r="Q23" i="6"/>
  <c r="J64" i="14"/>
  <c r="GR65" i="14"/>
  <c r="GS65" i="14" s="1"/>
  <c r="GU65" i="14" s="1"/>
  <c r="AN68" i="14"/>
  <c r="AY68" i="14"/>
  <c r="AQ68" i="14"/>
  <c r="AT68" i="14" s="1"/>
  <c r="AU68" i="14" s="1"/>
  <c r="AV68" i="14" s="1"/>
  <c r="IY66" i="14"/>
  <c r="JA66" i="14" s="1"/>
  <c r="JB66" i="14" s="1"/>
  <c r="AW69" i="14"/>
  <c r="BB69" i="14" s="1"/>
  <c r="BC69" i="14" s="1"/>
  <c r="BD69" i="14" s="1"/>
  <c r="BE69" i="14" s="1"/>
  <c r="BJ69" i="14" s="1"/>
  <c r="BK69" i="14" s="1"/>
  <c r="BL69" i="14" s="1"/>
  <c r="BM69" i="14" s="1"/>
  <c r="BP69" i="14" s="1"/>
  <c r="T65" i="14"/>
  <c r="IX65" i="14" s="1"/>
  <c r="IZ65" i="14" s="1"/>
  <c r="P64" i="14"/>
  <c r="AE64" i="14" s="1"/>
  <c r="Q66" i="14"/>
  <c r="G62" i="14"/>
  <c r="N23" i="6"/>
  <c r="H63" i="14" s="1"/>
  <c r="GQ67" i="14" l="1"/>
  <c r="GT67" i="14" s="1"/>
  <c r="GM65" i="14"/>
  <c r="GN65" i="14" s="1"/>
  <c r="GO65" i="14" s="1"/>
  <c r="HT65" i="14" s="1"/>
  <c r="ID65" i="14" s="1"/>
  <c r="F49" i="15"/>
  <c r="F47" i="38"/>
  <c r="J50" i="15"/>
  <c r="J48" i="38"/>
  <c r="I50" i="15"/>
  <c r="I48" i="38"/>
  <c r="H49" i="15"/>
  <c r="H47" i="38"/>
  <c r="G48" i="15"/>
  <c r="G46" i="38"/>
  <c r="AG65" i="14"/>
  <c r="AH65" i="14" s="1"/>
  <c r="AI65" i="14" s="1"/>
  <c r="BN65" i="14" s="1"/>
  <c r="BX65" i="14" s="1"/>
  <c r="BN67" i="14"/>
  <c r="BX67" i="14" s="1"/>
  <c r="AK67" i="14"/>
  <c r="GO66" i="14"/>
  <c r="GP66" i="14"/>
  <c r="HU66" i="14" s="1"/>
  <c r="IL66" i="14" s="1"/>
  <c r="S64" i="14"/>
  <c r="AF64" i="14" s="1"/>
  <c r="GM64" i="14" s="1"/>
  <c r="GN64" i="14" s="1"/>
  <c r="GP64" i="14" s="1"/>
  <c r="HU64" i="14" s="1"/>
  <c r="IL64" i="14" s="1"/>
  <c r="AJ66" i="14"/>
  <c r="BO66" i="14" s="1"/>
  <c r="CF66" i="14" s="1"/>
  <c r="AI66" i="14"/>
  <c r="Q22" i="6"/>
  <c r="J63" i="14"/>
  <c r="P21" i="6"/>
  <c r="F62" i="14"/>
  <c r="I63" i="14"/>
  <c r="R67" i="14"/>
  <c r="AW68" i="14"/>
  <c r="BB68" i="14" s="1"/>
  <c r="BC68" i="14" s="1"/>
  <c r="BD68" i="14" s="1"/>
  <c r="BE68" i="14" s="1"/>
  <c r="BJ68" i="14" s="1"/>
  <c r="BK68" i="14" s="1"/>
  <c r="BL68" i="14" s="1"/>
  <c r="BM68" i="14" s="1"/>
  <c r="BP68" i="14" s="1"/>
  <c r="P63" i="14"/>
  <c r="AE63" i="14" s="1"/>
  <c r="IY65" i="14"/>
  <c r="JA65" i="14" s="1"/>
  <c r="JB65" i="14" s="1"/>
  <c r="Q65" i="14"/>
  <c r="T64" i="14"/>
  <c r="IX64" i="14" s="1"/>
  <c r="IZ64" i="14" s="1"/>
  <c r="R66" i="14"/>
  <c r="N22" i="6"/>
  <c r="H62" i="14" s="1"/>
  <c r="AJ65" i="14" l="1"/>
  <c r="BO65" i="14" s="1"/>
  <c r="CF65" i="14" s="1"/>
  <c r="GP65" i="14"/>
  <c r="HU65" i="14" s="1"/>
  <c r="IL65" i="14" s="1"/>
  <c r="I49" i="15"/>
  <c r="I47" i="38"/>
  <c r="F48" i="15"/>
  <c r="F46" i="38"/>
  <c r="AL64" i="14"/>
  <c r="AM64" i="14" s="1"/>
  <c r="AO64" i="14" s="1"/>
  <c r="J49" i="15"/>
  <c r="J47" i="38"/>
  <c r="H48" i="15"/>
  <c r="H46" i="38"/>
  <c r="GR64" i="14"/>
  <c r="GS64" i="14" s="1"/>
  <c r="GU64" i="14" s="1"/>
  <c r="AG64" i="14"/>
  <c r="AH64" i="14" s="1"/>
  <c r="AJ64" i="14" s="1"/>
  <c r="BO64" i="14" s="1"/>
  <c r="CF64" i="14" s="1"/>
  <c r="BG67" i="14"/>
  <c r="AQ67" i="14"/>
  <c r="AT67" i="14" s="1"/>
  <c r="AU67" i="14" s="1"/>
  <c r="AV67" i="14" s="1"/>
  <c r="AN67" i="14"/>
  <c r="AY67" i="14"/>
  <c r="BN66" i="14"/>
  <c r="BX66" i="14" s="1"/>
  <c r="AK66" i="14"/>
  <c r="S63" i="14"/>
  <c r="AF63" i="14" s="1"/>
  <c r="GM63" i="14" s="1"/>
  <c r="GN63" i="14" s="1"/>
  <c r="HT66" i="14"/>
  <c r="ID66" i="14" s="1"/>
  <c r="GQ66" i="14"/>
  <c r="GT66" i="14" s="1"/>
  <c r="I62" i="14"/>
  <c r="G60" i="14"/>
  <c r="G44" i="38" s="1"/>
  <c r="G61" i="14"/>
  <c r="P20" i="6"/>
  <c r="F61" i="14"/>
  <c r="Q21" i="6"/>
  <c r="J61" i="14" s="1"/>
  <c r="J62" i="14"/>
  <c r="GO64" i="14"/>
  <c r="GQ64" i="14" s="1"/>
  <c r="GT64" i="14" s="1"/>
  <c r="GQ65" i="14"/>
  <c r="GT65" i="14" s="1"/>
  <c r="IY64" i="14"/>
  <c r="JA64" i="14" s="1"/>
  <c r="JB64" i="14" s="1"/>
  <c r="R65" i="14"/>
  <c r="P62" i="14"/>
  <c r="AE62" i="14" s="1"/>
  <c r="Q64" i="14"/>
  <c r="T63" i="14"/>
  <c r="IX63" i="14" s="1"/>
  <c r="IZ63" i="14" s="1"/>
  <c r="N21" i="6"/>
  <c r="AK65" i="14" l="1"/>
  <c r="AY65" i="14" s="1"/>
  <c r="AI64" i="14"/>
  <c r="BN64" i="14" s="1"/>
  <c r="BX64" i="14" s="1"/>
  <c r="I48" i="15"/>
  <c r="I46" i="38"/>
  <c r="J48" i="15"/>
  <c r="J46" i="38"/>
  <c r="J47" i="15"/>
  <c r="J45" i="38"/>
  <c r="G47" i="15"/>
  <c r="G45" i="38"/>
  <c r="F47" i="15"/>
  <c r="F45" i="38"/>
  <c r="AL63" i="14"/>
  <c r="AM63" i="14" s="1"/>
  <c r="AO63" i="14" s="1"/>
  <c r="AG63" i="14"/>
  <c r="AH63" i="14" s="1"/>
  <c r="AJ63" i="14" s="1"/>
  <c r="BO63" i="14" s="1"/>
  <c r="CF63" i="14" s="1"/>
  <c r="AW67" i="14"/>
  <c r="BB67" i="14" s="1"/>
  <c r="BC67" i="14" s="1"/>
  <c r="BD67" i="14" s="1"/>
  <c r="BE67" i="14" s="1"/>
  <c r="BJ67" i="14" s="1"/>
  <c r="BK67" i="14" s="1"/>
  <c r="BL67" i="14" s="1"/>
  <c r="BM67" i="14" s="1"/>
  <c r="BP67" i="14" s="1"/>
  <c r="GR63" i="14"/>
  <c r="GS63" i="14" s="1"/>
  <c r="GU63" i="14" s="1"/>
  <c r="Q60" i="14"/>
  <c r="G46" i="15"/>
  <c r="S62" i="14"/>
  <c r="AF62" i="14" s="1"/>
  <c r="GM62" i="14" s="1"/>
  <c r="GN62" i="14" s="1"/>
  <c r="GP62" i="14" s="1"/>
  <c r="HU62" i="14" s="1"/>
  <c r="IL62" i="14" s="1"/>
  <c r="BG66" i="14"/>
  <c r="AQ66" i="14"/>
  <c r="AT66" i="14" s="1"/>
  <c r="AU66" i="14" s="1"/>
  <c r="AV66" i="14" s="1"/>
  <c r="AY66" i="14"/>
  <c r="AN66" i="14"/>
  <c r="F60" i="14"/>
  <c r="Q20" i="6"/>
  <c r="J60" i="14" s="1"/>
  <c r="N20" i="6"/>
  <c r="H60" i="14" s="1"/>
  <c r="H44" i="38" s="1"/>
  <c r="H61" i="14"/>
  <c r="I60" i="14"/>
  <c r="I44" i="38" s="1"/>
  <c r="I61" i="14"/>
  <c r="HT64" i="14"/>
  <c r="ID64" i="14" s="1"/>
  <c r="AN65" i="14"/>
  <c r="AQ65" i="14"/>
  <c r="AT65" i="14" s="1"/>
  <c r="AU65" i="14" s="1"/>
  <c r="AV65" i="14" s="1"/>
  <c r="BG65" i="14"/>
  <c r="T61" i="14"/>
  <c r="IX61" i="14" s="1"/>
  <c r="IZ61" i="14" s="1"/>
  <c r="R64" i="14"/>
  <c r="P61" i="14"/>
  <c r="AE61" i="14" s="1"/>
  <c r="GO63" i="14"/>
  <c r="GP63" i="14"/>
  <c r="HU63" i="14" s="1"/>
  <c r="IL63" i="14" s="1"/>
  <c r="Q63" i="14"/>
  <c r="T62" i="14"/>
  <c r="IX62" i="14" s="1"/>
  <c r="IZ62" i="14" s="1"/>
  <c r="IY63" i="14"/>
  <c r="JA63" i="14" s="1"/>
  <c r="JB63" i="14" s="1"/>
  <c r="AK64" i="14" l="1"/>
  <c r="AQ64" i="14" s="1"/>
  <c r="AT64" i="14" s="1"/>
  <c r="AU64" i="14" s="1"/>
  <c r="AV64" i="14" s="1"/>
  <c r="J46" i="15"/>
  <c r="J44" i="38"/>
  <c r="F46" i="15"/>
  <c r="F44" i="38"/>
  <c r="I47" i="15"/>
  <c r="I45" i="38"/>
  <c r="AI63" i="14"/>
  <c r="BN63" i="14" s="1"/>
  <c r="BX63" i="14" s="1"/>
  <c r="H47" i="15"/>
  <c r="H45" i="38"/>
  <c r="AG62" i="14"/>
  <c r="AH62" i="14" s="1"/>
  <c r="AJ62" i="14" s="1"/>
  <c r="BO62" i="14" s="1"/>
  <c r="CF62" i="14" s="1"/>
  <c r="AL62" i="14"/>
  <c r="AM62" i="14" s="1"/>
  <c r="AO62" i="14" s="1"/>
  <c r="GR62" i="14"/>
  <c r="GS62" i="14" s="1"/>
  <c r="GU62" i="14" s="1"/>
  <c r="AW66" i="14"/>
  <c r="BB66" i="14" s="1"/>
  <c r="BC66" i="14" s="1"/>
  <c r="BD66" i="14" s="1"/>
  <c r="BE66" i="14" s="1"/>
  <c r="BJ66" i="14" s="1"/>
  <c r="BK66" i="14" s="1"/>
  <c r="BL66" i="14" s="1"/>
  <c r="BM66" i="14" s="1"/>
  <c r="BP66" i="14" s="1"/>
  <c r="S60" i="14"/>
  <c r="I46" i="15"/>
  <c r="S61" i="14"/>
  <c r="AF61" i="14" s="1"/>
  <c r="GM61" i="14" s="1"/>
  <c r="GN61" i="14" s="1"/>
  <c r="GP61" i="14" s="1"/>
  <c r="HU61" i="14" s="1"/>
  <c r="IL61" i="14" s="1"/>
  <c r="R60" i="14"/>
  <c r="H46" i="15"/>
  <c r="BG64" i="14"/>
  <c r="AY64" i="14"/>
  <c r="AN64" i="14"/>
  <c r="AW64" i="14" s="1"/>
  <c r="AW65" i="14"/>
  <c r="BB65" i="14" s="1"/>
  <c r="BC65" i="14" s="1"/>
  <c r="BD65" i="14" s="1"/>
  <c r="BE65" i="14" s="1"/>
  <c r="BJ65" i="14" s="1"/>
  <c r="BK65" i="14" s="1"/>
  <c r="BL65" i="14" s="1"/>
  <c r="BM65" i="14" s="1"/>
  <c r="BP65" i="14" s="1"/>
  <c r="GO62" i="14"/>
  <c r="GQ62" i="14" s="1"/>
  <c r="GT62" i="14" s="1"/>
  <c r="T60" i="14"/>
  <c r="IX60" i="14" s="1"/>
  <c r="IY62" i="14"/>
  <c r="JA62" i="14" s="1"/>
  <c r="JB62" i="14" s="1"/>
  <c r="P60" i="14"/>
  <c r="AE60" i="14" s="1"/>
  <c r="R63" i="14"/>
  <c r="IY61" i="14"/>
  <c r="JA61" i="14" s="1"/>
  <c r="JB61" i="14" s="1"/>
  <c r="Q62" i="14"/>
  <c r="HT63" i="14"/>
  <c r="ID63" i="14" s="1"/>
  <c r="GQ63" i="14"/>
  <c r="GT63" i="14" s="1"/>
  <c r="AF60" i="14" l="1"/>
  <c r="GM60" i="14" s="1"/>
  <c r="GN60" i="14" s="1"/>
  <c r="AK63" i="14"/>
  <c r="AN63" i="14" s="1"/>
  <c r="AI62" i="14"/>
  <c r="BN62" i="14" s="1"/>
  <c r="BX62" i="14" s="1"/>
  <c r="AG61" i="14"/>
  <c r="AH61" i="14" s="1"/>
  <c r="AJ61" i="14" s="1"/>
  <c r="BO61" i="14" s="1"/>
  <c r="CF61" i="14" s="1"/>
  <c r="GR61" i="14"/>
  <c r="GS61" i="14" s="1"/>
  <c r="GU61" i="14" s="1"/>
  <c r="AL61" i="14"/>
  <c r="AM61" i="14" s="1"/>
  <c r="AO61" i="14" s="1"/>
  <c r="BB64" i="14"/>
  <c r="BC64" i="14" s="1"/>
  <c r="BD64" i="14" s="1"/>
  <c r="BE64" i="14" s="1"/>
  <c r="BJ64" i="14" s="1"/>
  <c r="BK64" i="14" s="1"/>
  <c r="BL64" i="14" s="1"/>
  <c r="BM64" i="14" s="1"/>
  <c r="BP64" i="14" s="1"/>
  <c r="IZ60" i="14"/>
  <c r="IY60" i="14"/>
  <c r="AG60" i="14"/>
  <c r="AH60" i="14" s="1"/>
  <c r="AJ60" i="14" s="1"/>
  <c r="BO60" i="14" s="1"/>
  <c r="CF60" i="14" s="1"/>
  <c r="GR60" i="14"/>
  <c r="GS60" i="14" s="1"/>
  <c r="HT62" i="14"/>
  <c r="ID62" i="14" s="1"/>
  <c r="AL60" i="14"/>
  <c r="AM60" i="14" s="1"/>
  <c r="AO60" i="14" s="1"/>
  <c r="GO61" i="14"/>
  <c r="HT61" i="14" s="1"/>
  <c r="ID61" i="14" s="1"/>
  <c r="R62" i="14"/>
  <c r="Q61" i="14"/>
  <c r="CJ89" i="14" l="1"/>
  <c r="CJ87" i="14"/>
  <c r="CJ88" i="14"/>
  <c r="CJ86" i="14"/>
  <c r="AK62" i="14"/>
  <c r="AN62" i="14" s="1"/>
  <c r="AQ63" i="14"/>
  <c r="AT63" i="14" s="1"/>
  <c r="AU63" i="14" s="1"/>
  <c r="AV63" i="14" s="1"/>
  <c r="AW63" i="14" s="1"/>
  <c r="BB63" i="14" s="1"/>
  <c r="BC63" i="14" s="1"/>
  <c r="BD63" i="14" s="1"/>
  <c r="BE63" i="14" s="1"/>
  <c r="BJ63" i="14" s="1"/>
  <c r="BK63" i="14" s="1"/>
  <c r="BL63" i="14" s="1"/>
  <c r="BM63" i="14" s="1"/>
  <c r="BP63" i="14" s="1"/>
  <c r="AY63" i="14"/>
  <c r="BG63" i="14"/>
  <c r="GP60" i="14"/>
  <c r="GO60" i="14"/>
  <c r="AI61" i="14"/>
  <c r="BN61" i="14" s="1"/>
  <c r="BX61" i="14" s="1"/>
  <c r="JA60" i="14"/>
  <c r="JC60" i="14" s="1"/>
  <c r="GU60" i="14"/>
  <c r="AI60" i="14"/>
  <c r="AK60" i="14" s="1"/>
  <c r="BG60" i="14" s="1"/>
  <c r="AQ62" i="14"/>
  <c r="AT62" i="14" s="1"/>
  <c r="AU62" i="14" s="1"/>
  <c r="AV62" i="14" s="1"/>
  <c r="AW62" i="14" s="1"/>
  <c r="GQ61" i="14"/>
  <c r="GT61" i="14" s="1"/>
  <c r="R61" i="14"/>
  <c r="AY62" i="14" l="1"/>
  <c r="BG62" i="14"/>
  <c r="GQ60" i="14"/>
  <c r="GT60" i="14" s="1"/>
  <c r="JC68" i="14"/>
  <c r="AH52" i="38" s="1"/>
  <c r="JC64" i="14"/>
  <c r="JB60" i="14"/>
  <c r="JD60" i="14" s="1"/>
  <c r="AG44" i="38" s="1"/>
  <c r="AK61" i="14"/>
  <c r="BG61" i="14" s="1"/>
  <c r="JC61" i="14"/>
  <c r="AH45" i="38" s="1"/>
  <c r="JC65" i="14"/>
  <c r="AH49" i="38" s="1"/>
  <c r="JC69" i="14"/>
  <c r="AH53" i="38" s="1"/>
  <c r="JC66" i="14"/>
  <c r="AF50" i="38" s="1"/>
  <c r="JC63" i="14"/>
  <c r="AU49" i="15" s="1"/>
  <c r="BH49" i="15" s="1"/>
  <c r="JC67" i="14"/>
  <c r="AF51" i="38" s="1"/>
  <c r="JC62" i="14"/>
  <c r="AH46" i="38" s="1"/>
  <c r="AH48" i="38"/>
  <c r="AF48" i="38"/>
  <c r="AU46" i="15"/>
  <c r="BH46" i="15" s="1"/>
  <c r="AF44" i="38"/>
  <c r="AH44" i="38"/>
  <c r="BN60" i="14"/>
  <c r="CE61" i="14"/>
  <c r="CE156" i="14"/>
  <c r="CO156" i="14" s="1"/>
  <c r="CE149" i="14"/>
  <c r="CO149" i="14" s="1"/>
  <c r="CE157" i="14"/>
  <c r="CO157" i="14" s="1"/>
  <c r="CE155" i="14"/>
  <c r="CO155" i="14" s="1"/>
  <c r="CE154" i="14"/>
  <c r="CO154" i="14" s="1"/>
  <c r="CE148" i="14"/>
  <c r="CO148" i="14" s="1"/>
  <c r="CE147" i="14"/>
  <c r="CO147" i="14" s="1"/>
  <c r="CE153" i="14"/>
  <c r="CO153" i="14" s="1"/>
  <c r="CE160" i="14"/>
  <c r="CO160" i="14" s="1"/>
  <c r="CE152" i="14"/>
  <c r="CO152" i="14" s="1"/>
  <c r="CE158" i="14"/>
  <c r="CO158" i="14" s="1"/>
  <c r="CE151" i="14"/>
  <c r="CO151" i="14" s="1"/>
  <c r="CE159" i="14"/>
  <c r="CO159" i="14" s="1"/>
  <c r="CE150" i="14"/>
  <c r="CO150" i="14" s="1"/>
  <c r="CE145" i="14"/>
  <c r="CO145" i="14" s="1"/>
  <c r="CE146" i="14"/>
  <c r="CO146" i="14" s="1"/>
  <c r="CE144" i="14"/>
  <c r="CO144" i="14" s="1"/>
  <c r="CE143" i="14"/>
  <c r="CO143" i="14" s="1"/>
  <c r="CE142" i="14"/>
  <c r="CO142" i="14" s="1"/>
  <c r="CE139" i="14"/>
  <c r="CO139" i="14" s="1"/>
  <c r="CE141" i="14"/>
  <c r="CO141" i="14" s="1"/>
  <c r="CE140" i="14"/>
  <c r="CO140" i="14" s="1"/>
  <c r="CE136" i="14"/>
  <c r="CO136" i="14" s="1"/>
  <c r="CE138" i="14"/>
  <c r="CO138" i="14" s="1"/>
  <c r="CE137" i="14"/>
  <c r="CO137" i="14" s="1"/>
  <c r="CE133" i="14"/>
  <c r="CO133" i="14" s="1"/>
  <c r="CE134" i="14"/>
  <c r="CO134" i="14" s="1"/>
  <c r="CE135" i="14"/>
  <c r="CO135" i="14" s="1"/>
  <c r="CE131" i="14"/>
  <c r="CO131" i="14" s="1"/>
  <c r="CE132" i="14"/>
  <c r="CO132" i="14" s="1"/>
  <c r="CE129" i="14"/>
  <c r="CO129" i="14" s="1"/>
  <c r="CE128" i="14"/>
  <c r="CO128" i="14" s="1"/>
  <c r="CE130" i="14"/>
  <c r="CO130" i="14" s="1"/>
  <c r="CE127" i="14"/>
  <c r="CO127" i="14" s="1"/>
  <c r="CE126" i="14"/>
  <c r="CO126" i="14" s="1"/>
  <c r="CE123" i="14"/>
  <c r="CO123" i="14" s="1"/>
  <c r="CE124" i="14"/>
  <c r="CO124" i="14" s="1"/>
  <c r="CE125" i="14"/>
  <c r="CO125" i="14" s="1"/>
  <c r="CE121" i="14"/>
  <c r="CO121" i="14" s="1"/>
  <c r="CE120" i="14"/>
  <c r="CO120" i="14" s="1"/>
  <c r="CE122" i="14"/>
  <c r="CO122" i="14" s="1"/>
  <c r="CE119" i="14"/>
  <c r="CO119" i="14" s="1"/>
  <c r="CE117" i="14"/>
  <c r="CO117" i="14" s="1"/>
  <c r="CE118" i="14"/>
  <c r="CO118" i="14" s="1"/>
  <c r="CE113" i="14"/>
  <c r="CO113" i="14" s="1"/>
  <c r="CE116" i="14"/>
  <c r="CO116" i="14" s="1"/>
  <c r="CE115" i="14"/>
  <c r="CO115" i="14" s="1"/>
  <c r="CE114" i="14"/>
  <c r="CO114" i="14" s="1"/>
  <c r="CE112" i="14"/>
  <c r="CO112" i="14" s="1"/>
  <c r="CE111" i="14"/>
  <c r="CO111" i="14" s="1"/>
  <c r="CE109" i="14"/>
  <c r="CO109" i="14" s="1"/>
  <c r="CE108" i="14"/>
  <c r="CO108" i="14" s="1"/>
  <c r="CE110" i="14"/>
  <c r="CO110" i="14" s="1"/>
  <c r="CE107" i="14"/>
  <c r="CO107" i="14" s="1"/>
  <c r="CE106" i="14"/>
  <c r="CO106" i="14" s="1"/>
  <c r="CE105" i="14"/>
  <c r="CO105" i="14" s="1"/>
  <c r="CE104" i="14"/>
  <c r="CO104" i="14" s="1"/>
  <c r="CE102" i="14"/>
  <c r="CO102" i="14" s="1"/>
  <c r="CE103" i="14"/>
  <c r="CO103" i="14" s="1"/>
  <c r="CE101" i="14"/>
  <c r="CO101" i="14" s="1"/>
  <c r="CE100" i="14"/>
  <c r="CO100" i="14" s="1"/>
  <c r="CE98" i="14"/>
  <c r="CO98" i="14" s="1"/>
  <c r="CE99" i="14"/>
  <c r="CO99" i="14" s="1"/>
  <c r="CE97" i="14"/>
  <c r="CO97" i="14" s="1"/>
  <c r="CE94" i="14"/>
  <c r="CO94" i="14" s="1"/>
  <c r="CE96" i="14"/>
  <c r="CO96" i="14" s="1"/>
  <c r="CE95" i="14"/>
  <c r="CO95" i="14" s="1"/>
  <c r="CE92" i="14"/>
  <c r="CO92" i="14" s="1"/>
  <c r="CE93" i="14"/>
  <c r="CO93" i="14" s="1"/>
  <c r="CE91" i="14"/>
  <c r="CO91" i="14" s="1"/>
  <c r="CE88" i="14"/>
  <c r="CE90" i="14"/>
  <c r="CO90" i="14" s="1"/>
  <c r="CE89" i="14"/>
  <c r="CE87" i="14"/>
  <c r="CE86" i="14"/>
  <c r="CE85" i="14"/>
  <c r="CE83" i="14"/>
  <c r="CE84" i="14"/>
  <c r="CE80" i="14"/>
  <c r="CE82" i="14"/>
  <c r="CE81" i="14"/>
  <c r="CE79" i="14"/>
  <c r="CE76" i="14"/>
  <c r="CE77" i="14"/>
  <c r="CE78" i="14"/>
  <c r="CE75" i="14"/>
  <c r="CE72" i="14"/>
  <c r="CE74" i="14"/>
  <c r="CE73" i="14"/>
  <c r="CE70" i="14"/>
  <c r="CE71" i="14"/>
  <c r="CE68" i="14"/>
  <c r="CE67" i="14"/>
  <c r="CE69" i="14"/>
  <c r="CE66" i="14"/>
  <c r="CE65" i="14"/>
  <c r="CE64" i="14"/>
  <c r="CE62" i="14"/>
  <c r="CM60" i="14"/>
  <c r="CM146" i="14"/>
  <c r="CP146" i="14" s="1"/>
  <c r="CM160" i="14"/>
  <c r="CP160" i="14" s="1"/>
  <c r="CM152" i="14"/>
  <c r="CP152" i="14" s="1"/>
  <c r="CM158" i="14"/>
  <c r="CP158" i="14" s="1"/>
  <c r="CM151" i="14"/>
  <c r="CP151" i="14" s="1"/>
  <c r="CM148" i="14"/>
  <c r="CP148" i="14" s="1"/>
  <c r="CM159" i="14"/>
  <c r="CP159" i="14" s="1"/>
  <c r="CM150" i="14"/>
  <c r="CP150" i="14" s="1"/>
  <c r="CM156" i="14"/>
  <c r="CP156" i="14" s="1"/>
  <c r="CM149" i="14"/>
  <c r="CP149" i="14" s="1"/>
  <c r="CM157" i="14"/>
  <c r="CP157" i="14" s="1"/>
  <c r="CM155" i="14"/>
  <c r="CP155" i="14" s="1"/>
  <c r="CM154" i="14"/>
  <c r="CP154" i="14" s="1"/>
  <c r="CM147" i="14"/>
  <c r="CP147" i="14" s="1"/>
  <c r="CM153" i="14"/>
  <c r="CP153" i="14" s="1"/>
  <c r="CM145" i="14"/>
  <c r="CP145" i="14" s="1"/>
  <c r="CM144" i="14"/>
  <c r="CP144" i="14" s="1"/>
  <c r="CM143" i="14"/>
  <c r="CP143" i="14" s="1"/>
  <c r="CM141" i="14"/>
  <c r="CP141" i="14" s="1"/>
  <c r="CM142" i="14"/>
  <c r="CP142" i="14" s="1"/>
  <c r="CM139" i="14"/>
  <c r="CP139" i="14" s="1"/>
  <c r="CM140" i="14"/>
  <c r="CP140" i="14" s="1"/>
  <c r="CM138" i="14"/>
  <c r="CP138" i="14" s="1"/>
  <c r="CM137" i="14"/>
  <c r="CP137" i="14" s="1"/>
  <c r="CM135" i="14"/>
  <c r="CP135" i="14" s="1"/>
  <c r="CM136" i="14"/>
  <c r="CP136" i="14" s="1"/>
  <c r="CM132" i="14"/>
  <c r="CP132" i="14" s="1"/>
  <c r="CM134" i="14"/>
  <c r="CP134" i="14" s="1"/>
  <c r="CM133" i="14"/>
  <c r="CP133" i="14" s="1"/>
  <c r="CM130" i="14"/>
  <c r="CP130" i="14" s="1"/>
  <c r="CM129" i="14"/>
  <c r="CP129" i="14" s="1"/>
  <c r="CM131" i="14"/>
  <c r="CP131" i="14" s="1"/>
  <c r="CM127" i="14"/>
  <c r="CP127" i="14" s="1"/>
  <c r="CM128" i="14"/>
  <c r="CP128" i="14" s="1"/>
  <c r="CM125" i="14"/>
  <c r="CP125" i="14" s="1"/>
  <c r="CM126" i="14"/>
  <c r="CP126" i="14" s="1"/>
  <c r="CM122" i="14"/>
  <c r="CP122" i="14" s="1"/>
  <c r="CM124" i="14"/>
  <c r="CP124" i="14" s="1"/>
  <c r="CM123" i="14"/>
  <c r="CP123" i="14" s="1"/>
  <c r="CM121" i="14"/>
  <c r="CP121" i="14" s="1"/>
  <c r="CM120" i="14"/>
  <c r="CP120" i="14" s="1"/>
  <c r="CM118" i="14"/>
  <c r="CP118" i="14" s="1"/>
  <c r="CM117" i="14"/>
  <c r="CP117" i="14" s="1"/>
  <c r="CM119" i="14"/>
  <c r="CP119" i="14" s="1"/>
  <c r="CM115" i="14"/>
  <c r="CP115" i="14" s="1"/>
  <c r="CM116" i="14"/>
  <c r="CP116" i="14" s="1"/>
  <c r="CM114" i="14"/>
  <c r="CP114" i="14" s="1"/>
  <c r="CM111" i="14"/>
  <c r="CP111" i="14" s="1"/>
  <c r="CM113" i="14"/>
  <c r="CP113" i="14" s="1"/>
  <c r="CM110" i="14"/>
  <c r="CP110" i="14" s="1"/>
  <c r="CM112" i="14"/>
  <c r="CP112" i="14" s="1"/>
  <c r="CM109" i="14"/>
  <c r="CP109" i="14" s="1"/>
  <c r="CM107" i="14"/>
  <c r="CP107" i="14" s="1"/>
  <c r="CM106" i="14"/>
  <c r="CP106" i="14" s="1"/>
  <c r="CM108" i="14"/>
  <c r="CP108" i="14" s="1"/>
  <c r="CM105" i="14"/>
  <c r="CP105" i="14" s="1"/>
  <c r="CM104" i="14"/>
  <c r="CP104" i="14" s="1"/>
  <c r="CM101" i="14"/>
  <c r="CP101" i="14" s="1"/>
  <c r="CM103" i="14"/>
  <c r="CP103" i="14" s="1"/>
  <c r="CM102" i="14"/>
  <c r="CP102" i="14" s="1"/>
  <c r="CM100" i="14"/>
  <c r="CP100" i="14" s="1"/>
  <c r="CM99" i="14"/>
  <c r="CP99" i="14" s="1"/>
  <c r="CM98" i="14"/>
  <c r="CP98" i="14" s="1"/>
  <c r="CM96" i="14"/>
  <c r="CP96" i="14" s="1"/>
  <c r="CM95" i="14"/>
  <c r="CP95" i="14" s="1"/>
  <c r="CM97" i="14"/>
  <c r="CP97" i="14" s="1"/>
  <c r="CM93" i="14"/>
  <c r="CP93" i="14" s="1"/>
  <c r="CM94" i="14"/>
  <c r="CP94" i="14" s="1"/>
  <c r="CM90" i="14"/>
  <c r="CP90" i="14" s="1"/>
  <c r="CM91" i="14"/>
  <c r="CP91" i="14" s="1"/>
  <c r="CM92" i="14"/>
  <c r="CP92" i="14" s="1"/>
  <c r="CM89" i="14"/>
  <c r="CP89" i="14" s="1"/>
  <c r="CM88" i="14"/>
  <c r="CP88" i="14" s="1"/>
  <c r="CM86" i="14"/>
  <c r="CP86" i="14" s="1"/>
  <c r="CM87" i="14"/>
  <c r="CP87" i="14" s="1"/>
  <c r="CM85" i="14"/>
  <c r="CM83" i="14"/>
  <c r="CM82" i="14"/>
  <c r="CM84" i="14"/>
  <c r="CM81" i="14"/>
  <c r="CM80" i="14"/>
  <c r="CM79" i="14"/>
  <c r="CM77" i="14"/>
  <c r="CM78" i="14"/>
  <c r="CM75" i="14"/>
  <c r="CM76" i="14"/>
  <c r="CM73" i="14"/>
  <c r="CM74" i="14"/>
  <c r="CM72" i="14"/>
  <c r="CM71" i="14"/>
  <c r="CM70" i="14"/>
  <c r="CM69" i="14"/>
  <c r="CM66" i="14"/>
  <c r="CM67" i="14"/>
  <c r="CM68" i="14"/>
  <c r="CM64" i="14"/>
  <c r="CM65" i="14"/>
  <c r="CM62" i="14"/>
  <c r="CM61" i="14"/>
  <c r="CM63" i="14"/>
  <c r="CE63" i="14"/>
  <c r="BB62" i="14"/>
  <c r="BC62" i="14" s="1"/>
  <c r="BD62" i="14" s="1"/>
  <c r="BE62" i="14" s="1"/>
  <c r="BJ62" i="14" s="1"/>
  <c r="BK62" i="14" s="1"/>
  <c r="BL62" i="14" s="1"/>
  <c r="BM62" i="14" s="1"/>
  <c r="BP62" i="14" s="1"/>
  <c r="AN61" i="14"/>
  <c r="AQ61" i="14"/>
  <c r="AT61" i="14" s="1"/>
  <c r="AU61" i="14" s="1"/>
  <c r="AV61" i="14" s="1"/>
  <c r="AW46" i="15"/>
  <c r="BI46" i="15" s="1"/>
  <c r="AU50" i="15"/>
  <c r="BH50" i="15" s="1"/>
  <c r="AW50" i="15"/>
  <c r="BI50" i="15" s="1"/>
  <c r="AU54" i="15"/>
  <c r="BH54" i="15" s="1"/>
  <c r="AW54" i="15"/>
  <c r="BI54" i="15" s="1"/>
  <c r="AW55" i="15"/>
  <c r="BI55" i="15" s="1"/>
  <c r="AU55" i="15"/>
  <c r="BH55" i="15" s="1"/>
  <c r="JD68" i="14"/>
  <c r="JD64" i="14"/>
  <c r="JD65" i="14"/>
  <c r="JD61" i="14"/>
  <c r="JD67" i="14"/>
  <c r="JD63" i="14"/>
  <c r="JD66" i="14"/>
  <c r="JD62" i="14"/>
  <c r="JD69" i="14"/>
  <c r="AN60" i="14"/>
  <c r="AQ60" i="14"/>
  <c r="AT60" i="14" s="1"/>
  <c r="AU60" i="14" s="1"/>
  <c r="AV60" i="14" s="1"/>
  <c r="AY60" i="14"/>
  <c r="AY61" i="14" l="1"/>
  <c r="AW51" i="15"/>
  <c r="BI51" i="15" s="1"/>
  <c r="AU51" i="15"/>
  <c r="BH51" i="15" s="1"/>
  <c r="AF52" i="38"/>
  <c r="AI44" i="38"/>
  <c r="AU52" i="15"/>
  <c r="BH52" i="15" s="1"/>
  <c r="AW52" i="15"/>
  <c r="BI52" i="15" s="1"/>
  <c r="AU47" i="15"/>
  <c r="BH47" i="15" s="1"/>
  <c r="AF45" i="38"/>
  <c r="AW47" i="15"/>
  <c r="BI47" i="15" s="1"/>
  <c r="AW53" i="15"/>
  <c r="BI53" i="15" s="1"/>
  <c r="AU53" i="15"/>
  <c r="BH53" i="15" s="1"/>
  <c r="AF53" i="38"/>
  <c r="AF49" i="38"/>
  <c r="AH47" i="38"/>
  <c r="AW49" i="15"/>
  <c r="BI49" i="15" s="1"/>
  <c r="AF47" i="38"/>
  <c r="AH50" i="38"/>
  <c r="AW48" i="15"/>
  <c r="BI48" i="15" s="1"/>
  <c r="AH51" i="38"/>
  <c r="AF46" i="38"/>
  <c r="AU48" i="15"/>
  <c r="BH48" i="15" s="1"/>
  <c r="AH76" i="40"/>
  <c r="AH117" i="40"/>
  <c r="AH125" i="40"/>
  <c r="V77" i="38"/>
  <c r="AH78" i="40"/>
  <c r="V84" i="38"/>
  <c r="AH85" i="40"/>
  <c r="V94" i="38"/>
  <c r="AH95" i="40"/>
  <c r="V97" i="38"/>
  <c r="AH98" i="40"/>
  <c r="V108" i="38"/>
  <c r="AH109" i="40"/>
  <c r="V115" i="38"/>
  <c r="AH116" i="40"/>
  <c r="AH126" i="40"/>
  <c r="AH144" i="40"/>
  <c r="V138" i="38"/>
  <c r="AH139" i="40"/>
  <c r="V134" i="38"/>
  <c r="AH135" i="40"/>
  <c r="V76" i="38"/>
  <c r="AH77" i="40"/>
  <c r="V85" i="38"/>
  <c r="AH86" i="40"/>
  <c r="AH93" i="40"/>
  <c r="V102" i="38"/>
  <c r="AH103" i="40"/>
  <c r="V107" i="38"/>
  <c r="AH108" i="40"/>
  <c r="V119" i="38"/>
  <c r="AH120" i="40"/>
  <c r="V123" i="38"/>
  <c r="AH124" i="40"/>
  <c r="AH136" i="40"/>
  <c r="V139" i="38"/>
  <c r="AH140" i="40"/>
  <c r="V132" i="38"/>
  <c r="AH133" i="40"/>
  <c r="V79" i="38"/>
  <c r="AH80" i="40"/>
  <c r="V87" i="38"/>
  <c r="AH88" i="40"/>
  <c r="V93" i="38"/>
  <c r="AH94" i="40"/>
  <c r="V101" i="38"/>
  <c r="AH102" i="40"/>
  <c r="AH111" i="40"/>
  <c r="AH119" i="40"/>
  <c r="V126" i="38"/>
  <c r="AH127" i="40"/>
  <c r="V142" i="38"/>
  <c r="AH143" i="40"/>
  <c r="V141" i="38"/>
  <c r="AH142" i="40"/>
  <c r="V82" i="38"/>
  <c r="AH83" i="40"/>
  <c r="V109" i="38"/>
  <c r="AH110" i="40"/>
  <c r="V80" i="38"/>
  <c r="AH81" i="40"/>
  <c r="V86" i="38"/>
  <c r="AH87" i="40"/>
  <c r="V95" i="38"/>
  <c r="AH96" i="40"/>
  <c r="V103" i="38"/>
  <c r="AH104" i="40"/>
  <c r="V111" i="38"/>
  <c r="AH112" i="40"/>
  <c r="V117" i="38"/>
  <c r="AH118" i="40"/>
  <c r="V127" i="38"/>
  <c r="AH128" i="40"/>
  <c r="V136" i="38"/>
  <c r="AH137" i="40"/>
  <c r="V133" i="38"/>
  <c r="AH134" i="40"/>
  <c r="V78" i="38"/>
  <c r="AH79" i="40"/>
  <c r="V88" i="38"/>
  <c r="AH89" i="40"/>
  <c r="V96" i="38"/>
  <c r="AH97" i="40"/>
  <c r="V106" i="38"/>
  <c r="AH107" i="40"/>
  <c r="V114" i="38"/>
  <c r="AH115" i="40"/>
  <c r="V121" i="38"/>
  <c r="AH122" i="40"/>
  <c r="V128" i="38"/>
  <c r="AH129" i="40"/>
  <c r="V144" i="38"/>
  <c r="AH145" i="40"/>
  <c r="V140" i="38"/>
  <c r="AH141" i="40"/>
  <c r="V91" i="38"/>
  <c r="AH92" i="40"/>
  <c r="V74" i="38"/>
  <c r="AH75" i="40"/>
  <c r="V81" i="38"/>
  <c r="AH82" i="40"/>
  <c r="V89" i="38"/>
  <c r="AH90" i="40"/>
  <c r="V98" i="38"/>
  <c r="AH99" i="40"/>
  <c r="V104" i="38"/>
  <c r="AH105" i="40"/>
  <c r="V112" i="38"/>
  <c r="AH113" i="40"/>
  <c r="V122" i="38"/>
  <c r="AH123" i="40"/>
  <c r="V130" i="38"/>
  <c r="AH131" i="40"/>
  <c r="AH138" i="40"/>
  <c r="V100" i="38"/>
  <c r="AH101" i="40"/>
  <c r="AH84" i="40"/>
  <c r="V90" i="38"/>
  <c r="AH91" i="40"/>
  <c r="V99" i="38"/>
  <c r="AH100" i="40"/>
  <c r="V105" i="38"/>
  <c r="AH106" i="40"/>
  <c r="V113" i="38"/>
  <c r="AH114" i="40"/>
  <c r="V120" i="38"/>
  <c r="AH121" i="40"/>
  <c r="V129" i="38"/>
  <c r="AH130" i="40"/>
  <c r="V131" i="38"/>
  <c r="AH132" i="40"/>
  <c r="V144" i="15"/>
  <c r="W142" i="38"/>
  <c r="AG47" i="38"/>
  <c r="AI47" i="38"/>
  <c r="V73" i="15"/>
  <c r="W71" i="38"/>
  <c r="V79" i="15"/>
  <c r="W77" i="38"/>
  <c r="V89" i="15"/>
  <c r="W87" i="38"/>
  <c r="V98" i="15"/>
  <c r="W96" i="38"/>
  <c r="V103" i="15"/>
  <c r="W101" i="38"/>
  <c r="V111" i="15"/>
  <c r="W109" i="38"/>
  <c r="V118" i="15"/>
  <c r="W116" i="38"/>
  <c r="V127" i="15"/>
  <c r="W125" i="38"/>
  <c r="V143" i="15"/>
  <c r="W141" i="38"/>
  <c r="V138" i="15"/>
  <c r="W136" i="38"/>
  <c r="U77" i="15"/>
  <c r="V75" i="38"/>
  <c r="U118" i="15"/>
  <c r="V116" i="38"/>
  <c r="U126" i="15"/>
  <c r="V124" i="38"/>
  <c r="V141" i="15"/>
  <c r="W139" i="38"/>
  <c r="U85" i="15"/>
  <c r="V83" i="38"/>
  <c r="V72" i="15"/>
  <c r="W70" i="38"/>
  <c r="V83" i="15"/>
  <c r="W81" i="38"/>
  <c r="V87" i="15"/>
  <c r="W85" i="38"/>
  <c r="V96" i="15"/>
  <c r="W94" i="38"/>
  <c r="V104" i="15"/>
  <c r="W102" i="38"/>
  <c r="V114" i="15"/>
  <c r="W112" i="38"/>
  <c r="V122" i="15"/>
  <c r="W120" i="38"/>
  <c r="V129" i="15"/>
  <c r="W127" i="38"/>
  <c r="V135" i="15"/>
  <c r="W133" i="38"/>
  <c r="V146" i="15"/>
  <c r="W144" i="38"/>
  <c r="U127" i="15"/>
  <c r="V125" i="38"/>
  <c r="U145" i="15"/>
  <c r="V143" i="38"/>
  <c r="V95" i="15"/>
  <c r="W93" i="38"/>
  <c r="V120" i="15"/>
  <c r="W118" i="38"/>
  <c r="AI45" i="38"/>
  <c r="AG45" i="38"/>
  <c r="V74" i="15"/>
  <c r="W72" i="38"/>
  <c r="V81" i="15"/>
  <c r="W79" i="38"/>
  <c r="V90" i="15"/>
  <c r="W88" i="38"/>
  <c r="V99" i="15"/>
  <c r="W97" i="38"/>
  <c r="V106" i="15"/>
  <c r="W104" i="38"/>
  <c r="V113" i="15"/>
  <c r="W111" i="38"/>
  <c r="V121" i="15"/>
  <c r="W119" i="38"/>
  <c r="V130" i="15"/>
  <c r="W128" i="38"/>
  <c r="V142" i="15"/>
  <c r="W140" i="38"/>
  <c r="V132" i="15"/>
  <c r="W130" i="38"/>
  <c r="U94" i="15"/>
  <c r="V92" i="38"/>
  <c r="U137" i="15"/>
  <c r="V135" i="38"/>
  <c r="V105" i="15"/>
  <c r="W103" i="38"/>
  <c r="AI51" i="38"/>
  <c r="AG51" i="38"/>
  <c r="V75" i="15"/>
  <c r="W73" i="38"/>
  <c r="V82" i="15"/>
  <c r="W80" i="38"/>
  <c r="V91" i="15"/>
  <c r="W89" i="38"/>
  <c r="V97" i="15"/>
  <c r="W95" i="38"/>
  <c r="V107" i="15"/>
  <c r="W105" i="38"/>
  <c r="V117" i="15"/>
  <c r="W115" i="38"/>
  <c r="V123" i="15"/>
  <c r="W121" i="38"/>
  <c r="V131" i="15"/>
  <c r="W129" i="38"/>
  <c r="V136" i="15"/>
  <c r="W134" i="38"/>
  <c r="U112" i="15"/>
  <c r="V110" i="38"/>
  <c r="U120" i="15"/>
  <c r="V118" i="38"/>
  <c r="AG50" i="38"/>
  <c r="AI50" i="38"/>
  <c r="V128" i="15"/>
  <c r="W126" i="38"/>
  <c r="AG49" i="38"/>
  <c r="AI49" i="38"/>
  <c r="AG48" i="38"/>
  <c r="AI48" i="38"/>
  <c r="V78" i="15"/>
  <c r="W76" i="38"/>
  <c r="V84" i="15"/>
  <c r="W82" i="38"/>
  <c r="V94" i="15"/>
  <c r="W92" i="38"/>
  <c r="V100" i="15"/>
  <c r="W98" i="38"/>
  <c r="V109" i="15"/>
  <c r="W107" i="38"/>
  <c r="V115" i="15"/>
  <c r="W113" i="38"/>
  <c r="V124" i="15"/>
  <c r="W122" i="38"/>
  <c r="V139" i="15"/>
  <c r="W137" i="38"/>
  <c r="V145" i="15"/>
  <c r="W143" i="38"/>
  <c r="V80" i="15"/>
  <c r="W78" i="38"/>
  <c r="V112" i="15"/>
  <c r="W110" i="38"/>
  <c r="V77" i="15"/>
  <c r="W75" i="38"/>
  <c r="V85" i="15"/>
  <c r="W83" i="38"/>
  <c r="V92" i="15"/>
  <c r="W90" i="38"/>
  <c r="V102" i="15"/>
  <c r="W100" i="38"/>
  <c r="V110" i="15"/>
  <c r="W108" i="38"/>
  <c r="V116" i="15"/>
  <c r="W114" i="38"/>
  <c r="V126" i="15"/>
  <c r="W124" i="38"/>
  <c r="V133" i="15"/>
  <c r="W131" i="38"/>
  <c r="V134" i="15"/>
  <c r="W132" i="38"/>
  <c r="V88" i="15"/>
  <c r="W86" i="38"/>
  <c r="AI53" i="38"/>
  <c r="AG53" i="38"/>
  <c r="AG52" i="38"/>
  <c r="AI52" i="38"/>
  <c r="AI46" i="38"/>
  <c r="AG46" i="38"/>
  <c r="V76" i="15"/>
  <c r="W74" i="38"/>
  <c r="V86" i="15"/>
  <c r="W84" i="38"/>
  <c r="V93" i="15"/>
  <c r="W91" i="38"/>
  <c r="V101" i="15"/>
  <c r="W99" i="38"/>
  <c r="V108" i="15"/>
  <c r="W106" i="38"/>
  <c r="V119" i="15"/>
  <c r="W117" i="38"/>
  <c r="V125" i="15"/>
  <c r="W123" i="38"/>
  <c r="V140" i="15"/>
  <c r="W138" i="38"/>
  <c r="V137" i="15"/>
  <c r="W135" i="38"/>
  <c r="U139" i="15"/>
  <c r="V137" i="38"/>
  <c r="AW60" i="14"/>
  <c r="BB60" i="14" s="1"/>
  <c r="BC60" i="14" s="1"/>
  <c r="BD60" i="14" s="1"/>
  <c r="BE60" i="14" s="1"/>
  <c r="BJ60" i="14" s="1"/>
  <c r="BK60" i="14" s="1"/>
  <c r="BL60" i="14" s="1"/>
  <c r="CE60" i="14"/>
  <c r="F10" i="16" s="1"/>
  <c r="U35" i="46" s="1"/>
  <c r="BX60" i="14"/>
  <c r="G10" i="16"/>
  <c r="V35" i="46" s="1"/>
  <c r="U84" i="15"/>
  <c r="U93" i="15"/>
  <c r="U102" i="15"/>
  <c r="U111" i="15"/>
  <c r="U136" i="15"/>
  <c r="U134" i="15"/>
  <c r="U79" i="15"/>
  <c r="U86" i="15"/>
  <c r="U96" i="15"/>
  <c r="U99" i="15"/>
  <c r="U110" i="15"/>
  <c r="U117" i="15"/>
  <c r="U140" i="15"/>
  <c r="U78" i="15"/>
  <c r="U87" i="15"/>
  <c r="U104" i="15"/>
  <c r="U109" i="15"/>
  <c r="U121" i="15"/>
  <c r="U125" i="15"/>
  <c r="CQ139" i="14"/>
  <c r="U141" i="15"/>
  <c r="U81" i="15"/>
  <c r="U89" i="15"/>
  <c r="U95" i="15"/>
  <c r="U103" i="15"/>
  <c r="U128" i="15"/>
  <c r="U144" i="15"/>
  <c r="U143" i="15"/>
  <c r="U82" i="15"/>
  <c r="U88" i="15"/>
  <c r="U97" i="15"/>
  <c r="U105" i="15"/>
  <c r="U113" i="15"/>
  <c r="U119" i="15"/>
  <c r="U129" i="15"/>
  <c r="U138" i="15"/>
  <c r="U135" i="15"/>
  <c r="U80" i="15"/>
  <c r="U90" i="15"/>
  <c r="U98" i="15"/>
  <c r="U108" i="15"/>
  <c r="U116" i="15"/>
  <c r="U123" i="15"/>
  <c r="U130" i="15"/>
  <c r="U146" i="15"/>
  <c r="U142" i="15"/>
  <c r="AW61" i="14"/>
  <c r="BB61" i="14" s="1"/>
  <c r="BC61" i="14" s="1"/>
  <c r="BD61" i="14" s="1"/>
  <c r="BE61" i="14" s="1"/>
  <c r="BJ61" i="14" s="1"/>
  <c r="BK61" i="14" s="1"/>
  <c r="BL61" i="14" s="1"/>
  <c r="BM61" i="14" s="1"/>
  <c r="BP61" i="14" s="1"/>
  <c r="U76" i="15"/>
  <c r="U83" i="15"/>
  <c r="U91" i="15"/>
  <c r="U100" i="15"/>
  <c r="U106" i="15"/>
  <c r="U114" i="15"/>
  <c r="U124" i="15"/>
  <c r="U132" i="15"/>
  <c r="U92" i="15"/>
  <c r="U101" i="15"/>
  <c r="U107" i="15"/>
  <c r="U115" i="15"/>
  <c r="U122" i="15"/>
  <c r="U131" i="15"/>
  <c r="U133" i="15"/>
  <c r="AX47" i="15"/>
  <c r="AV47" i="15"/>
  <c r="AX51" i="15"/>
  <c r="AV51" i="15"/>
  <c r="AV46" i="15"/>
  <c r="AX46" i="15"/>
  <c r="AX55" i="15"/>
  <c r="AV55" i="15"/>
  <c r="AV50" i="15"/>
  <c r="AX50" i="15"/>
  <c r="AX48" i="15"/>
  <c r="AV48" i="15"/>
  <c r="AV54" i="15"/>
  <c r="AX54" i="15"/>
  <c r="AX52" i="15"/>
  <c r="AV52" i="15"/>
  <c r="AV49" i="15"/>
  <c r="AX49" i="15"/>
  <c r="AV53" i="15"/>
  <c r="AX53" i="15"/>
  <c r="CJ60" i="14"/>
  <c r="CJ84" i="14"/>
  <c r="CP84" i="14" s="1"/>
  <c r="CJ85" i="14"/>
  <c r="CP85" i="14" s="1"/>
  <c r="CJ83" i="14"/>
  <c r="CP83" i="14" s="1"/>
  <c r="CJ82" i="14"/>
  <c r="CP82" i="14" s="1"/>
  <c r="CJ81" i="14"/>
  <c r="CP81" i="14" s="1"/>
  <c r="CJ80" i="14"/>
  <c r="CP80" i="14" s="1"/>
  <c r="CJ79" i="14"/>
  <c r="CP79" i="14" s="1"/>
  <c r="CJ78" i="14"/>
  <c r="CP78" i="14" s="1"/>
  <c r="CJ77" i="14"/>
  <c r="CP77" i="14" s="1"/>
  <c r="CJ76" i="14"/>
  <c r="CP76" i="14" s="1"/>
  <c r="CJ75" i="14"/>
  <c r="CP75" i="14" s="1"/>
  <c r="CJ74" i="14"/>
  <c r="CP74" i="14" s="1"/>
  <c r="CJ73" i="14"/>
  <c r="CP73" i="14" s="1"/>
  <c r="CJ72" i="14"/>
  <c r="CP72" i="14" s="1"/>
  <c r="CJ71" i="14"/>
  <c r="CP71" i="14" s="1"/>
  <c r="CJ70" i="14"/>
  <c r="CP70" i="14" s="1"/>
  <c r="CJ69" i="14"/>
  <c r="CP69" i="14" s="1"/>
  <c r="CJ68" i="14"/>
  <c r="CP68" i="14" s="1"/>
  <c r="CJ66" i="14"/>
  <c r="CP66" i="14" s="1"/>
  <c r="CJ67" i="14"/>
  <c r="CP67" i="14" s="1"/>
  <c r="CJ65" i="14"/>
  <c r="CP65" i="14" s="1"/>
  <c r="CJ63" i="14"/>
  <c r="CP63" i="14" s="1"/>
  <c r="CJ64" i="14"/>
  <c r="CP64" i="14" s="1"/>
  <c r="CJ62" i="14"/>
  <c r="CP62" i="14" s="1"/>
  <c r="CJ61" i="14"/>
  <c r="CP61" i="14" s="1"/>
  <c r="CB84" i="14"/>
  <c r="CO84" i="14" s="1"/>
  <c r="CB85" i="14"/>
  <c r="CO85" i="14" s="1"/>
  <c r="HU60" i="14"/>
  <c r="IL60" i="14" s="1"/>
  <c r="AW97" i="38" l="1"/>
  <c r="BB97" i="38" s="1"/>
  <c r="BC97" i="38" s="1"/>
  <c r="L98" i="40" s="1"/>
  <c r="AW141" i="38"/>
  <c r="BB141" i="38" s="1"/>
  <c r="BC141" i="38" s="1"/>
  <c r="L142" i="40" s="1"/>
  <c r="AW101" i="38"/>
  <c r="BB101" i="38" s="1"/>
  <c r="BC101" i="38" s="1"/>
  <c r="L102" i="40" s="1"/>
  <c r="BF62" i="43" s="1"/>
  <c r="BF62" i="45" s="1"/>
  <c r="AW76" i="38"/>
  <c r="BB76" i="38" s="1"/>
  <c r="BC76" i="38" s="1"/>
  <c r="L77" i="40" s="1"/>
  <c r="AW132" i="38"/>
  <c r="BB132" i="38" s="1"/>
  <c r="BC132" i="38" s="1"/>
  <c r="L133" i="40" s="1"/>
  <c r="AW87" i="38"/>
  <c r="BB87" i="38" s="1"/>
  <c r="BC87" i="38" s="1"/>
  <c r="L88" i="40" s="1"/>
  <c r="BJ82" i="38"/>
  <c r="CB83" i="14"/>
  <c r="CO83" i="14" s="1"/>
  <c r="U69" i="15" s="1"/>
  <c r="CB89" i="14"/>
  <c r="CO89" i="14" s="1"/>
  <c r="CB86" i="14"/>
  <c r="CO86" i="14" s="1"/>
  <c r="CB88" i="14"/>
  <c r="CO88" i="14" s="1"/>
  <c r="CB87" i="14"/>
  <c r="CO87" i="14" s="1"/>
  <c r="IP89" i="14"/>
  <c r="IP86" i="14"/>
  <c r="IP88" i="14"/>
  <c r="IP87" i="14"/>
  <c r="CB63" i="14"/>
  <c r="CO63" i="14" s="1"/>
  <c r="V47" i="38" s="1"/>
  <c r="AW93" i="38"/>
  <c r="BB93" i="38" s="1"/>
  <c r="BC93" i="38" s="1"/>
  <c r="L94" i="40" s="1"/>
  <c r="AW138" i="38"/>
  <c r="BB138" i="38" s="1"/>
  <c r="BC138" i="38" s="1"/>
  <c r="L139" i="40" s="1"/>
  <c r="CB60" i="14"/>
  <c r="CO60" i="14" s="1"/>
  <c r="AW107" i="38"/>
  <c r="BB107" i="38" s="1"/>
  <c r="BC107" i="38" s="1"/>
  <c r="L108" i="40" s="1"/>
  <c r="AW130" i="38"/>
  <c r="BB130" i="38" s="1"/>
  <c r="BC130" i="38" s="1"/>
  <c r="L131" i="40" s="1"/>
  <c r="CB67" i="14"/>
  <c r="CO67" i="14" s="1"/>
  <c r="U53" i="15" s="1"/>
  <c r="CB68" i="14"/>
  <c r="CO68" i="14" s="1"/>
  <c r="V52" i="38" s="1"/>
  <c r="CB73" i="14"/>
  <c r="CO73" i="14" s="1"/>
  <c r="U59" i="15" s="1"/>
  <c r="CB76" i="14"/>
  <c r="CO76" i="14" s="1"/>
  <c r="V60" i="38" s="1"/>
  <c r="AW111" i="38"/>
  <c r="BB111" i="38" s="1"/>
  <c r="BC111" i="38" s="1"/>
  <c r="L112" i="40" s="1"/>
  <c r="CB70" i="14"/>
  <c r="CO70" i="14" s="1"/>
  <c r="V54" i="38" s="1"/>
  <c r="AW91" i="38"/>
  <c r="BB91" i="38" s="1"/>
  <c r="BC91" i="38" s="1"/>
  <c r="L92" i="40" s="1"/>
  <c r="BF60" i="43" s="1"/>
  <c r="BF60" i="45" s="1"/>
  <c r="AW98" i="38"/>
  <c r="BB98" i="38" s="1"/>
  <c r="BC98" i="38" s="1"/>
  <c r="L99" i="40" s="1"/>
  <c r="AW121" i="38"/>
  <c r="BB121" i="38" s="1"/>
  <c r="BC121" i="38" s="1"/>
  <c r="L122" i="40" s="1"/>
  <c r="AW103" i="38"/>
  <c r="BB103" i="38" s="1"/>
  <c r="BC103" i="38" s="1"/>
  <c r="L104" i="40" s="1"/>
  <c r="CB71" i="14"/>
  <c r="CO71" i="14" s="1"/>
  <c r="U57" i="15" s="1"/>
  <c r="AW90" i="38"/>
  <c r="BB90" i="38" s="1"/>
  <c r="BC90" i="38" s="1"/>
  <c r="L91" i="40" s="1"/>
  <c r="AW120" i="38"/>
  <c r="BB120" i="38" s="1"/>
  <c r="BC120" i="38" s="1"/>
  <c r="L121" i="40" s="1"/>
  <c r="BF66" i="43" s="1"/>
  <c r="BF66" i="45" s="1"/>
  <c r="AW136" i="38"/>
  <c r="BB136" i="38" s="1"/>
  <c r="BC136" i="38" s="1"/>
  <c r="L137" i="40" s="1"/>
  <c r="AW99" i="38"/>
  <c r="BB99" i="38" s="1"/>
  <c r="BC99" i="38" s="1"/>
  <c r="L100" i="40" s="1"/>
  <c r="BJ108" i="38"/>
  <c r="W126" i="15"/>
  <c r="Z126" i="15" s="1"/>
  <c r="W94" i="15"/>
  <c r="Z94" i="15" s="1"/>
  <c r="BJ125" i="38"/>
  <c r="CB61" i="14"/>
  <c r="CO61" i="14" s="1"/>
  <c r="AH46" i="40" s="1"/>
  <c r="AW74" i="38"/>
  <c r="BB74" i="38" s="1"/>
  <c r="BC74" i="38" s="1"/>
  <c r="L75" i="40" s="1"/>
  <c r="AW119" i="38"/>
  <c r="BB119" i="38" s="1"/>
  <c r="BC119" i="38" s="1"/>
  <c r="L120" i="40" s="1"/>
  <c r="AW88" i="38"/>
  <c r="BB88" i="38" s="1"/>
  <c r="BC88" i="38" s="1"/>
  <c r="L89" i="40" s="1"/>
  <c r="O25" i="15"/>
  <c r="W18" i="46" s="1"/>
  <c r="BJ138" i="38"/>
  <c r="AW133" i="38"/>
  <c r="BB133" i="38" s="1"/>
  <c r="BC133" i="38" s="1"/>
  <c r="L134" i="40" s="1"/>
  <c r="AW96" i="38"/>
  <c r="BB96" i="38" s="1"/>
  <c r="BC96" i="38" s="1"/>
  <c r="L97" i="40" s="1"/>
  <c r="BJ86" i="38"/>
  <c r="AW100" i="38"/>
  <c r="BB100" i="38" s="1"/>
  <c r="BC100" i="38" s="1"/>
  <c r="L101" i="40" s="1"/>
  <c r="AW104" i="38"/>
  <c r="BB104" i="38" s="1"/>
  <c r="BC104" i="38" s="1"/>
  <c r="L105" i="40" s="1"/>
  <c r="AW94" i="38"/>
  <c r="BB94" i="38" s="1"/>
  <c r="BC94" i="38" s="1"/>
  <c r="L95" i="40" s="1"/>
  <c r="BJ134" i="38"/>
  <c r="AW80" i="38"/>
  <c r="BB80" i="38" s="1"/>
  <c r="BC80" i="38" s="1"/>
  <c r="L81" i="40" s="1"/>
  <c r="AW128" i="38"/>
  <c r="BB128" i="38" s="1"/>
  <c r="BC128" i="38" s="1"/>
  <c r="L129" i="40" s="1"/>
  <c r="AW85" i="38"/>
  <c r="BB85" i="38" s="1"/>
  <c r="BC85" i="38" s="1"/>
  <c r="L86" i="40" s="1"/>
  <c r="AW106" i="38"/>
  <c r="BB106" i="38" s="1"/>
  <c r="BC106" i="38" s="1"/>
  <c r="L107" i="40" s="1"/>
  <c r="AW86" i="38"/>
  <c r="BB86" i="38" s="1"/>
  <c r="BC86" i="38" s="1"/>
  <c r="L87" i="40" s="1"/>
  <c r="AW105" i="38"/>
  <c r="BB105" i="38" s="1"/>
  <c r="BC105" i="38" s="1"/>
  <c r="L106" i="40" s="1"/>
  <c r="AW144" i="38"/>
  <c r="BB144" i="38" s="1"/>
  <c r="BC144" i="38" s="1"/>
  <c r="L145" i="40" s="1"/>
  <c r="AW112" i="38"/>
  <c r="BB112" i="38" s="1"/>
  <c r="BC112" i="38" s="1"/>
  <c r="L113" i="40" s="1"/>
  <c r="CB68" i="43"/>
  <c r="CB68" i="45" s="1"/>
  <c r="CB61" i="43"/>
  <c r="CB61" i="45" s="1"/>
  <c r="BJ120" i="38"/>
  <c r="BJ85" i="38"/>
  <c r="W137" i="15"/>
  <c r="AC137" i="15" s="1"/>
  <c r="CB65" i="43"/>
  <c r="CB65" i="45" s="1"/>
  <c r="BJ139" i="38"/>
  <c r="CB66" i="43"/>
  <c r="CB66" i="45" s="1"/>
  <c r="CB60" i="43"/>
  <c r="CB60" i="45" s="1"/>
  <c r="CB70" i="43"/>
  <c r="CB70" i="45" s="1"/>
  <c r="CB69" i="43"/>
  <c r="CB69" i="45" s="1"/>
  <c r="CB57" i="43"/>
  <c r="CB57" i="45" s="1"/>
  <c r="W127" i="15"/>
  <c r="AC127" i="15" s="1"/>
  <c r="AW123" i="38"/>
  <c r="BB123" i="38" s="1"/>
  <c r="BC123" i="38" s="1"/>
  <c r="L124" i="40" s="1"/>
  <c r="AW131" i="38"/>
  <c r="BB131" i="38" s="1"/>
  <c r="BC131" i="38" s="1"/>
  <c r="L132" i="40" s="1"/>
  <c r="W112" i="15"/>
  <c r="AC112" i="15" s="1"/>
  <c r="BJ118" i="38"/>
  <c r="CB58" i="43"/>
  <c r="CB58" i="45" s="1"/>
  <c r="CB67" i="43"/>
  <c r="CB67" i="45" s="1"/>
  <c r="CB62" i="43"/>
  <c r="CB62" i="45" s="1"/>
  <c r="AW117" i="38"/>
  <c r="BB117" i="38" s="1"/>
  <c r="BC117" i="38" s="1"/>
  <c r="L118" i="40" s="1"/>
  <c r="CB63" i="43"/>
  <c r="CB63" i="45" s="1"/>
  <c r="CB71" i="43"/>
  <c r="CB71" i="45" s="1"/>
  <c r="CB59" i="43"/>
  <c r="CB59" i="45" s="1"/>
  <c r="CB64" i="43"/>
  <c r="CB64" i="45" s="1"/>
  <c r="W18" i="1"/>
  <c r="AW139" i="38"/>
  <c r="BB139" i="38" s="1"/>
  <c r="BC139" i="38" s="1"/>
  <c r="L140" i="40" s="1"/>
  <c r="AW109" i="38"/>
  <c r="BB109" i="38" s="1"/>
  <c r="BC109" i="38" s="1"/>
  <c r="L110" i="40" s="1"/>
  <c r="AW77" i="38"/>
  <c r="BB77" i="38" s="1"/>
  <c r="BC77" i="38" s="1"/>
  <c r="L78" i="40" s="1"/>
  <c r="AW137" i="38"/>
  <c r="BB137" i="38" s="1"/>
  <c r="BC137" i="38" s="1"/>
  <c r="L138" i="40" s="1"/>
  <c r="AW126" i="38"/>
  <c r="BB126" i="38" s="1"/>
  <c r="BC126" i="38" s="1"/>
  <c r="L127" i="40" s="1"/>
  <c r="AW134" i="38"/>
  <c r="BB134" i="38" s="1"/>
  <c r="BC134" i="38" s="1"/>
  <c r="L135" i="40" s="1"/>
  <c r="BJ84" i="38"/>
  <c r="AW108" i="38"/>
  <c r="BB108" i="38" s="1"/>
  <c r="BC108" i="38" s="1"/>
  <c r="L109" i="40" s="1"/>
  <c r="O26" i="15"/>
  <c r="W19" i="46" s="1"/>
  <c r="AW81" i="38"/>
  <c r="BB81" i="38" s="1"/>
  <c r="BC81" i="38" s="1"/>
  <c r="L82" i="40" s="1"/>
  <c r="CB62" i="14"/>
  <c r="CO62" i="14" s="1"/>
  <c r="V46" i="38" s="1"/>
  <c r="CB74" i="14"/>
  <c r="CO74" i="14" s="1"/>
  <c r="V58" i="38" s="1"/>
  <c r="CB65" i="14"/>
  <c r="CO65" i="14" s="1"/>
  <c r="V49" i="38" s="1"/>
  <c r="CB78" i="14"/>
  <c r="CO78" i="14" s="1"/>
  <c r="AH63" i="40" s="1"/>
  <c r="CB77" i="14"/>
  <c r="CO77" i="14" s="1"/>
  <c r="AH62" i="40" s="1"/>
  <c r="CB69" i="14"/>
  <c r="CO69" i="14" s="1"/>
  <c r="V53" i="38" s="1"/>
  <c r="CB80" i="14"/>
  <c r="CO80" i="14" s="1"/>
  <c r="U66" i="15" s="1"/>
  <c r="CB79" i="14"/>
  <c r="CO79" i="14" s="1"/>
  <c r="U65" i="15" s="1"/>
  <c r="CB64" i="14"/>
  <c r="CO64" i="14" s="1"/>
  <c r="V48" i="38" s="1"/>
  <c r="CB72" i="14"/>
  <c r="CO72" i="14" s="1"/>
  <c r="V56" i="38" s="1"/>
  <c r="CB82" i="14"/>
  <c r="CO82" i="14" s="1"/>
  <c r="V66" i="38" s="1"/>
  <c r="CB81" i="14"/>
  <c r="CO81" i="14" s="1"/>
  <c r="V65" i="38" s="1"/>
  <c r="CB66" i="14"/>
  <c r="CO66" i="14" s="1"/>
  <c r="AH51" i="40" s="1"/>
  <c r="CB75" i="14"/>
  <c r="CO75" i="14" s="1"/>
  <c r="V59" i="38" s="1"/>
  <c r="AW82" i="38"/>
  <c r="BB82" i="38" s="1"/>
  <c r="BC82" i="38" s="1"/>
  <c r="L83" i="40" s="1"/>
  <c r="AW129" i="38"/>
  <c r="BB129" i="38" s="1"/>
  <c r="BC129" i="38" s="1"/>
  <c r="L130" i="40" s="1"/>
  <c r="AW79" i="38"/>
  <c r="BB79" i="38" s="1"/>
  <c r="BC79" i="38" s="1"/>
  <c r="L80" i="40" s="1"/>
  <c r="AW142" i="38"/>
  <c r="BB142" i="38" s="1"/>
  <c r="BC142" i="38" s="1"/>
  <c r="L143" i="40" s="1"/>
  <c r="W139" i="15"/>
  <c r="Z139" i="15" s="1"/>
  <c r="BJ143" i="38"/>
  <c r="BJ83" i="38"/>
  <c r="BJ75" i="38"/>
  <c r="W118" i="15"/>
  <c r="AC118" i="15" s="1"/>
  <c r="AW84" i="38"/>
  <c r="BB84" i="38" s="1"/>
  <c r="BC84" i="38" s="1"/>
  <c r="L85" i="40" s="1"/>
  <c r="AW115" i="38"/>
  <c r="BB115" i="38" s="1"/>
  <c r="BC115" i="38" s="1"/>
  <c r="L116" i="40" s="1"/>
  <c r="W131" i="15"/>
  <c r="Z131" i="15" s="1"/>
  <c r="BJ129" i="38"/>
  <c r="W76" i="15"/>
  <c r="AC76" i="15" s="1"/>
  <c r="BJ74" i="38"/>
  <c r="W98" i="15"/>
  <c r="Z98" i="15" s="1"/>
  <c r="BJ96" i="38"/>
  <c r="W113" i="15"/>
  <c r="AC113" i="15" s="1"/>
  <c r="BJ111" i="38"/>
  <c r="W120" i="15"/>
  <c r="Z120" i="15" s="1"/>
  <c r="W79" i="15"/>
  <c r="Z79" i="15" s="1"/>
  <c r="BJ77" i="38"/>
  <c r="AW78" i="38"/>
  <c r="BB78" i="38" s="1"/>
  <c r="BC78" i="38" s="1"/>
  <c r="L79" i="40" s="1"/>
  <c r="AW122" i="38"/>
  <c r="BB122" i="38" s="1"/>
  <c r="BC122" i="38" s="1"/>
  <c r="L123" i="40" s="1"/>
  <c r="W132" i="15"/>
  <c r="AC132" i="15" s="1"/>
  <c r="BJ130" i="38"/>
  <c r="W90" i="15"/>
  <c r="Z90" i="15" s="1"/>
  <c r="BJ88" i="38"/>
  <c r="W105" i="15"/>
  <c r="AC105" i="15" s="1"/>
  <c r="BJ103" i="38"/>
  <c r="W125" i="15"/>
  <c r="Z125" i="15" s="1"/>
  <c r="BJ123" i="38"/>
  <c r="W145" i="15"/>
  <c r="Z145" i="15" s="1"/>
  <c r="W134" i="15"/>
  <c r="Z134" i="15" s="1"/>
  <c r="BJ132" i="38"/>
  <c r="W77" i="15"/>
  <c r="Z77" i="15" s="1"/>
  <c r="BJ137" i="38"/>
  <c r="BJ110" i="38"/>
  <c r="BJ135" i="38"/>
  <c r="V68" i="38"/>
  <c r="AH69" i="40"/>
  <c r="W119" i="15"/>
  <c r="Z119" i="15" s="1"/>
  <c r="BJ117" i="38"/>
  <c r="W80" i="15"/>
  <c r="AC80" i="15" s="1"/>
  <c r="BJ78" i="38"/>
  <c r="AW114" i="38"/>
  <c r="BB114" i="38" s="1"/>
  <c r="BC114" i="38" s="1"/>
  <c r="L115" i="40" s="1"/>
  <c r="AW113" i="38"/>
  <c r="BB113" i="38" s="1"/>
  <c r="BC113" i="38" s="1"/>
  <c r="L114" i="40" s="1"/>
  <c r="W133" i="15"/>
  <c r="AC133" i="15" s="1"/>
  <c r="BJ131" i="38"/>
  <c r="W115" i="15"/>
  <c r="AC115" i="15" s="1"/>
  <c r="BJ113" i="38"/>
  <c r="W124" i="15"/>
  <c r="Z124" i="15" s="1"/>
  <c r="BJ122" i="38"/>
  <c r="W142" i="15"/>
  <c r="Z142" i="15" s="1"/>
  <c r="BJ140" i="38"/>
  <c r="W97" i="15"/>
  <c r="AC97" i="15" s="1"/>
  <c r="BJ95" i="38"/>
  <c r="W103" i="15"/>
  <c r="Z103" i="15" s="1"/>
  <c r="BJ101" i="38"/>
  <c r="W121" i="15"/>
  <c r="AC121" i="15" s="1"/>
  <c r="BJ119" i="38"/>
  <c r="W107" i="15"/>
  <c r="AC107" i="15" s="1"/>
  <c r="BJ105" i="38"/>
  <c r="W114" i="15"/>
  <c r="AC114" i="15" s="1"/>
  <c r="BJ112" i="38"/>
  <c r="W146" i="15"/>
  <c r="Z146" i="15" s="1"/>
  <c r="BJ144" i="38"/>
  <c r="W95" i="15"/>
  <c r="Z95" i="15" s="1"/>
  <c r="BJ93" i="38"/>
  <c r="W109" i="15"/>
  <c r="Z109" i="15" s="1"/>
  <c r="BJ107" i="38"/>
  <c r="W117" i="15"/>
  <c r="AC117" i="15" s="1"/>
  <c r="BJ115" i="38"/>
  <c r="BJ92" i="38"/>
  <c r="BJ124" i="38"/>
  <c r="W108" i="15"/>
  <c r="AC108" i="15" s="1"/>
  <c r="BJ106" i="38"/>
  <c r="W128" i="15"/>
  <c r="AC128" i="15" s="1"/>
  <c r="BJ126" i="38"/>
  <c r="W93" i="15"/>
  <c r="Z93" i="15" s="1"/>
  <c r="BJ91" i="38"/>
  <c r="W101" i="15"/>
  <c r="Z101" i="15" s="1"/>
  <c r="BJ99" i="38"/>
  <c r="W106" i="15"/>
  <c r="AC106" i="15" s="1"/>
  <c r="BJ104" i="38"/>
  <c r="W130" i="15"/>
  <c r="Z130" i="15" s="1"/>
  <c r="BJ128" i="38"/>
  <c r="W135" i="15"/>
  <c r="Z135" i="15" s="1"/>
  <c r="BJ133" i="38"/>
  <c r="W82" i="15"/>
  <c r="Z82" i="15" s="1"/>
  <c r="BJ80" i="38"/>
  <c r="W89" i="15"/>
  <c r="AC89" i="15" s="1"/>
  <c r="BJ87" i="38"/>
  <c r="W104" i="15"/>
  <c r="AC104" i="15" s="1"/>
  <c r="BJ102" i="38"/>
  <c r="AW95" i="38"/>
  <c r="BB95" i="38" s="1"/>
  <c r="BC95" i="38" s="1"/>
  <c r="L96" i="40" s="1"/>
  <c r="AW102" i="38"/>
  <c r="BB102" i="38" s="1"/>
  <c r="BC102" i="38" s="1"/>
  <c r="L103" i="40" s="1"/>
  <c r="AW116" i="38"/>
  <c r="BB116" i="38" s="1"/>
  <c r="BC116" i="38" s="1"/>
  <c r="L117" i="40" s="1"/>
  <c r="W78" i="15"/>
  <c r="AC78" i="15" s="1"/>
  <c r="BJ76" i="38"/>
  <c r="W92" i="15"/>
  <c r="Z92" i="15" s="1"/>
  <c r="BJ90" i="38"/>
  <c r="W100" i="15"/>
  <c r="AC100" i="15" s="1"/>
  <c r="BJ98" i="38"/>
  <c r="W123" i="15"/>
  <c r="Z123" i="15" s="1"/>
  <c r="BJ121" i="38"/>
  <c r="W138" i="15"/>
  <c r="Z138" i="15" s="1"/>
  <c r="BJ136" i="38"/>
  <c r="W143" i="15"/>
  <c r="Z143" i="15" s="1"/>
  <c r="BJ141" i="38"/>
  <c r="W81" i="15"/>
  <c r="AC81" i="15" s="1"/>
  <c r="BJ79" i="38"/>
  <c r="W99" i="15"/>
  <c r="Z99" i="15" s="1"/>
  <c r="BJ97" i="38"/>
  <c r="W111" i="15"/>
  <c r="AC111" i="15" s="1"/>
  <c r="BJ109" i="38"/>
  <c r="BJ116" i="38"/>
  <c r="W83" i="15"/>
  <c r="AC83" i="15" s="1"/>
  <c r="BJ81" i="38"/>
  <c r="V69" i="38"/>
  <c r="AH70" i="40"/>
  <c r="W85" i="15"/>
  <c r="Z85" i="15" s="1"/>
  <c r="W91" i="15"/>
  <c r="Z91" i="15" s="1"/>
  <c r="BJ89" i="38"/>
  <c r="W116" i="15"/>
  <c r="Z116" i="15" s="1"/>
  <c r="BJ114" i="38"/>
  <c r="W129" i="15"/>
  <c r="Z129" i="15" s="1"/>
  <c r="BJ127" i="38"/>
  <c r="W144" i="15"/>
  <c r="Z144" i="15" s="1"/>
  <c r="BJ142" i="38"/>
  <c r="W96" i="15"/>
  <c r="AC96" i="15" s="1"/>
  <c r="BJ94" i="38"/>
  <c r="W102" i="15"/>
  <c r="AC102" i="15" s="1"/>
  <c r="BJ100" i="38"/>
  <c r="AW89" i="38"/>
  <c r="BB89" i="38" s="1"/>
  <c r="BC89" i="38" s="1"/>
  <c r="L90" i="40" s="1"/>
  <c r="AW140" i="38"/>
  <c r="BB140" i="38" s="1"/>
  <c r="BC140" i="38" s="1"/>
  <c r="L141" i="40" s="1"/>
  <c r="AW127" i="38"/>
  <c r="BB127" i="38" s="1"/>
  <c r="BC127" i="38" s="1"/>
  <c r="L128" i="40" s="1"/>
  <c r="AW124" i="38"/>
  <c r="BB124" i="38" s="1"/>
  <c r="BC124" i="38" s="1"/>
  <c r="L125" i="40" s="1"/>
  <c r="AW92" i="38"/>
  <c r="BB92" i="38" s="1"/>
  <c r="BC92" i="38" s="1"/>
  <c r="L93" i="40" s="1"/>
  <c r="AW118" i="38"/>
  <c r="BB118" i="38" s="1"/>
  <c r="BC118" i="38" s="1"/>
  <c r="L119" i="40" s="1"/>
  <c r="AW143" i="38"/>
  <c r="BB143" i="38" s="1"/>
  <c r="BC143" i="38" s="1"/>
  <c r="L144" i="40" s="1"/>
  <c r="AW83" i="38"/>
  <c r="BB83" i="38" s="1"/>
  <c r="BC83" i="38" s="1"/>
  <c r="L84" i="40" s="1"/>
  <c r="AW75" i="38"/>
  <c r="BB75" i="38" s="1"/>
  <c r="BC75" i="38" s="1"/>
  <c r="L76" i="40" s="1"/>
  <c r="AW110" i="38"/>
  <c r="BB110" i="38" s="1"/>
  <c r="BC110" i="38" s="1"/>
  <c r="L111" i="40" s="1"/>
  <c r="AW135" i="38"/>
  <c r="BB135" i="38" s="1"/>
  <c r="BC135" i="38" s="1"/>
  <c r="L136" i="40" s="1"/>
  <c r="AW125" i="38"/>
  <c r="BB125" i="38" s="1"/>
  <c r="BC125" i="38" s="1"/>
  <c r="L126" i="40" s="1"/>
  <c r="W136" i="15"/>
  <c r="Z136" i="15" s="1"/>
  <c r="W110" i="15"/>
  <c r="Z110" i="15" s="1"/>
  <c r="W86" i="15"/>
  <c r="AC86" i="15" s="1"/>
  <c r="W140" i="15"/>
  <c r="Z140" i="15" s="1"/>
  <c r="W88" i="15"/>
  <c r="Z88" i="15" s="1"/>
  <c r="V51" i="15"/>
  <c r="W49" i="38"/>
  <c r="V59" i="15"/>
  <c r="W57" i="38"/>
  <c r="V67" i="15"/>
  <c r="W65" i="38"/>
  <c r="V49" i="15"/>
  <c r="W47" i="38"/>
  <c r="V53" i="15"/>
  <c r="W51" i="38"/>
  <c r="V60" i="15"/>
  <c r="W58" i="38"/>
  <c r="V68" i="15"/>
  <c r="W66" i="38"/>
  <c r="V52" i="15"/>
  <c r="W50" i="38"/>
  <c r="V61" i="15"/>
  <c r="W59" i="38"/>
  <c r="V69" i="15"/>
  <c r="W67" i="38"/>
  <c r="V54" i="15"/>
  <c r="W52" i="38"/>
  <c r="V62" i="15"/>
  <c r="W60" i="38"/>
  <c r="V71" i="15"/>
  <c r="W69" i="38"/>
  <c r="W141" i="15"/>
  <c r="Z141" i="15" s="1"/>
  <c r="W87" i="15"/>
  <c r="AC87" i="15" s="1"/>
  <c r="V58" i="15"/>
  <c r="W56" i="38"/>
  <c r="V47" i="15"/>
  <c r="W45" i="38"/>
  <c r="V55" i="15"/>
  <c r="W53" i="38"/>
  <c r="V63" i="15"/>
  <c r="W61" i="38"/>
  <c r="V70" i="15"/>
  <c r="W68" i="38"/>
  <c r="W122" i="15"/>
  <c r="Z122" i="15" s="1"/>
  <c r="V48" i="15"/>
  <c r="W46" i="38"/>
  <c r="V56" i="15"/>
  <c r="W54" i="38"/>
  <c r="V64" i="15"/>
  <c r="W62" i="38"/>
  <c r="W84" i="15"/>
  <c r="Z84" i="15" s="1"/>
  <c r="V66" i="15"/>
  <c r="W64" i="38"/>
  <c r="V50" i="15"/>
  <c r="W48" i="38"/>
  <c r="V57" i="15"/>
  <c r="W55" i="38"/>
  <c r="V65" i="15"/>
  <c r="W63" i="38"/>
  <c r="BM60" i="14"/>
  <c r="BP60" i="14" s="1"/>
  <c r="V35" i="1"/>
  <c r="G17" i="16"/>
  <c r="BW61" i="14"/>
  <c r="DZ139" i="14"/>
  <c r="CR139" i="14"/>
  <c r="U35" i="1"/>
  <c r="F17" i="16"/>
  <c r="U71" i="15"/>
  <c r="U70" i="15"/>
  <c r="U56" i="15"/>
  <c r="CP60" i="14"/>
  <c r="G7" i="16"/>
  <c r="IP84" i="14"/>
  <c r="IP85" i="14"/>
  <c r="IP83" i="14"/>
  <c r="IP82" i="14"/>
  <c r="IP81" i="14"/>
  <c r="IP80" i="14"/>
  <c r="IP79" i="14"/>
  <c r="IP78" i="14"/>
  <c r="IP76" i="14"/>
  <c r="IP77" i="14"/>
  <c r="IP75" i="14"/>
  <c r="IP74" i="14"/>
  <c r="IP73" i="14"/>
  <c r="IP72" i="14"/>
  <c r="IP70" i="14"/>
  <c r="IP71" i="14"/>
  <c r="IP69" i="14"/>
  <c r="IP68" i="14"/>
  <c r="IP67" i="14"/>
  <c r="IP66" i="14"/>
  <c r="IP64" i="14"/>
  <c r="IP65" i="14"/>
  <c r="IP63" i="14"/>
  <c r="IP62" i="14"/>
  <c r="IP61" i="14"/>
  <c r="HT60" i="14"/>
  <c r="ID60" i="14" s="1"/>
  <c r="U52" i="15" l="1"/>
  <c r="AH68" i="40"/>
  <c r="CB55" i="43" s="1"/>
  <c r="CB55" i="45" s="1"/>
  <c r="V67" i="38"/>
  <c r="AW67" i="38" s="1"/>
  <c r="BB67" i="38" s="1"/>
  <c r="BC67" i="38" s="1"/>
  <c r="L68" i="40" s="1"/>
  <c r="AH55" i="40"/>
  <c r="Z115" i="15"/>
  <c r="AH48" i="40"/>
  <c r="U49" i="15"/>
  <c r="W49" i="15" s="1"/>
  <c r="Z49" i="15" s="1"/>
  <c r="V50" i="38"/>
  <c r="AW50" i="38" s="1"/>
  <c r="BB50" i="38" s="1"/>
  <c r="BC50" i="38" s="1"/>
  <c r="L51" i="40" s="1"/>
  <c r="AC126" i="15"/>
  <c r="AH52" i="40"/>
  <c r="BT86" i="14"/>
  <c r="BT89" i="14"/>
  <c r="BT88" i="14"/>
  <c r="BT87" i="14"/>
  <c r="V51" i="38"/>
  <c r="AW51" i="38" s="1"/>
  <c r="BB51" i="38" s="1"/>
  <c r="BC51" i="38" s="1"/>
  <c r="L52" i="40" s="1"/>
  <c r="IH89" i="14"/>
  <c r="IH87" i="14"/>
  <c r="IH86" i="14"/>
  <c r="IH88" i="14"/>
  <c r="AH72" i="40"/>
  <c r="U73" i="15"/>
  <c r="V71" i="38"/>
  <c r="AW71" i="38" s="1"/>
  <c r="BB71" i="38" s="1"/>
  <c r="BC71" i="38" s="1"/>
  <c r="L72" i="40" s="1"/>
  <c r="V72" i="38"/>
  <c r="AW72" i="38" s="1"/>
  <c r="BB72" i="38" s="1"/>
  <c r="BC72" i="38" s="1"/>
  <c r="L73" i="40" s="1"/>
  <c r="BF56" i="43" s="1"/>
  <c r="BF56" i="45" s="1"/>
  <c r="AH73" i="40"/>
  <c r="CB56" i="43" s="1"/>
  <c r="CB56" i="45" s="1"/>
  <c r="U74" i="15"/>
  <c r="AH71" i="40"/>
  <c r="U72" i="15"/>
  <c r="V70" i="38"/>
  <c r="AW70" i="38" s="1"/>
  <c r="BB70" i="38" s="1"/>
  <c r="BC70" i="38" s="1"/>
  <c r="L71" i="40" s="1"/>
  <c r="AH74" i="40"/>
  <c r="U75" i="15"/>
  <c r="V73" i="38"/>
  <c r="AW73" i="38" s="1"/>
  <c r="BB73" i="38" s="1"/>
  <c r="BC73" i="38" s="1"/>
  <c r="L74" i="40" s="1"/>
  <c r="AC94" i="15"/>
  <c r="AH53" i="40"/>
  <c r="U54" i="15"/>
  <c r="BJ52" i="38" s="1"/>
  <c r="AH58" i="40"/>
  <c r="V57" i="38"/>
  <c r="AW57" i="38" s="1"/>
  <c r="BB57" i="38" s="1"/>
  <c r="BC57" i="38" s="1"/>
  <c r="L58" i="40" s="1"/>
  <c r="AH67" i="40"/>
  <c r="U62" i="15"/>
  <c r="BJ60" i="38" s="1"/>
  <c r="Z127" i="15"/>
  <c r="U68" i="15"/>
  <c r="W68" i="15" s="1"/>
  <c r="Z68" i="15" s="1"/>
  <c r="AH61" i="40"/>
  <c r="U58" i="15"/>
  <c r="W58" i="15" s="1"/>
  <c r="AC58" i="15" s="1"/>
  <c r="U60" i="15"/>
  <c r="BJ58" i="38" s="1"/>
  <c r="AH59" i="40"/>
  <c r="CB53" i="43" s="1"/>
  <c r="CB53" i="45" s="1"/>
  <c r="Z89" i="15"/>
  <c r="V61" i="38"/>
  <c r="AW61" i="38" s="1"/>
  <c r="BB61" i="38" s="1"/>
  <c r="BC61" i="38" s="1"/>
  <c r="L62" i="40" s="1"/>
  <c r="AH56" i="40"/>
  <c r="U63" i="15"/>
  <c r="W63" i="15" s="1"/>
  <c r="AC63" i="15" s="1"/>
  <c r="U47" i="15"/>
  <c r="W47" i="15" s="1"/>
  <c r="Z47" i="15" s="1"/>
  <c r="AC131" i="15"/>
  <c r="AC136" i="15"/>
  <c r="V55" i="38"/>
  <c r="AW55" i="38" s="1"/>
  <c r="BB55" i="38" s="1"/>
  <c r="BC55" i="38" s="1"/>
  <c r="L56" i="40" s="1"/>
  <c r="Z113" i="15"/>
  <c r="Z137" i="15"/>
  <c r="V45" i="38"/>
  <c r="AW45" i="38" s="1"/>
  <c r="BB45" i="38" s="1"/>
  <c r="BC45" i="38" s="1"/>
  <c r="L46" i="40" s="1"/>
  <c r="U51" i="15"/>
  <c r="W51" i="15" s="1"/>
  <c r="AC51" i="15" s="1"/>
  <c r="Z132" i="15"/>
  <c r="AW66" i="38"/>
  <c r="BB66" i="38" s="1"/>
  <c r="BC66" i="38" s="1"/>
  <c r="L67" i="40" s="1"/>
  <c r="BF61" i="43"/>
  <c r="BF61" i="45" s="1"/>
  <c r="Z81" i="15"/>
  <c r="AH57" i="40"/>
  <c r="AH50" i="40"/>
  <c r="AC103" i="15"/>
  <c r="U50" i="15"/>
  <c r="W50" i="15" s="1"/>
  <c r="Z50" i="15" s="1"/>
  <c r="AC135" i="15"/>
  <c r="BJ63" i="38"/>
  <c r="Z118" i="15"/>
  <c r="AW49" i="38"/>
  <c r="BB49" i="38" s="1"/>
  <c r="BC49" i="38" s="1"/>
  <c r="L50" i="40" s="1"/>
  <c r="AC145" i="15"/>
  <c r="Z133" i="15"/>
  <c r="AH64" i="40"/>
  <c r="Z112" i="15"/>
  <c r="AC142" i="15"/>
  <c r="Z117" i="15"/>
  <c r="V63" i="38"/>
  <c r="AW63" i="38" s="1"/>
  <c r="BB63" i="38" s="1"/>
  <c r="BC63" i="38" s="1"/>
  <c r="L64" i="40" s="1"/>
  <c r="U48" i="15"/>
  <c r="W48" i="15" s="1"/>
  <c r="Z48" i="15" s="1"/>
  <c r="Z106" i="15"/>
  <c r="AC98" i="15"/>
  <c r="AH47" i="40"/>
  <c r="Z83" i="15"/>
  <c r="AC85" i="15"/>
  <c r="BF67" i="43"/>
  <c r="BF67" i="45" s="1"/>
  <c r="BF69" i="43"/>
  <c r="BF69" i="45" s="1"/>
  <c r="U67" i="15"/>
  <c r="W67" i="15" s="1"/>
  <c r="Z67" i="15" s="1"/>
  <c r="AC138" i="15"/>
  <c r="BF65" i="43"/>
  <c r="BF65" i="45" s="1"/>
  <c r="AC90" i="15"/>
  <c r="BF64" i="43"/>
  <c r="BF64" i="45" s="1"/>
  <c r="BF57" i="43"/>
  <c r="BF57" i="45" s="1"/>
  <c r="BF71" i="43"/>
  <c r="BF71" i="45" s="1"/>
  <c r="AC139" i="15"/>
  <c r="Z111" i="15"/>
  <c r="BF68" i="43"/>
  <c r="BF68" i="45" s="1"/>
  <c r="V32" i="1"/>
  <c r="V32" i="46"/>
  <c r="U64" i="15"/>
  <c r="BJ62" i="38" s="1"/>
  <c r="BF58" i="43"/>
  <c r="BF58" i="45" s="1"/>
  <c r="BF70" i="43"/>
  <c r="BF70" i="45" s="1"/>
  <c r="BF63" i="43"/>
  <c r="BF63" i="45" s="1"/>
  <c r="AC116" i="15"/>
  <c r="BF59" i="43"/>
  <c r="BF59" i="45" s="1"/>
  <c r="V62" i="38"/>
  <c r="AW62" i="38" s="1"/>
  <c r="BB62" i="38" s="1"/>
  <c r="BC62" i="38" s="1"/>
  <c r="L63" i="40" s="1"/>
  <c r="W19" i="1"/>
  <c r="AC93" i="15"/>
  <c r="AC143" i="15"/>
  <c r="Z86" i="15"/>
  <c r="AC110" i="15"/>
  <c r="AC120" i="15"/>
  <c r="AC129" i="15"/>
  <c r="AC77" i="15"/>
  <c r="AC92" i="15"/>
  <c r="Z87" i="15"/>
  <c r="Z96" i="15"/>
  <c r="Z102" i="15"/>
  <c r="Z80" i="15"/>
  <c r="U61" i="15"/>
  <c r="W61" i="15" s="1"/>
  <c r="Z61" i="15" s="1"/>
  <c r="Z114" i="15"/>
  <c r="AW56" i="38"/>
  <c r="BB56" i="38" s="1"/>
  <c r="BC56" i="38" s="1"/>
  <c r="L57" i="40" s="1"/>
  <c r="AC79" i="15"/>
  <c r="U55" i="15"/>
  <c r="W55" i="15" s="1"/>
  <c r="Z55" i="15" s="1"/>
  <c r="AH60" i="40"/>
  <c r="AH54" i="40"/>
  <c r="AW48" i="38"/>
  <c r="BB48" i="38" s="1"/>
  <c r="BC48" i="38" s="1"/>
  <c r="L49" i="40" s="1"/>
  <c r="AW59" i="38"/>
  <c r="BB59" i="38" s="1"/>
  <c r="BC59" i="38" s="1"/>
  <c r="L60" i="40" s="1"/>
  <c r="AC140" i="15"/>
  <c r="AH49" i="40"/>
  <c r="AC109" i="15"/>
  <c r="AW58" i="38"/>
  <c r="BB58" i="38" s="1"/>
  <c r="BC58" i="38" s="1"/>
  <c r="L59" i="40" s="1"/>
  <c r="AH65" i="40"/>
  <c r="V64" i="38"/>
  <c r="AW64" i="38" s="1"/>
  <c r="BB64" i="38" s="1"/>
  <c r="BC64" i="38" s="1"/>
  <c r="L65" i="40" s="1"/>
  <c r="AW53" i="38"/>
  <c r="BB53" i="38" s="1"/>
  <c r="BC53" i="38" s="1"/>
  <c r="L54" i="40" s="1"/>
  <c r="Z108" i="15"/>
  <c r="AW60" i="38"/>
  <c r="BB60" i="38" s="1"/>
  <c r="BC60" i="38" s="1"/>
  <c r="L61" i="40" s="1"/>
  <c r="BJ68" i="38"/>
  <c r="AC134" i="15"/>
  <c r="Z76" i="15"/>
  <c r="Z100" i="15"/>
  <c r="Y125" i="15"/>
  <c r="AE125" i="15" s="1"/>
  <c r="AC88" i="15"/>
  <c r="AC144" i="15"/>
  <c r="AC125" i="15"/>
  <c r="F7" i="16"/>
  <c r="F14" i="16" s="1"/>
  <c r="AH66" i="40"/>
  <c r="AW46" i="38"/>
  <c r="BB46" i="38" s="1"/>
  <c r="BC46" i="38" s="1"/>
  <c r="L47" i="40" s="1"/>
  <c r="BJ55" i="38"/>
  <c r="AC119" i="15"/>
  <c r="AC95" i="15"/>
  <c r="AC130" i="15"/>
  <c r="Z107" i="15"/>
  <c r="Z104" i="15"/>
  <c r="BJ67" i="38"/>
  <c r="AC124" i="15"/>
  <c r="Z121" i="15"/>
  <c r="Z128" i="15"/>
  <c r="AC101" i="15"/>
  <c r="Z97" i="15"/>
  <c r="AW54" i="38"/>
  <c r="BB54" i="38" s="1"/>
  <c r="BC54" i="38" s="1"/>
  <c r="L55" i="40" s="1"/>
  <c r="AC82" i="15"/>
  <c r="AC146" i="15"/>
  <c r="AW69" i="38"/>
  <c r="BB69" i="38" s="1"/>
  <c r="BC69" i="38" s="1"/>
  <c r="L70" i="40" s="1"/>
  <c r="AW47" i="38"/>
  <c r="BB47" i="38" s="1"/>
  <c r="BC47" i="38" s="1"/>
  <c r="L48" i="40" s="1"/>
  <c r="AW68" i="38"/>
  <c r="BB68" i="38" s="1"/>
  <c r="BC68" i="38" s="1"/>
  <c r="L69" i="40" s="1"/>
  <c r="AW65" i="38"/>
  <c r="BB65" i="38" s="1"/>
  <c r="BC65" i="38" s="1"/>
  <c r="L66" i="40" s="1"/>
  <c r="AW52" i="38"/>
  <c r="BB52" i="38" s="1"/>
  <c r="BC52" i="38" s="1"/>
  <c r="L53" i="40" s="1"/>
  <c r="W59" i="15"/>
  <c r="Z59" i="15" s="1"/>
  <c r="BJ57" i="38"/>
  <c r="AC123" i="15"/>
  <c r="W66" i="15"/>
  <c r="AC66" i="15" s="1"/>
  <c r="BJ64" i="38"/>
  <c r="W56" i="15"/>
  <c r="Z56" i="15" s="1"/>
  <c r="BJ54" i="38"/>
  <c r="Z105" i="15"/>
  <c r="W62" i="15"/>
  <c r="AC62" i="15" s="1"/>
  <c r="W52" i="15"/>
  <c r="Z52" i="15" s="1"/>
  <c r="BJ50" i="38"/>
  <c r="Z78" i="15"/>
  <c r="AC99" i="15"/>
  <c r="AC91" i="15"/>
  <c r="V44" i="38"/>
  <c r="AH45" i="40"/>
  <c r="W71" i="15"/>
  <c r="Z71" i="15" s="1"/>
  <c r="BJ69" i="38"/>
  <c r="W53" i="15"/>
  <c r="Z53" i="15" s="1"/>
  <c r="BJ51" i="38"/>
  <c r="W69" i="15"/>
  <c r="AC69" i="15" s="1"/>
  <c r="AC141" i="15"/>
  <c r="W57" i="15"/>
  <c r="Z57" i="15" s="1"/>
  <c r="W70" i="15"/>
  <c r="Z70" i="15" s="1"/>
  <c r="W65" i="15"/>
  <c r="AC65" i="15" s="1"/>
  <c r="AC84" i="15"/>
  <c r="V46" i="15"/>
  <c r="W44" i="38"/>
  <c r="AC122" i="15"/>
  <c r="CS139" i="14"/>
  <c r="CT139" i="14" s="1"/>
  <c r="CU139" i="14"/>
  <c r="CV139" i="14" s="1"/>
  <c r="EH139" i="14"/>
  <c r="EI139" i="14" s="1"/>
  <c r="EK139" i="14" s="1"/>
  <c r="EA139" i="14"/>
  <c r="EB139" i="14" s="1"/>
  <c r="IS60" i="14"/>
  <c r="IS147" i="14"/>
  <c r="IV147" i="14" s="1"/>
  <c r="IS153" i="14"/>
  <c r="IV153" i="14" s="1"/>
  <c r="IS160" i="14"/>
  <c r="IV160" i="14" s="1"/>
  <c r="IS151" i="14"/>
  <c r="IV151" i="14" s="1"/>
  <c r="IS159" i="14"/>
  <c r="IV159" i="14" s="1"/>
  <c r="IS152" i="14"/>
  <c r="IV152" i="14" s="1"/>
  <c r="IS158" i="14"/>
  <c r="IV158" i="14" s="1"/>
  <c r="IS150" i="14"/>
  <c r="IV150" i="14" s="1"/>
  <c r="IS156" i="14"/>
  <c r="IV156" i="14" s="1"/>
  <c r="IS149" i="14"/>
  <c r="IV149" i="14" s="1"/>
  <c r="IS157" i="14"/>
  <c r="IV157" i="14" s="1"/>
  <c r="IS148" i="14"/>
  <c r="IV148" i="14" s="1"/>
  <c r="IS155" i="14"/>
  <c r="IV155" i="14" s="1"/>
  <c r="IS154" i="14"/>
  <c r="IV154" i="14" s="1"/>
  <c r="IS146" i="14"/>
  <c r="IV146" i="14" s="1"/>
  <c r="IS145" i="14"/>
  <c r="IV145" i="14" s="1"/>
  <c r="IS143" i="14"/>
  <c r="IV143" i="14" s="1"/>
  <c r="IS144" i="14"/>
  <c r="IV144" i="14" s="1"/>
  <c r="IS142" i="14"/>
  <c r="IV142" i="14" s="1"/>
  <c r="IS141" i="14"/>
  <c r="IV141" i="14" s="1"/>
  <c r="IS140" i="14"/>
  <c r="IV140" i="14" s="1"/>
  <c r="IS139" i="14"/>
  <c r="IV139" i="14" s="1"/>
  <c r="IS138" i="14"/>
  <c r="IV138" i="14" s="1"/>
  <c r="IS137" i="14"/>
  <c r="IV137" i="14" s="1"/>
  <c r="IS136" i="14"/>
  <c r="IV136" i="14" s="1"/>
  <c r="IS135" i="14"/>
  <c r="IV135" i="14" s="1"/>
  <c r="IS134" i="14"/>
  <c r="IV134" i="14" s="1"/>
  <c r="IS133" i="14"/>
  <c r="IV133" i="14" s="1"/>
  <c r="IS132" i="14"/>
  <c r="IV132" i="14" s="1"/>
  <c r="IS131" i="14"/>
  <c r="IV131" i="14" s="1"/>
  <c r="IS129" i="14"/>
  <c r="IV129" i="14" s="1"/>
  <c r="IS130" i="14"/>
  <c r="IV130" i="14" s="1"/>
  <c r="IS128" i="14"/>
  <c r="IV128" i="14" s="1"/>
  <c r="IS127" i="14"/>
  <c r="IV127" i="14" s="1"/>
  <c r="IS125" i="14"/>
  <c r="IV125" i="14" s="1"/>
  <c r="IS126" i="14"/>
  <c r="IV126" i="14" s="1"/>
  <c r="IS124" i="14"/>
  <c r="IV124" i="14" s="1"/>
  <c r="IS123" i="14"/>
  <c r="IV123" i="14" s="1"/>
  <c r="IS122" i="14"/>
  <c r="IV122" i="14" s="1"/>
  <c r="IS121" i="14"/>
  <c r="IV121" i="14" s="1"/>
  <c r="IS120" i="14"/>
  <c r="IV120" i="14" s="1"/>
  <c r="IS119" i="14"/>
  <c r="IV119" i="14" s="1"/>
  <c r="IS118" i="14"/>
  <c r="IV118" i="14" s="1"/>
  <c r="IS117" i="14"/>
  <c r="IV117" i="14" s="1"/>
  <c r="IS116" i="14"/>
  <c r="IV116" i="14" s="1"/>
  <c r="IS115" i="14"/>
  <c r="IV115" i="14" s="1"/>
  <c r="IS114" i="14"/>
  <c r="IV114" i="14" s="1"/>
  <c r="IS113" i="14"/>
  <c r="IV113" i="14" s="1"/>
  <c r="IS112" i="14"/>
  <c r="IV112" i="14" s="1"/>
  <c r="IS111" i="14"/>
  <c r="IV111" i="14" s="1"/>
  <c r="IS109" i="14"/>
  <c r="IV109" i="14" s="1"/>
  <c r="IS110" i="14"/>
  <c r="IV110" i="14" s="1"/>
  <c r="IS107" i="14"/>
  <c r="IV107" i="14" s="1"/>
  <c r="IS108" i="14"/>
  <c r="IV108" i="14" s="1"/>
  <c r="IS105" i="14"/>
  <c r="IV105" i="14" s="1"/>
  <c r="IS106" i="14"/>
  <c r="IV106" i="14" s="1"/>
  <c r="IS104" i="14"/>
  <c r="IV104" i="14" s="1"/>
  <c r="IS102" i="14"/>
  <c r="IV102" i="14" s="1"/>
  <c r="IS103" i="14"/>
  <c r="IV103" i="14" s="1"/>
  <c r="IS101" i="14"/>
  <c r="IV101" i="14" s="1"/>
  <c r="IS100" i="14"/>
  <c r="IV100" i="14" s="1"/>
  <c r="IS98" i="14"/>
  <c r="IV98" i="14" s="1"/>
  <c r="IS99" i="14"/>
  <c r="IV99" i="14" s="1"/>
  <c r="IS97" i="14"/>
  <c r="IV97" i="14" s="1"/>
  <c r="IS96" i="14"/>
  <c r="IV96" i="14" s="1"/>
  <c r="IS94" i="14"/>
  <c r="IV94" i="14" s="1"/>
  <c r="IS95" i="14"/>
  <c r="IV95" i="14" s="1"/>
  <c r="IS93" i="14"/>
  <c r="IV93" i="14" s="1"/>
  <c r="IS92" i="14"/>
  <c r="IV92" i="14" s="1"/>
  <c r="IS91" i="14"/>
  <c r="IV91" i="14" s="1"/>
  <c r="IS90" i="14"/>
  <c r="IV90" i="14" s="1"/>
  <c r="IS88" i="14"/>
  <c r="IV88" i="14" s="1"/>
  <c r="IS89" i="14"/>
  <c r="IV89" i="14" s="1"/>
  <c r="IS86" i="14"/>
  <c r="IV86" i="14" s="1"/>
  <c r="IS87" i="14"/>
  <c r="IV87" i="14" s="1"/>
  <c r="IS85" i="14"/>
  <c r="IV85" i="14" s="1"/>
  <c r="IS83" i="14"/>
  <c r="IV83" i="14" s="1"/>
  <c r="IS84" i="14"/>
  <c r="IV84" i="14" s="1"/>
  <c r="IS81" i="14"/>
  <c r="IV81" i="14" s="1"/>
  <c r="IS82" i="14"/>
  <c r="IV82" i="14" s="1"/>
  <c r="IS80" i="14"/>
  <c r="IV80" i="14" s="1"/>
  <c r="IS79" i="14"/>
  <c r="IV79" i="14" s="1"/>
  <c r="IS78" i="14"/>
  <c r="IV78" i="14" s="1"/>
  <c r="IS77" i="14"/>
  <c r="IV77" i="14" s="1"/>
  <c r="IS76" i="14"/>
  <c r="IV76" i="14" s="1"/>
  <c r="IS75" i="14"/>
  <c r="IV75" i="14" s="1"/>
  <c r="IS74" i="14"/>
  <c r="IV74" i="14" s="1"/>
  <c r="IS73" i="14"/>
  <c r="IV73" i="14" s="1"/>
  <c r="IS72" i="14"/>
  <c r="IV72" i="14" s="1"/>
  <c r="IS70" i="14"/>
  <c r="IV70" i="14" s="1"/>
  <c r="IS71" i="14"/>
  <c r="IV71" i="14" s="1"/>
  <c r="IS69" i="14"/>
  <c r="IV69" i="14" s="1"/>
  <c r="IS67" i="14"/>
  <c r="IV67" i="14" s="1"/>
  <c r="IS68" i="14"/>
  <c r="IV68" i="14" s="1"/>
  <c r="IS66" i="14"/>
  <c r="IV66" i="14" s="1"/>
  <c r="IS65" i="14"/>
  <c r="IV65" i="14" s="1"/>
  <c r="IS64" i="14"/>
  <c r="IV64" i="14" s="1"/>
  <c r="IS62" i="14"/>
  <c r="IV62" i="14" s="1"/>
  <c r="IS63" i="14"/>
  <c r="IV63" i="14" s="1"/>
  <c r="IS61" i="14"/>
  <c r="IV61" i="14" s="1"/>
  <c r="BW60" i="14"/>
  <c r="BW158" i="14"/>
  <c r="CN158" i="14" s="1"/>
  <c r="U142" i="38" s="1"/>
  <c r="BW154" i="14"/>
  <c r="CN154" i="14" s="1"/>
  <c r="U138" i="38" s="1"/>
  <c r="BW147" i="14"/>
  <c r="CN147" i="14" s="1"/>
  <c r="U131" i="38" s="1"/>
  <c r="BW155" i="14"/>
  <c r="CN155" i="14" s="1"/>
  <c r="U139" i="38" s="1"/>
  <c r="BW151" i="14"/>
  <c r="CN151" i="14" s="1"/>
  <c r="U135" i="38" s="1"/>
  <c r="BW149" i="14"/>
  <c r="CN149" i="14" s="1"/>
  <c r="U133" i="38" s="1"/>
  <c r="BW153" i="14"/>
  <c r="CN153" i="14" s="1"/>
  <c r="U137" i="38" s="1"/>
  <c r="BW156" i="14"/>
  <c r="CN156" i="14" s="1"/>
  <c r="U140" i="38" s="1"/>
  <c r="BW159" i="14"/>
  <c r="CN159" i="14" s="1"/>
  <c r="U143" i="38" s="1"/>
  <c r="BW148" i="14"/>
  <c r="CN148" i="14" s="1"/>
  <c r="U132" i="38" s="1"/>
  <c r="BW152" i="14"/>
  <c r="CN152" i="14" s="1"/>
  <c r="U136" i="38" s="1"/>
  <c r="BW157" i="14"/>
  <c r="CN157" i="14" s="1"/>
  <c r="U141" i="38" s="1"/>
  <c r="BW160" i="14"/>
  <c r="CN160" i="14" s="1"/>
  <c r="U144" i="38" s="1"/>
  <c r="BW150" i="14"/>
  <c r="CN150" i="14" s="1"/>
  <c r="U134" i="38" s="1"/>
  <c r="BW146" i="14"/>
  <c r="CN146" i="14" s="1"/>
  <c r="U130" i="38" s="1"/>
  <c r="BW145" i="14"/>
  <c r="CN145" i="14" s="1"/>
  <c r="U129" i="38" s="1"/>
  <c r="BW143" i="14"/>
  <c r="CN143" i="14" s="1"/>
  <c r="U127" i="38" s="1"/>
  <c r="BW144" i="14"/>
  <c r="CN144" i="14" s="1"/>
  <c r="U128" i="38" s="1"/>
  <c r="BW142" i="14"/>
  <c r="CN142" i="14" s="1"/>
  <c r="U126" i="38" s="1"/>
  <c r="BW141" i="14"/>
  <c r="CN141" i="14" s="1"/>
  <c r="U125" i="38" s="1"/>
  <c r="BW140" i="14"/>
  <c r="CN140" i="14" s="1"/>
  <c r="U124" i="38" s="1"/>
  <c r="BW138" i="14"/>
  <c r="CN138" i="14" s="1"/>
  <c r="U122" i="38" s="1"/>
  <c r="BW137" i="14"/>
  <c r="CN137" i="14" s="1"/>
  <c r="U121" i="38" s="1"/>
  <c r="BW135" i="14"/>
  <c r="CN135" i="14" s="1"/>
  <c r="U119" i="38" s="1"/>
  <c r="BW136" i="14"/>
  <c r="CN136" i="14" s="1"/>
  <c r="U120" i="38" s="1"/>
  <c r="BW134" i="14"/>
  <c r="CN134" i="14" s="1"/>
  <c r="U118" i="38" s="1"/>
  <c r="BW133" i="14"/>
  <c r="CN133" i="14" s="1"/>
  <c r="U117" i="38" s="1"/>
  <c r="BW132" i="14"/>
  <c r="CN132" i="14" s="1"/>
  <c r="U116" i="38" s="1"/>
  <c r="BW129" i="14"/>
  <c r="CN129" i="14" s="1"/>
  <c r="U113" i="38" s="1"/>
  <c r="BW131" i="14"/>
  <c r="CN131" i="14" s="1"/>
  <c r="U115" i="38" s="1"/>
  <c r="BW130" i="14"/>
  <c r="CN130" i="14" s="1"/>
  <c r="U114" i="38" s="1"/>
  <c r="BW127" i="14"/>
  <c r="CN127" i="14" s="1"/>
  <c r="U111" i="38" s="1"/>
  <c r="BW128" i="14"/>
  <c r="CN128" i="14" s="1"/>
  <c r="U112" i="38" s="1"/>
  <c r="BW125" i="14"/>
  <c r="CN125" i="14" s="1"/>
  <c r="U109" i="38" s="1"/>
  <c r="BW126" i="14"/>
  <c r="CN126" i="14" s="1"/>
  <c r="U110" i="38" s="1"/>
  <c r="BW124" i="14"/>
  <c r="CN124" i="14" s="1"/>
  <c r="U108" i="38" s="1"/>
  <c r="BW123" i="14"/>
  <c r="CN123" i="14" s="1"/>
  <c r="U107" i="38" s="1"/>
  <c r="BW121" i="14"/>
  <c r="CN121" i="14" s="1"/>
  <c r="U105" i="38" s="1"/>
  <c r="BW122" i="14"/>
  <c r="CN122" i="14" s="1"/>
  <c r="U106" i="38" s="1"/>
  <c r="BW120" i="14"/>
  <c r="CN120" i="14" s="1"/>
  <c r="U104" i="38" s="1"/>
  <c r="BW119" i="14"/>
  <c r="CN119" i="14" s="1"/>
  <c r="U103" i="38" s="1"/>
  <c r="BW117" i="14"/>
  <c r="CN117" i="14" s="1"/>
  <c r="U101" i="38" s="1"/>
  <c r="BW118" i="14"/>
  <c r="CN118" i="14" s="1"/>
  <c r="U102" i="38" s="1"/>
  <c r="BW116" i="14"/>
  <c r="CN116" i="14" s="1"/>
  <c r="U100" i="38" s="1"/>
  <c r="BW115" i="14"/>
  <c r="CN115" i="14" s="1"/>
  <c r="U99" i="38" s="1"/>
  <c r="BW114" i="14"/>
  <c r="CN114" i="14" s="1"/>
  <c r="U98" i="38" s="1"/>
  <c r="BW113" i="14"/>
  <c r="CN113" i="14" s="1"/>
  <c r="U97" i="38" s="1"/>
  <c r="BW112" i="14"/>
  <c r="CN112" i="14" s="1"/>
  <c r="U96" i="38" s="1"/>
  <c r="BW109" i="14"/>
  <c r="CN109" i="14" s="1"/>
  <c r="U93" i="38" s="1"/>
  <c r="BW111" i="14"/>
  <c r="CN111" i="14" s="1"/>
  <c r="U95" i="38" s="1"/>
  <c r="BW110" i="14"/>
  <c r="CN110" i="14" s="1"/>
  <c r="U94" i="38" s="1"/>
  <c r="BW107" i="14"/>
  <c r="CN107" i="14" s="1"/>
  <c r="U91" i="38" s="1"/>
  <c r="BW108" i="14"/>
  <c r="CN108" i="14" s="1"/>
  <c r="U92" i="38" s="1"/>
  <c r="BW106" i="14"/>
  <c r="CN106" i="14" s="1"/>
  <c r="U90" i="38" s="1"/>
  <c r="BW104" i="14"/>
  <c r="CN104" i="14" s="1"/>
  <c r="U88" i="38" s="1"/>
  <c r="BW105" i="14"/>
  <c r="CN105" i="14" s="1"/>
  <c r="U89" i="38" s="1"/>
  <c r="BW102" i="14"/>
  <c r="CN102" i="14" s="1"/>
  <c r="U86" i="38" s="1"/>
  <c r="BW103" i="14"/>
  <c r="CN103" i="14" s="1"/>
  <c r="U87" i="38" s="1"/>
  <c r="BW101" i="14"/>
  <c r="CN101" i="14" s="1"/>
  <c r="U85" i="38" s="1"/>
  <c r="BW98" i="14"/>
  <c r="CN98" i="14" s="1"/>
  <c r="U82" i="38" s="1"/>
  <c r="BW100" i="14"/>
  <c r="CN100" i="14" s="1"/>
  <c r="U84" i="38" s="1"/>
  <c r="BW99" i="14"/>
  <c r="CN99" i="14" s="1"/>
  <c r="U83" i="38" s="1"/>
  <c r="BW96" i="14"/>
  <c r="CN96" i="14" s="1"/>
  <c r="U80" i="38" s="1"/>
  <c r="BW97" i="14"/>
  <c r="CN97" i="14" s="1"/>
  <c r="U81" i="38" s="1"/>
  <c r="BW94" i="14"/>
  <c r="CN94" i="14" s="1"/>
  <c r="U78" i="38" s="1"/>
  <c r="BW95" i="14"/>
  <c r="CN95" i="14" s="1"/>
  <c r="U79" i="38" s="1"/>
  <c r="BW93" i="14"/>
  <c r="CN93" i="14" s="1"/>
  <c r="U77" i="38" s="1"/>
  <c r="BW92" i="14"/>
  <c r="CN92" i="14" s="1"/>
  <c r="U76" i="38" s="1"/>
  <c r="BW90" i="14"/>
  <c r="CN90" i="14" s="1"/>
  <c r="U74" i="38" s="1"/>
  <c r="BW91" i="14"/>
  <c r="CN91" i="14" s="1"/>
  <c r="U75" i="38" s="1"/>
  <c r="BW89" i="14"/>
  <c r="BW88" i="14"/>
  <c r="BW86" i="14"/>
  <c r="BW87" i="14"/>
  <c r="CN87" i="14" s="1"/>
  <c r="U71" i="38" s="1"/>
  <c r="BW83" i="14"/>
  <c r="BW85" i="14"/>
  <c r="BW84" i="14"/>
  <c r="BW82" i="14"/>
  <c r="BW81" i="14"/>
  <c r="BW80" i="14"/>
  <c r="BW79" i="14"/>
  <c r="BW78" i="14"/>
  <c r="BW77" i="14"/>
  <c r="BW76" i="14"/>
  <c r="BW75" i="14"/>
  <c r="BW72" i="14"/>
  <c r="BW74" i="14"/>
  <c r="BW73" i="14"/>
  <c r="BW70" i="14"/>
  <c r="BW71" i="14"/>
  <c r="BW69" i="14"/>
  <c r="BW67" i="14"/>
  <c r="BW66" i="14"/>
  <c r="BW68" i="14"/>
  <c r="BW64" i="14"/>
  <c r="BW65" i="14"/>
  <c r="BW62" i="14"/>
  <c r="BW63" i="14"/>
  <c r="U46" i="15"/>
  <c r="G14" i="16"/>
  <c r="IH85" i="14"/>
  <c r="IH84" i="14"/>
  <c r="IH83" i="14"/>
  <c r="IH82" i="14"/>
  <c r="IH81" i="14"/>
  <c r="IH80" i="14"/>
  <c r="IH79" i="14"/>
  <c r="IH78" i="14"/>
  <c r="IH77" i="14"/>
  <c r="IH76" i="14"/>
  <c r="IH75" i="14"/>
  <c r="IH74" i="14"/>
  <c r="IH73" i="14"/>
  <c r="IH72" i="14"/>
  <c r="IH70" i="14"/>
  <c r="IH71" i="14"/>
  <c r="IH69" i="14"/>
  <c r="IH68" i="14"/>
  <c r="IH67" i="14"/>
  <c r="IH66" i="14"/>
  <c r="IH65" i="14"/>
  <c r="IH64" i="14"/>
  <c r="IH63" i="14"/>
  <c r="IH62" i="14"/>
  <c r="IH61" i="14"/>
  <c r="BT82" i="14"/>
  <c r="BT74" i="14"/>
  <c r="BT66" i="14"/>
  <c r="BT75" i="14"/>
  <c r="BT68" i="14"/>
  <c r="BT81" i="14"/>
  <c r="BT73" i="14"/>
  <c r="BT65" i="14"/>
  <c r="BT78" i="14"/>
  <c r="BT71" i="14"/>
  <c r="BT64" i="14"/>
  <c r="BT80" i="14"/>
  <c r="BT72" i="14"/>
  <c r="BT63" i="14"/>
  <c r="BT60" i="14"/>
  <c r="BT79" i="14"/>
  <c r="BT70" i="14"/>
  <c r="BT61" i="14"/>
  <c r="CN61" i="14" s="1"/>
  <c r="U45" i="38" s="1"/>
  <c r="BT69" i="14"/>
  <c r="BT85" i="14"/>
  <c r="BT77" i="14"/>
  <c r="BT62" i="14"/>
  <c r="BT84" i="14"/>
  <c r="BT83" i="14"/>
  <c r="BT76" i="14"/>
  <c r="BT67" i="14"/>
  <c r="BJ47" i="38" l="1"/>
  <c r="CN86" i="14"/>
  <c r="U70" i="38" s="1"/>
  <c r="CN89" i="14"/>
  <c r="U73" i="38" s="1"/>
  <c r="CN88" i="14"/>
  <c r="U72" i="38" s="1"/>
  <c r="W54" i="15"/>
  <c r="AC54" i="15" s="1"/>
  <c r="BJ45" i="38"/>
  <c r="W74" i="15"/>
  <c r="BJ72" i="38"/>
  <c r="W75" i="15"/>
  <c r="BJ73" i="38"/>
  <c r="W73" i="15"/>
  <c r="BJ71" i="38"/>
  <c r="W72" i="15"/>
  <c r="BJ70" i="38"/>
  <c r="BJ46" i="38"/>
  <c r="BJ66" i="38"/>
  <c r="Z62" i="15"/>
  <c r="BJ56" i="38"/>
  <c r="BJ61" i="38"/>
  <c r="W60" i="15"/>
  <c r="Z60" i="15" s="1"/>
  <c r="BJ59" i="38"/>
  <c r="BJ49" i="38"/>
  <c r="BJ48" i="38"/>
  <c r="CB54" i="43"/>
  <c r="CB54" i="45" s="1"/>
  <c r="W64" i="15"/>
  <c r="AC64" i="15" s="1"/>
  <c r="BF55" i="43"/>
  <c r="BF55" i="45" s="1"/>
  <c r="Z69" i="15"/>
  <c r="Z65" i="15"/>
  <c r="AC48" i="15"/>
  <c r="BJ53" i="38"/>
  <c r="BJ65" i="38"/>
  <c r="BF53" i="43"/>
  <c r="BF53" i="45" s="1"/>
  <c r="CB51" i="43"/>
  <c r="CB51" i="45" s="1"/>
  <c r="CB50" i="43"/>
  <c r="CB50" i="45" s="1"/>
  <c r="BF54" i="43"/>
  <c r="BF54" i="45" s="1"/>
  <c r="BF52" i="43"/>
  <c r="BF52" i="45" s="1"/>
  <c r="BF51" i="43"/>
  <c r="BF51" i="45" s="1"/>
  <c r="U32" i="1"/>
  <c r="U32" i="46"/>
  <c r="CB52" i="43"/>
  <c r="CB52" i="45" s="1"/>
  <c r="AC71" i="15"/>
  <c r="AC59" i="15"/>
  <c r="AC49" i="15"/>
  <c r="AC50" i="15"/>
  <c r="Z63" i="15"/>
  <c r="Z66" i="15"/>
  <c r="AB125" i="15"/>
  <c r="AC47" i="15"/>
  <c r="AC68" i="15"/>
  <c r="Z51" i="15"/>
  <c r="AC57" i="15"/>
  <c r="AC67" i="15"/>
  <c r="AC55" i="15"/>
  <c r="AC53" i="15"/>
  <c r="Z58" i="15"/>
  <c r="AW44" i="38"/>
  <c r="BB44" i="38" s="1"/>
  <c r="BC44" i="38" s="1"/>
  <c r="L45" i="40" s="1"/>
  <c r="CN63" i="14"/>
  <c r="U47" i="38" s="1"/>
  <c r="AC52" i="15"/>
  <c r="AC61" i="15"/>
  <c r="AC56" i="15"/>
  <c r="W46" i="15"/>
  <c r="Z46" i="15" s="1"/>
  <c r="BJ44" i="38"/>
  <c r="CN84" i="14"/>
  <c r="U68" i="38" s="1"/>
  <c r="AC70" i="15"/>
  <c r="BA54" i="15"/>
  <c r="AL52" i="38"/>
  <c r="BA61" i="15"/>
  <c r="AL59" i="38"/>
  <c r="BA84" i="15"/>
  <c r="AL82" i="38"/>
  <c r="BA109" i="15"/>
  <c r="AL107" i="38"/>
  <c r="BA53" i="15"/>
  <c r="AL51" i="38"/>
  <c r="BA62" i="15"/>
  <c r="AL60" i="38"/>
  <c r="BA69" i="15"/>
  <c r="AL67" i="38"/>
  <c r="BA78" i="15"/>
  <c r="AL76" i="38"/>
  <c r="BA86" i="15"/>
  <c r="AL84" i="38"/>
  <c r="BA93" i="15"/>
  <c r="AL91" i="38"/>
  <c r="BA102" i="15"/>
  <c r="AL100" i="38"/>
  <c r="BA110" i="15"/>
  <c r="AL108" i="38"/>
  <c r="BA118" i="15"/>
  <c r="AL116" i="38"/>
  <c r="BA126" i="15"/>
  <c r="AL124" i="38"/>
  <c r="BA141" i="15"/>
  <c r="AL139" i="38"/>
  <c r="BA145" i="15"/>
  <c r="AL143" i="38"/>
  <c r="BA70" i="15"/>
  <c r="AL68" i="38"/>
  <c r="BA94" i="15"/>
  <c r="AL92" i="38"/>
  <c r="BA101" i="15"/>
  <c r="AL99" i="38"/>
  <c r="BA47" i="15"/>
  <c r="AL45" i="38"/>
  <c r="BA55" i="15"/>
  <c r="AL53" i="38"/>
  <c r="BA71" i="15"/>
  <c r="AL69" i="38"/>
  <c r="BA79" i="15"/>
  <c r="AL77" i="38"/>
  <c r="BA87" i="15"/>
  <c r="AL85" i="38"/>
  <c r="BA96" i="15"/>
  <c r="AL94" i="38"/>
  <c r="BA103" i="15"/>
  <c r="AL101" i="38"/>
  <c r="BA112" i="15"/>
  <c r="AL110" i="38"/>
  <c r="BA119" i="15"/>
  <c r="AL117" i="38"/>
  <c r="BA127" i="15"/>
  <c r="AL125" i="38"/>
  <c r="BA134" i="15"/>
  <c r="AL132" i="38"/>
  <c r="BA137" i="15"/>
  <c r="AL135" i="38"/>
  <c r="BA77" i="15"/>
  <c r="AL75" i="38"/>
  <c r="BA117" i="15"/>
  <c r="AL115" i="38"/>
  <c r="BA49" i="15"/>
  <c r="AL47" i="38"/>
  <c r="BA57" i="15"/>
  <c r="AL55" i="38"/>
  <c r="BA64" i="15"/>
  <c r="AL62" i="38"/>
  <c r="BA73" i="15"/>
  <c r="AL71" i="38"/>
  <c r="BA81" i="15"/>
  <c r="AL79" i="38"/>
  <c r="BA89" i="15"/>
  <c r="AL87" i="38"/>
  <c r="BA95" i="15"/>
  <c r="AL93" i="38"/>
  <c r="BA104" i="15"/>
  <c r="AL102" i="38"/>
  <c r="BA111" i="15"/>
  <c r="AL109" i="38"/>
  <c r="BA120" i="15"/>
  <c r="AL118" i="38"/>
  <c r="BA128" i="15"/>
  <c r="AL126" i="38"/>
  <c r="BA143" i="15"/>
  <c r="AL141" i="38"/>
  <c r="BA146" i="15"/>
  <c r="AL144" i="38"/>
  <c r="BA138" i="15"/>
  <c r="AL136" i="38"/>
  <c r="BA48" i="15"/>
  <c r="AL46" i="38"/>
  <c r="BA56" i="15"/>
  <c r="AL54" i="38"/>
  <c r="BA65" i="15"/>
  <c r="AL63" i="38"/>
  <c r="BA72" i="15"/>
  <c r="AL70" i="38"/>
  <c r="BA80" i="15"/>
  <c r="AL78" i="38"/>
  <c r="BA88" i="15"/>
  <c r="AL86" i="38"/>
  <c r="BA97" i="15"/>
  <c r="AL95" i="38"/>
  <c r="BA105" i="15"/>
  <c r="AL103" i="38"/>
  <c r="BA113" i="15"/>
  <c r="AL111" i="38"/>
  <c r="BA121" i="15"/>
  <c r="AL119" i="38"/>
  <c r="BA130" i="15"/>
  <c r="AL128" i="38"/>
  <c r="BA135" i="15"/>
  <c r="AL133" i="38"/>
  <c r="BA139" i="15"/>
  <c r="AL137" i="38"/>
  <c r="BA125" i="15"/>
  <c r="AL123" i="38"/>
  <c r="BA63" i="15"/>
  <c r="AL61" i="38"/>
  <c r="BA50" i="15"/>
  <c r="AL48" i="38"/>
  <c r="BA58" i="15"/>
  <c r="AL56" i="38"/>
  <c r="BA66" i="15"/>
  <c r="AL64" i="38"/>
  <c r="BA75" i="15"/>
  <c r="AL73" i="38"/>
  <c r="BA82" i="15"/>
  <c r="AL80" i="38"/>
  <c r="BA90" i="15"/>
  <c r="AL88" i="38"/>
  <c r="BA98" i="15"/>
  <c r="AL96" i="38"/>
  <c r="BA106" i="15"/>
  <c r="AL104" i="38"/>
  <c r="BA114" i="15"/>
  <c r="AL112" i="38"/>
  <c r="BA122" i="15"/>
  <c r="AL120" i="38"/>
  <c r="BA129" i="15"/>
  <c r="AL127" i="38"/>
  <c r="BA142" i="15"/>
  <c r="AL140" i="38"/>
  <c r="BA133" i="15"/>
  <c r="AL131" i="38"/>
  <c r="BA51" i="15"/>
  <c r="AL49" i="38"/>
  <c r="BA59" i="15"/>
  <c r="AL57" i="38"/>
  <c r="BA68" i="15"/>
  <c r="AL66" i="38"/>
  <c r="BA74" i="15"/>
  <c r="AL72" i="38"/>
  <c r="BA83" i="15"/>
  <c r="AL81" i="38"/>
  <c r="BA92" i="15"/>
  <c r="AL90" i="38"/>
  <c r="BA99" i="15"/>
  <c r="AL97" i="38"/>
  <c r="BA107" i="15"/>
  <c r="AL105" i="38"/>
  <c r="BA116" i="15"/>
  <c r="AL114" i="38"/>
  <c r="BA123" i="15"/>
  <c r="AL121" i="38"/>
  <c r="BA131" i="15"/>
  <c r="AL129" i="38"/>
  <c r="BA136" i="15"/>
  <c r="AL134" i="38"/>
  <c r="BA140" i="15"/>
  <c r="AL138" i="38"/>
  <c r="BA52" i="15"/>
  <c r="AL50" i="38"/>
  <c r="BA60" i="15"/>
  <c r="AL58" i="38"/>
  <c r="BA67" i="15"/>
  <c r="AL65" i="38"/>
  <c r="BA76" i="15"/>
  <c r="AL74" i="38"/>
  <c r="BA85" i="15"/>
  <c r="AL83" i="38"/>
  <c r="BA91" i="15"/>
  <c r="AL89" i="38"/>
  <c r="BA100" i="15"/>
  <c r="AL98" i="38"/>
  <c r="BA108" i="15"/>
  <c r="AL106" i="38"/>
  <c r="BA115" i="15"/>
  <c r="AL113" i="38"/>
  <c r="BA124" i="15"/>
  <c r="AL122" i="38"/>
  <c r="BA132" i="15"/>
  <c r="AL130" i="38"/>
  <c r="BA144" i="15"/>
  <c r="AL142" i="38"/>
  <c r="CN80" i="14"/>
  <c r="U64" i="38" s="1"/>
  <c r="CN64" i="14"/>
  <c r="U48" i="38" s="1"/>
  <c r="CN72" i="14"/>
  <c r="CN85" i="14"/>
  <c r="CN67" i="14"/>
  <c r="U51" i="38" s="1"/>
  <c r="CN76" i="14"/>
  <c r="CN62" i="14"/>
  <c r="CN70" i="14"/>
  <c r="CN75" i="14"/>
  <c r="CN82" i="14"/>
  <c r="CN68" i="14"/>
  <c r="CN77" i="14"/>
  <c r="CN69" i="14"/>
  <c r="CN83" i="14"/>
  <c r="H10" i="16"/>
  <c r="W35" i="46" s="1"/>
  <c r="CN66" i="14"/>
  <c r="CN71" i="14"/>
  <c r="CN78" i="14"/>
  <c r="CW139" i="14"/>
  <c r="CX139" i="14" s="1"/>
  <c r="CY139" i="14" s="1"/>
  <c r="CZ139" i="14" s="1"/>
  <c r="CN81" i="14"/>
  <c r="CN74" i="14"/>
  <c r="CN73" i="14"/>
  <c r="T79" i="15"/>
  <c r="X79" i="15" s="1"/>
  <c r="CQ93" i="14"/>
  <c r="T87" i="15"/>
  <c r="X87" i="15" s="1"/>
  <c r="CQ101" i="14"/>
  <c r="T96" i="15"/>
  <c r="X96" i="15" s="1"/>
  <c r="CQ110" i="14"/>
  <c r="T104" i="15"/>
  <c r="X104" i="15" s="1"/>
  <c r="CQ118" i="14"/>
  <c r="CQ126" i="14"/>
  <c r="T112" i="15"/>
  <c r="X112" i="15" s="1"/>
  <c r="T119" i="15"/>
  <c r="X119" i="15" s="1"/>
  <c r="CQ133" i="14"/>
  <c r="T128" i="15"/>
  <c r="X128" i="15" s="1"/>
  <c r="CQ142" i="14"/>
  <c r="T138" i="15"/>
  <c r="X138" i="15" s="1"/>
  <c r="CQ152" i="14"/>
  <c r="T133" i="15"/>
  <c r="X133" i="15" s="1"/>
  <c r="CQ147" i="14"/>
  <c r="CQ87" i="14"/>
  <c r="T73" i="15"/>
  <c r="X73" i="15" s="1"/>
  <c r="T81" i="15"/>
  <c r="X81" i="15" s="1"/>
  <c r="CQ95" i="14"/>
  <c r="T89" i="15"/>
  <c r="X89" i="15" s="1"/>
  <c r="CQ103" i="14"/>
  <c r="T97" i="15"/>
  <c r="X97" i="15" s="1"/>
  <c r="CQ111" i="14"/>
  <c r="T103" i="15"/>
  <c r="X103" i="15" s="1"/>
  <c r="CQ117" i="14"/>
  <c r="T111" i="15"/>
  <c r="X111" i="15" s="1"/>
  <c r="CQ125" i="14"/>
  <c r="CQ134" i="14"/>
  <c r="T120" i="15"/>
  <c r="X120" i="15" s="1"/>
  <c r="T130" i="15"/>
  <c r="X130" i="15" s="1"/>
  <c r="CQ144" i="14"/>
  <c r="T134" i="15"/>
  <c r="X134" i="15" s="1"/>
  <c r="CQ148" i="14"/>
  <c r="T140" i="15"/>
  <c r="X140" i="15" s="1"/>
  <c r="CQ154" i="14"/>
  <c r="T80" i="15"/>
  <c r="X80" i="15" s="1"/>
  <c r="CQ94" i="14"/>
  <c r="T88" i="15"/>
  <c r="X88" i="15" s="1"/>
  <c r="CQ102" i="14"/>
  <c r="T95" i="15"/>
  <c r="X95" i="15" s="1"/>
  <c r="CQ109" i="14"/>
  <c r="T105" i="15"/>
  <c r="X105" i="15" s="1"/>
  <c r="CQ119" i="14"/>
  <c r="T114" i="15"/>
  <c r="X114" i="15" s="1"/>
  <c r="CQ128" i="14"/>
  <c r="T122" i="15"/>
  <c r="X122" i="15" s="1"/>
  <c r="CQ136" i="14"/>
  <c r="T129" i="15"/>
  <c r="X129" i="15" s="1"/>
  <c r="CQ143" i="14"/>
  <c r="CQ159" i="14"/>
  <c r="T145" i="15"/>
  <c r="X145" i="15" s="1"/>
  <c r="T144" i="15"/>
  <c r="X144" i="15" s="1"/>
  <c r="CQ158" i="14"/>
  <c r="T83" i="15"/>
  <c r="X83" i="15" s="1"/>
  <c r="CQ97" i="14"/>
  <c r="T91" i="15"/>
  <c r="X91" i="15" s="1"/>
  <c r="CQ105" i="14"/>
  <c r="T98" i="15"/>
  <c r="X98" i="15" s="1"/>
  <c r="CQ112" i="14"/>
  <c r="T106" i="15"/>
  <c r="X106" i="15" s="1"/>
  <c r="CQ120" i="14"/>
  <c r="T113" i="15"/>
  <c r="X113" i="15" s="1"/>
  <c r="CQ127" i="14"/>
  <c r="T121" i="15"/>
  <c r="X121" i="15" s="1"/>
  <c r="CQ135" i="14"/>
  <c r="T131" i="15"/>
  <c r="X131" i="15" s="1"/>
  <c r="CQ145" i="14"/>
  <c r="T142" i="15"/>
  <c r="X142" i="15" s="1"/>
  <c r="CQ156" i="14"/>
  <c r="T82" i="15"/>
  <c r="X82" i="15" s="1"/>
  <c r="CQ96" i="14"/>
  <c r="T90" i="15"/>
  <c r="X90" i="15" s="1"/>
  <c r="CQ104" i="14"/>
  <c r="T99" i="15"/>
  <c r="X99" i="15" s="1"/>
  <c r="CQ113" i="14"/>
  <c r="T108" i="15"/>
  <c r="X108" i="15" s="1"/>
  <c r="CQ122" i="14"/>
  <c r="T116" i="15"/>
  <c r="X116" i="15" s="1"/>
  <c r="CQ130" i="14"/>
  <c r="T123" i="15"/>
  <c r="X123" i="15" s="1"/>
  <c r="CQ137" i="14"/>
  <c r="T132" i="15"/>
  <c r="X132" i="15" s="1"/>
  <c r="CQ146" i="14"/>
  <c r="CQ153" i="14"/>
  <c r="T139" i="15"/>
  <c r="X139" i="15" s="1"/>
  <c r="CQ91" i="14"/>
  <c r="T77" i="15"/>
  <c r="X77" i="15" s="1"/>
  <c r="CQ99" i="14"/>
  <c r="T85" i="15"/>
  <c r="X85" i="15" s="1"/>
  <c r="T92" i="15"/>
  <c r="X92" i="15" s="1"/>
  <c r="CQ106" i="14"/>
  <c r="T100" i="15"/>
  <c r="X100" i="15" s="1"/>
  <c r="CQ114" i="14"/>
  <c r="T107" i="15"/>
  <c r="X107" i="15" s="1"/>
  <c r="CQ121" i="14"/>
  <c r="T117" i="15"/>
  <c r="X117" i="15" s="1"/>
  <c r="CQ131" i="14"/>
  <c r="T124" i="15"/>
  <c r="X124" i="15" s="1"/>
  <c r="CQ138" i="14"/>
  <c r="T136" i="15"/>
  <c r="X136" i="15" s="1"/>
  <c r="CQ150" i="14"/>
  <c r="T135" i="15"/>
  <c r="X135" i="15" s="1"/>
  <c r="CQ149" i="14"/>
  <c r="G57" i="16"/>
  <c r="T76" i="15"/>
  <c r="X76" i="15" s="1"/>
  <c r="CQ90" i="14"/>
  <c r="T86" i="15"/>
  <c r="X86" i="15" s="1"/>
  <c r="CQ100" i="14"/>
  <c r="CQ108" i="14"/>
  <c r="T94" i="15"/>
  <c r="X94" i="15" s="1"/>
  <c r="T101" i="15"/>
  <c r="X101" i="15" s="1"/>
  <c r="CQ115" i="14"/>
  <c r="T109" i="15"/>
  <c r="X109" i="15" s="1"/>
  <c r="CQ123" i="14"/>
  <c r="T115" i="15"/>
  <c r="X115" i="15" s="1"/>
  <c r="CQ129" i="14"/>
  <c r="CQ140" i="14"/>
  <c r="T126" i="15"/>
  <c r="X126" i="15" s="1"/>
  <c r="T146" i="15"/>
  <c r="X146" i="15" s="1"/>
  <c r="CQ160" i="14"/>
  <c r="CQ151" i="14"/>
  <c r="T137" i="15"/>
  <c r="X137" i="15" s="1"/>
  <c r="CN79" i="14"/>
  <c r="CN65" i="14"/>
  <c r="T78" i="15"/>
  <c r="X78" i="15" s="1"/>
  <c r="CQ92" i="14"/>
  <c r="T84" i="15"/>
  <c r="X84" i="15" s="1"/>
  <c r="CQ98" i="14"/>
  <c r="T93" i="15"/>
  <c r="X93" i="15" s="1"/>
  <c r="CQ107" i="14"/>
  <c r="T102" i="15"/>
  <c r="X102" i="15" s="1"/>
  <c r="CQ116" i="14"/>
  <c r="T110" i="15"/>
  <c r="X110" i="15" s="1"/>
  <c r="CQ124" i="14"/>
  <c r="CQ132" i="14"/>
  <c r="T118" i="15"/>
  <c r="X118" i="15" s="1"/>
  <c r="CQ141" i="14"/>
  <c r="T127" i="15"/>
  <c r="X127" i="15" s="1"/>
  <c r="T143" i="15"/>
  <c r="X143" i="15" s="1"/>
  <c r="CQ157" i="14"/>
  <c r="T141" i="15"/>
  <c r="X141" i="15" s="1"/>
  <c r="CQ155" i="14"/>
  <c r="IK155" i="14"/>
  <c r="IU155" i="14" s="1"/>
  <c r="IK154" i="14"/>
  <c r="IU154" i="14" s="1"/>
  <c r="IK147" i="14"/>
  <c r="IU147" i="14" s="1"/>
  <c r="IK153" i="14"/>
  <c r="IU153" i="14" s="1"/>
  <c r="IK160" i="14"/>
  <c r="IU160" i="14" s="1"/>
  <c r="IK151" i="14"/>
  <c r="IU151" i="14" s="1"/>
  <c r="IK159" i="14"/>
  <c r="IU159" i="14" s="1"/>
  <c r="IK152" i="14"/>
  <c r="IU152" i="14" s="1"/>
  <c r="IK158" i="14"/>
  <c r="IU158" i="14" s="1"/>
  <c r="IK150" i="14"/>
  <c r="IU150" i="14" s="1"/>
  <c r="IK156" i="14"/>
  <c r="IU156" i="14" s="1"/>
  <c r="IK149" i="14"/>
  <c r="IU149" i="14" s="1"/>
  <c r="IK157" i="14"/>
  <c r="IU157" i="14" s="1"/>
  <c r="IK148" i="14"/>
  <c r="IU148" i="14" s="1"/>
  <c r="IK146" i="14"/>
  <c r="IU146" i="14" s="1"/>
  <c r="IK145" i="14"/>
  <c r="IU145" i="14" s="1"/>
  <c r="IK144" i="14"/>
  <c r="IU144" i="14" s="1"/>
  <c r="IK143" i="14"/>
  <c r="IU143" i="14" s="1"/>
  <c r="IK142" i="14"/>
  <c r="IU142" i="14" s="1"/>
  <c r="IK141" i="14"/>
  <c r="IU141" i="14" s="1"/>
  <c r="IK140" i="14"/>
  <c r="IU140" i="14" s="1"/>
  <c r="IK139" i="14"/>
  <c r="IU139" i="14" s="1"/>
  <c r="IK138" i="14"/>
  <c r="IU138" i="14" s="1"/>
  <c r="IK137" i="14"/>
  <c r="IU137" i="14" s="1"/>
  <c r="IK136" i="14"/>
  <c r="IU136" i="14" s="1"/>
  <c r="IK135" i="14"/>
  <c r="IU135" i="14" s="1"/>
  <c r="IK134" i="14"/>
  <c r="IU134" i="14" s="1"/>
  <c r="IK133" i="14"/>
  <c r="IU133" i="14" s="1"/>
  <c r="IK132" i="14"/>
  <c r="IU132" i="14" s="1"/>
  <c r="IK131" i="14"/>
  <c r="IU131" i="14" s="1"/>
  <c r="IK129" i="14"/>
  <c r="IU129" i="14" s="1"/>
  <c r="IK130" i="14"/>
  <c r="IU130" i="14" s="1"/>
  <c r="IK127" i="14"/>
  <c r="IU127" i="14" s="1"/>
  <c r="IK128" i="14"/>
  <c r="IU128" i="14" s="1"/>
  <c r="IK126" i="14"/>
  <c r="IU126" i="14" s="1"/>
  <c r="IK125" i="14"/>
  <c r="IU125" i="14" s="1"/>
  <c r="IK124" i="14"/>
  <c r="IU124" i="14" s="1"/>
  <c r="IK123" i="14"/>
  <c r="IU123" i="14" s="1"/>
  <c r="IK122" i="14"/>
  <c r="IU122" i="14" s="1"/>
  <c r="IK121" i="14"/>
  <c r="IU121" i="14" s="1"/>
  <c r="IK120" i="14"/>
  <c r="IU120" i="14" s="1"/>
  <c r="IK118" i="14"/>
  <c r="IU118" i="14" s="1"/>
  <c r="IK119" i="14"/>
  <c r="IU119" i="14" s="1"/>
  <c r="IK117" i="14"/>
  <c r="IU117" i="14" s="1"/>
  <c r="IK116" i="14"/>
  <c r="IU116" i="14" s="1"/>
  <c r="IK114" i="14"/>
  <c r="IU114" i="14" s="1"/>
  <c r="IK115" i="14"/>
  <c r="IU115" i="14" s="1"/>
  <c r="IK113" i="14"/>
  <c r="IU113" i="14" s="1"/>
  <c r="IK112" i="14"/>
  <c r="IU112" i="14" s="1"/>
  <c r="IK111" i="14"/>
  <c r="IU111" i="14" s="1"/>
  <c r="IK110" i="14"/>
  <c r="IU110" i="14" s="1"/>
  <c r="IK109" i="14"/>
  <c r="IU109" i="14" s="1"/>
  <c r="IK108" i="14"/>
  <c r="IU108" i="14" s="1"/>
  <c r="IK107" i="14"/>
  <c r="IU107" i="14" s="1"/>
  <c r="IK106" i="14"/>
  <c r="IU106" i="14" s="1"/>
  <c r="IK105" i="14"/>
  <c r="IU105" i="14" s="1"/>
  <c r="IK104" i="14"/>
  <c r="IU104" i="14" s="1"/>
  <c r="IK103" i="14"/>
  <c r="IU103" i="14" s="1"/>
  <c r="IK102" i="14"/>
  <c r="IU102" i="14" s="1"/>
  <c r="IK101" i="14"/>
  <c r="IU101" i="14" s="1"/>
  <c r="IK100" i="14"/>
  <c r="IU100" i="14" s="1"/>
  <c r="IK98" i="14"/>
  <c r="IU98" i="14" s="1"/>
  <c r="IK99" i="14"/>
  <c r="IU99" i="14" s="1"/>
  <c r="IK97" i="14"/>
  <c r="IU97" i="14" s="1"/>
  <c r="IK96" i="14"/>
  <c r="IU96" i="14" s="1"/>
  <c r="IK94" i="14"/>
  <c r="IU94" i="14" s="1"/>
  <c r="IK95" i="14"/>
  <c r="IU95" i="14" s="1"/>
  <c r="IK93" i="14"/>
  <c r="IU93" i="14" s="1"/>
  <c r="IK92" i="14"/>
  <c r="IU92" i="14" s="1"/>
  <c r="IK91" i="14"/>
  <c r="IU91" i="14" s="1"/>
  <c r="IK90" i="14"/>
  <c r="IU90" i="14" s="1"/>
  <c r="IK88" i="14"/>
  <c r="IU88" i="14" s="1"/>
  <c r="IK89" i="14"/>
  <c r="IU89" i="14" s="1"/>
  <c r="IK86" i="14"/>
  <c r="IU86" i="14" s="1"/>
  <c r="IK87" i="14"/>
  <c r="IU87" i="14" s="1"/>
  <c r="IK85" i="14"/>
  <c r="IU85" i="14" s="1"/>
  <c r="IK83" i="14"/>
  <c r="IU83" i="14" s="1"/>
  <c r="IK84" i="14"/>
  <c r="IU84" i="14" s="1"/>
  <c r="IK81" i="14"/>
  <c r="IU81" i="14" s="1"/>
  <c r="IK82" i="14"/>
  <c r="IU82" i="14" s="1"/>
  <c r="IK80" i="14"/>
  <c r="IU80" i="14" s="1"/>
  <c r="IK79" i="14"/>
  <c r="IU79" i="14" s="1"/>
  <c r="IK78" i="14"/>
  <c r="IU78" i="14" s="1"/>
  <c r="IK77" i="14"/>
  <c r="IU77" i="14" s="1"/>
  <c r="IK75" i="14"/>
  <c r="IU75" i="14" s="1"/>
  <c r="IK76" i="14"/>
  <c r="IU76" i="14" s="1"/>
  <c r="IK72" i="14"/>
  <c r="IU72" i="14" s="1"/>
  <c r="IK74" i="14"/>
  <c r="IU74" i="14" s="1"/>
  <c r="IK73" i="14"/>
  <c r="IU73" i="14" s="1"/>
  <c r="IK70" i="14"/>
  <c r="IU70" i="14" s="1"/>
  <c r="IK71" i="14"/>
  <c r="IU71" i="14" s="1"/>
  <c r="IK69" i="14"/>
  <c r="IU69" i="14" s="1"/>
  <c r="IK67" i="14"/>
  <c r="IU67" i="14" s="1"/>
  <c r="IK68" i="14"/>
  <c r="IU68" i="14" s="1"/>
  <c r="IK66" i="14"/>
  <c r="IU66" i="14" s="1"/>
  <c r="IK65" i="14"/>
  <c r="IU65" i="14" s="1"/>
  <c r="IK64" i="14"/>
  <c r="IU64" i="14" s="1"/>
  <c r="IK63" i="14"/>
  <c r="IU63" i="14" s="1"/>
  <c r="IK61" i="14"/>
  <c r="IU61" i="14" s="1"/>
  <c r="IK62" i="14"/>
  <c r="IU62" i="14" s="1"/>
  <c r="T47" i="15"/>
  <c r="X47" i="15" s="1"/>
  <c r="AD47" i="15" s="1"/>
  <c r="CQ61" i="14"/>
  <c r="DZ61" i="14" s="1"/>
  <c r="CN60" i="14"/>
  <c r="H7" i="16"/>
  <c r="W32" i="46" s="1"/>
  <c r="Z54" i="15" l="1"/>
  <c r="CQ86" i="14"/>
  <c r="T72" i="15"/>
  <c r="X72" i="15" s="1"/>
  <c r="Y72" i="15" s="1"/>
  <c r="CQ88" i="14"/>
  <c r="DZ88" i="14" s="1"/>
  <c r="T74" i="15"/>
  <c r="X74" i="15" s="1"/>
  <c r="Y74" i="15" s="1"/>
  <c r="CQ89" i="14"/>
  <c r="DZ89" i="14" s="1"/>
  <c r="T75" i="15"/>
  <c r="X75" i="15" s="1"/>
  <c r="AC60" i="15"/>
  <c r="AC72" i="15"/>
  <c r="Z72" i="15"/>
  <c r="AC73" i="15"/>
  <c r="Z73" i="15"/>
  <c r="Z75" i="15"/>
  <c r="AC75" i="15"/>
  <c r="AC74" i="15"/>
  <c r="Z74" i="15"/>
  <c r="Z64" i="15"/>
  <c r="V43" i="1"/>
  <c r="V43" i="46"/>
  <c r="BF50" i="43"/>
  <c r="BF50" i="45" s="1"/>
  <c r="F26" i="45" s="1"/>
  <c r="W32" i="1"/>
  <c r="W35" i="1"/>
  <c r="T49" i="15"/>
  <c r="X49" i="15" s="1"/>
  <c r="AA49" i="15" s="1"/>
  <c r="CQ63" i="14"/>
  <c r="DZ63" i="14" s="1"/>
  <c r="EH63" i="14" s="1"/>
  <c r="EI63" i="14" s="1"/>
  <c r="EK63" i="14" s="1"/>
  <c r="CQ80" i="14"/>
  <c r="DZ80" i="14" s="1"/>
  <c r="EH80" i="14" s="1"/>
  <c r="EI80" i="14" s="1"/>
  <c r="EK80" i="14" s="1"/>
  <c r="T66" i="15"/>
  <c r="X66" i="15" s="1"/>
  <c r="AA66" i="15" s="1"/>
  <c r="CQ67" i="14"/>
  <c r="DZ67" i="14" s="1"/>
  <c r="EH67" i="14" s="1"/>
  <c r="EI67" i="14" s="1"/>
  <c r="EK67" i="14" s="1"/>
  <c r="T53" i="15"/>
  <c r="X53" i="15" s="1"/>
  <c r="AA53" i="15" s="1"/>
  <c r="T70" i="15"/>
  <c r="X70" i="15" s="1"/>
  <c r="AD70" i="15" s="1"/>
  <c r="CQ84" i="14"/>
  <c r="DZ84" i="14" s="1"/>
  <c r="EA84" i="14" s="1"/>
  <c r="EB84" i="14" s="1"/>
  <c r="CQ64" i="14"/>
  <c r="DZ64" i="14" s="1"/>
  <c r="EA64" i="14" s="1"/>
  <c r="EB64" i="14" s="1"/>
  <c r="AC46" i="15"/>
  <c r="T50" i="15"/>
  <c r="X50" i="15" s="1"/>
  <c r="AA50" i="15" s="1"/>
  <c r="U44" i="38"/>
  <c r="CQ60" i="14"/>
  <c r="AZ49" i="15"/>
  <c r="BB49" i="15" s="1"/>
  <c r="BE49" i="15" s="1"/>
  <c r="AK47" i="38"/>
  <c r="AY47" i="38" s="1"/>
  <c r="AZ121" i="15"/>
  <c r="BB121" i="15" s="1"/>
  <c r="BE121" i="15" s="1"/>
  <c r="AK119" i="38"/>
  <c r="AY119" i="38" s="1"/>
  <c r="AZ144" i="15"/>
  <c r="BB144" i="15" s="1"/>
  <c r="BE144" i="15" s="1"/>
  <c r="AK142" i="38"/>
  <c r="AY142" i="38" s="1"/>
  <c r="CQ83" i="14"/>
  <c r="CR83" i="14" s="1"/>
  <c r="CU83" i="14" s="1"/>
  <c r="CV83" i="14" s="1"/>
  <c r="U67" i="38"/>
  <c r="AZ65" i="15"/>
  <c r="BB65" i="15" s="1"/>
  <c r="BE65" i="15" s="1"/>
  <c r="AK63" i="38"/>
  <c r="AY63" i="38" s="1"/>
  <c r="AZ104" i="15"/>
  <c r="BB104" i="15" s="1"/>
  <c r="BE104" i="15" s="1"/>
  <c r="AK102" i="38"/>
  <c r="AY102" i="38" s="1"/>
  <c r="AZ140" i="15"/>
  <c r="BB140" i="15" s="1"/>
  <c r="BE140" i="15" s="1"/>
  <c r="AK138" i="38"/>
  <c r="AY138" i="38" s="1"/>
  <c r="AZ59" i="15"/>
  <c r="BB59" i="15" s="1"/>
  <c r="BE59" i="15" s="1"/>
  <c r="AK57" i="38"/>
  <c r="AY57" i="38" s="1"/>
  <c r="AZ122" i="15"/>
  <c r="BB122" i="15" s="1"/>
  <c r="BE122" i="15" s="1"/>
  <c r="AK120" i="38"/>
  <c r="AY120" i="38" s="1"/>
  <c r="T59" i="15"/>
  <c r="X59" i="15" s="1"/>
  <c r="AA59" i="15" s="1"/>
  <c r="U57" i="38"/>
  <c r="AZ60" i="15"/>
  <c r="BB60" i="15" s="1"/>
  <c r="BE60" i="15" s="1"/>
  <c r="AK58" i="38"/>
  <c r="AY58" i="38" s="1"/>
  <c r="AZ91" i="15"/>
  <c r="BB91" i="15" s="1"/>
  <c r="BE91" i="15" s="1"/>
  <c r="AK89" i="38"/>
  <c r="AY89" i="38" s="1"/>
  <c r="AZ99" i="15"/>
  <c r="BB99" i="15" s="1"/>
  <c r="BE99" i="15" s="1"/>
  <c r="AK97" i="38"/>
  <c r="AY97" i="38" s="1"/>
  <c r="AZ131" i="15"/>
  <c r="BB131" i="15" s="1"/>
  <c r="BE131" i="15" s="1"/>
  <c r="AK129" i="38"/>
  <c r="AY129" i="38" s="1"/>
  <c r="AZ138" i="15"/>
  <c r="BB138" i="15" s="1"/>
  <c r="BE138" i="15" s="1"/>
  <c r="AK136" i="38"/>
  <c r="AY136" i="38" s="1"/>
  <c r="T60" i="15"/>
  <c r="X60" i="15" s="1"/>
  <c r="AD60" i="15" s="1"/>
  <c r="U58" i="38"/>
  <c r="T55" i="15"/>
  <c r="X55" i="15" s="1"/>
  <c r="Y55" i="15" s="1"/>
  <c r="AB55" i="15" s="1"/>
  <c r="U53" i="38"/>
  <c r="T62" i="15"/>
  <c r="X62" i="15" s="1"/>
  <c r="AA62" i="15" s="1"/>
  <c r="U60" i="38"/>
  <c r="AZ56" i="15"/>
  <c r="BB56" i="15" s="1"/>
  <c r="BE56" i="15" s="1"/>
  <c r="AK54" i="38"/>
  <c r="AY54" i="38" s="1"/>
  <c r="AZ97" i="15"/>
  <c r="BB97" i="15" s="1"/>
  <c r="BE97" i="15" s="1"/>
  <c r="AK95" i="38"/>
  <c r="AY95" i="38" s="1"/>
  <c r="AZ136" i="15"/>
  <c r="BB136" i="15" s="1"/>
  <c r="BE136" i="15" s="1"/>
  <c r="AK134" i="38"/>
  <c r="AY134" i="38" s="1"/>
  <c r="AZ82" i="15"/>
  <c r="BB82" i="15" s="1"/>
  <c r="BE82" i="15" s="1"/>
  <c r="AK80" i="38"/>
  <c r="AY80" i="38" s="1"/>
  <c r="AZ141" i="15"/>
  <c r="BB141" i="15" s="1"/>
  <c r="BE141" i="15" s="1"/>
  <c r="AK139" i="38"/>
  <c r="AY139" i="38" s="1"/>
  <c r="AZ51" i="15"/>
  <c r="BB51" i="15" s="1"/>
  <c r="BE51" i="15" s="1"/>
  <c r="AK49" i="38"/>
  <c r="AY49" i="38" s="1"/>
  <c r="AZ123" i="15"/>
  <c r="BB123" i="15" s="1"/>
  <c r="BE123" i="15" s="1"/>
  <c r="AK121" i="38"/>
  <c r="AY121" i="38" s="1"/>
  <c r="AZ52" i="15"/>
  <c r="BB52" i="15" s="1"/>
  <c r="BE52" i="15" s="1"/>
  <c r="AK50" i="38"/>
  <c r="AY50" i="38" s="1"/>
  <c r="AZ67" i="15"/>
  <c r="BB67" i="15" s="1"/>
  <c r="BE67" i="15" s="1"/>
  <c r="AK65" i="38"/>
  <c r="AY65" i="38" s="1"/>
  <c r="AZ76" i="15"/>
  <c r="BB76" i="15" s="1"/>
  <c r="BE76" i="15" s="1"/>
  <c r="AK74" i="38"/>
  <c r="AY74" i="38" s="1"/>
  <c r="AZ85" i="15"/>
  <c r="BB85" i="15" s="1"/>
  <c r="BE85" i="15" s="1"/>
  <c r="AK83" i="38"/>
  <c r="AY83" i="38" s="1"/>
  <c r="AZ92" i="15"/>
  <c r="BB92" i="15" s="1"/>
  <c r="BE92" i="15" s="1"/>
  <c r="AK90" i="38"/>
  <c r="AY90" i="38" s="1"/>
  <c r="AZ101" i="15"/>
  <c r="BB101" i="15" s="1"/>
  <c r="BE101" i="15" s="1"/>
  <c r="AK99" i="38"/>
  <c r="AY99" i="38" s="1"/>
  <c r="AZ108" i="15"/>
  <c r="BB108" i="15" s="1"/>
  <c r="BE108" i="15" s="1"/>
  <c r="AK106" i="38"/>
  <c r="AY106" i="38" s="1"/>
  <c r="AZ115" i="15"/>
  <c r="BB115" i="15" s="1"/>
  <c r="BE115" i="15" s="1"/>
  <c r="AK113" i="38"/>
  <c r="AY113" i="38" s="1"/>
  <c r="AZ124" i="15"/>
  <c r="BB124" i="15" s="1"/>
  <c r="BE124" i="15" s="1"/>
  <c r="AK122" i="38"/>
  <c r="AY122" i="38" s="1"/>
  <c r="AZ132" i="15"/>
  <c r="BB132" i="15" s="1"/>
  <c r="BE132" i="15" s="1"/>
  <c r="AK130" i="38"/>
  <c r="AY130" i="38" s="1"/>
  <c r="AZ145" i="15"/>
  <c r="BB145" i="15" s="1"/>
  <c r="BE145" i="15" s="1"/>
  <c r="AK143" i="38"/>
  <c r="AY143" i="38" s="1"/>
  <c r="T67" i="15"/>
  <c r="X67" i="15" s="1"/>
  <c r="Y67" i="15" s="1"/>
  <c r="AB67" i="15" s="1"/>
  <c r="U65" i="38"/>
  <c r="AZ89" i="15"/>
  <c r="BB89" i="15" s="1"/>
  <c r="BE89" i="15" s="1"/>
  <c r="AK87" i="38"/>
  <c r="AY87" i="38" s="1"/>
  <c r="AZ114" i="15"/>
  <c r="BB114" i="15" s="1"/>
  <c r="BE114" i="15" s="1"/>
  <c r="AK112" i="38"/>
  <c r="AY112" i="38" s="1"/>
  <c r="AZ50" i="15"/>
  <c r="BB50" i="15" s="1"/>
  <c r="BE50" i="15" s="1"/>
  <c r="AK48" i="38"/>
  <c r="AY48" i="38" s="1"/>
  <c r="AZ75" i="15"/>
  <c r="BB75" i="15" s="1"/>
  <c r="BE75" i="15" s="1"/>
  <c r="AK73" i="38"/>
  <c r="AY73" i="38" s="1"/>
  <c r="AZ98" i="15"/>
  <c r="BB98" i="15" s="1"/>
  <c r="BE98" i="15" s="1"/>
  <c r="AK96" i="38"/>
  <c r="AY96" i="38" s="1"/>
  <c r="AZ106" i="15"/>
  <c r="BB106" i="15" s="1"/>
  <c r="BE106" i="15" s="1"/>
  <c r="AK104" i="38"/>
  <c r="AY104" i="38" s="1"/>
  <c r="AZ113" i="15"/>
  <c r="BB113" i="15" s="1"/>
  <c r="BE113" i="15" s="1"/>
  <c r="AK111" i="38"/>
  <c r="AY111" i="38" s="1"/>
  <c r="CQ62" i="14"/>
  <c r="DZ62" i="14" s="1"/>
  <c r="EA62" i="14" s="1"/>
  <c r="EB62" i="14" s="1"/>
  <c r="U46" i="38"/>
  <c r="AZ68" i="15"/>
  <c r="BB68" i="15" s="1"/>
  <c r="BE68" i="15" s="1"/>
  <c r="AK66" i="38"/>
  <c r="AY66" i="38" s="1"/>
  <c r="AZ83" i="15"/>
  <c r="BB83" i="15" s="1"/>
  <c r="BE83" i="15" s="1"/>
  <c r="AK81" i="38"/>
  <c r="AY81" i="38" s="1"/>
  <c r="AZ107" i="15"/>
  <c r="BB107" i="15" s="1"/>
  <c r="BE107" i="15" s="1"/>
  <c r="AK105" i="38"/>
  <c r="AY105" i="38" s="1"/>
  <c r="AZ54" i="15"/>
  <c r="BB54" i="15" s="1"/>
  <c r="BE54" i="15" s="1"/>
  <c r="AK52" i="38"/>
  <c r="AY52" i="38" s="1"/>
  <c r="AZ62" i="15"/>
  <c r="BB62" i="15" s="1"/>
  <c r="BE62" i="15" s="1"/>
  <c r="AK60" i="38"/>
  <c r="AY60" i="38" s="1"/>
  <c r="AZ70" i="15"/>
  <c r="BB70" i="15" s="1"/>
  <c r="BE70" i="15" s="1"/>
  <c r="AK68" i="38"/>
  <c r="AY68" i="38" s="1"/>
  <c r="AZ77" i="15"/>
  <c r="BB77" i="15" s="1"/>
  <c r="BE77" i="15" s="1"/>
  <c r="AK75" i="38"/>
  <c r="AY75" i="38" s="1"/>
  <c r="AZ84" i="15"/>
  <c r="BB84" i="15" s="1"/>
  <c r="BE84" i="15" s="1"/>
  <c r="AK82" i="38"/>
  <c r="AY82" i="38" s="1"/>
  <c r="AZ93" i="15"/>
  <c r="BB93" i="15" s="1"/>
  <c r="BE93" i="15" s="1"/>
  <c r="AK91" i="38"/>
  <c r="AY91" i="38" s="1"/>
  <c r="AZ100" i="15"/>
  <c r="BB100" i="15" s="1"/>
  <c r="BE100" i="15" s="1"/>
  <c r="AK98" i="38"/>
  <c r="AY98" i="38" s="1"/>
  <c r="AZ109" i="15"/>
  <c r="BB109" i="15" s="1"/>
  <c r="BE109" i="15" s="1"/>
  <c r="AK107" i="38"/>
  <c r="AY107" i="38" s="1"/>
  <c r="AZ117" i="15"/>
  <c r="BB117" i="15" s="1"/>
  <c r="BE117" i="15" s="1"/>
  <c r="AK115" i="38"/>
  <c r="AY115" i="38" s="1"/>
  <c r="AZ125" i="15"/>
  <c r="BB125" i="15" s="1"/>
  <c r="BE125" i="15" s="1"/>
  <c r="AK123" i="38"/>
  <c r="AY123" i="38" s="1"/>
  <c r="AZ134" i="15"/>
  <c r="BB134" i="15" s="1"/>
  <c r="BE134" i="15" s="1"/>
  <c r="AK132" i="38"/>
  <c r="AY132" i="38" s="1"/>
  <c r="AZ137" i="15"/>
  <c r="BB137" i="15" s="1"/>
  <c r="BE137" i="15" s="1"/>
  <c r="AK135" i="38"/>
  <c r="AY135" i="38" s="1"/>
  <c r="CQ65" i="14"/>
  <c r="DZ65" i="14" s="1"/>
  <c r="EA65" i="14" s="1"/>
  <c r="EB65" i="14" s="1"/>
  <c r="U49" i="38"/>
  <c r="T63" i="15"/>
  <c r="X63" i="15" s="1"/>
  <c r="AA63" i="15" s="1"/>
  <c r="U61" i="38"/>
  <c r="CQ85" i="14"/>
  <c r="CR85" i="14" s="1"/>
  <c r="CU85" i="14" s="1"/>
  <c r="CV85" i="14" s="1"/>
  <c r="U69" i="38"/>
  <c r="AZ80" i="15"/>
  <c r="BB80" i="15" s="1"/>
  <c r="BE80" i="15" s="1"/>
  <c r="AK78" i="38"/>
  <c r="AY78" i="38" s="1"/>
  <c r="AZ66" i="15"/>
  <c r="BB66" i="15" s="1"/>
  <c r="BE66" i="15" s="1"/>
  <c r="AK64" i="38"/>
  <c r="AY64" i="38" s="1"/>
  <c r="AZ130" i="15"/>
  <c r="BB130" i="15" s="1"/>
  <c r="BE130" i="15" s="1"/>
  <c r="AK128" i="38"/>
  <c r="AY128" i="38" s="1"/>
  <c r="AZ74" i="15"/>
  <c r="BB74" i="15" s="1"/>
  <c r="BE74" i="15" s="1"/>
  <c r="AK72" i="38"/>
  <c r="AY72" i="38" s="1"/>
  <c r="AZ116" i="15"/>
  <c r="BB116" i="15" s="1"/>
  <c r="BE116" i="15" s="1"/>
  <c r="AK114" i="38"/>
  <c r="AY114" i="38" s="1"/>
  <c r="AZ58" i="15"/>
  <c r="BB58" i="15" s="1"/>
  <c r="BE58" i="15" s="1"/>
  <c r="AK56" i="38"/>
  <c r="AY56" i="38" s="1"/>
  <c r="T48" i="15"/>
  <c r="X48" i="15" s="1"/>
  <c r="AA48" i="15" s="1"/>
  <c r="AZ53" i="15"/>
  <c r="BB53" i="15" s="1"/>
  <c r="BE53" i="15" s="1"/>
  <c r="AK51" i="38"/>
  <c r="AY51" i="38" s="1"/>
  <c r="AZ61" i="15"/>
  <c r="BB61" i="15" s="1"/>
  <c r="BE61" i="15" s="1"/>
  <c r="AK59" i="38"/>
  <c r="AY59" i="38" s="1"/>
  <c r="AZ69" i="15"/>
  <c r="BB69" i="15" s="1"/>
  <c r="BE69" i="15" s="1"/>
  <c r="AK67" i="38"/>
  <c r="AY67" i="38" s="1"/>
  <c r="AZ78" i="15"/>
  <c r="BB78" i="15" s="1"/>
  <c r="BE78" i="15" s="1"/>
  <c r="AK76" i="38"/>
  <c r="AY76" i="38" s="1"/>
  <c r="AZ86" i="15"/>
  <c r="BB86" i="15" s="1"/>
  <c r="BE86" i="15" s="1"/>
  <c r="AK84" i="38"/>
  <c r="AY84" i="38" s="1"/>
  <c r="AZ94" i="15"/>
  <c r="BB94" i="15" s="1"/>
  <c r="BE94" i="15" s="1"/>
  <c r="AK92" i="38"/>
  <c r="AY92" i="38" s="1"/>
  <c r="AZ102" i="15"/>
  <c r="BB102" i="15" s="1"/>
  <c r="BE102" i="15" s="1"/>
  <c r="AK100" i="38"/>
  <c r="AY100" i="38" s="1"/>
  <c r="AZ110" i="15"/>
  <c r="BB110" i="15" s="1"/>
  <c r="BE110" i="15" s="1"/>
  <c r="AK108" i="38"/>
  <c r="AY108" i="38" s="1"/>
  <c r="AZ118" i="15"/>
  <c r="BB118" i="15" s="1"/>
  <c r="BE118" i="15" s="1"/>
  <c r="AK116" i="38"/>
  <c r="AY116" i="38" s="1"/>
  <c r="AZ126" i="15"/>
  <c r="BB126" i="15" s="1"/>
  <c r="BE126" i="15" s="1"/>
  <c r="AK124" i="38"/>
  <c r="AY124" i="38" s="1"/>
  <c r="AZ143" i="15"/>
  <c r="BB143" i="15" s="1"/>
  <c r="BE143" i="15" s="1"/>
  <c r="AK141" i="38"/>
  <c r="AY141" i="38" s="1"/>
  <c r="AZ146" i="15"/>
  <c r="BB146" i="15" s="1"/>
  <c r="BE146" i="15" s="1"/>
  <c r="AK144" i="38"/>
  <c r="AY144" i="38" s="1"/>
  <c r="CQ79" i="14"/>
  <c r="DZ79" i="14" s="1"/>
  <c r="EH79" i="14" s="1"/>
  <c r="EI79" i="14" s="1"/>
  <c r="EK79" i="14" s="1"/>
  <c r="U63" i="38"/>
  <c r="CQ78" i="14"/>
  <c r="DZ78" i="14" s="1"/>
  <c r="EA78" i="14" s="1"/>
  <c r="EB78" i="14" s="1"/>
  <c r="U62" i="38"/>
  <c r="CQ68" i="14"/>
  <c r="DZ68" i="14" s="1"/>
  <c r="EA68" i="14" s="1"/>
  <c r="EB68" i="14" s="1"/>
  <c r="U52" i="38"/>
  <c r="T58" i="15"/>
  <c r="X58" i="15" s="1"/>
  <c r="AD58" i="15" s="1"/>
  <c r="U56" i="38"/>
  <c r="AZ95" i="15"/>
  <c r="BB95" i="15" s="1"/>
  <c r="BE95" i="15" s="1"/>
  <c r="AK93" i="38"/>
  <c r="AY93" i="38" s="1"/>
  <c r="AZ103" i="15"/>
  <c r="BB103" i="15" s="1"/>
  <c r="BE103" i="15" s="1"/>
  <c r="AK101" i="38"/>
  <c r="AY101" i="38" s="1"/>
  <c r="AZ111" i="15"/>
  <c r="BB111" i="15" s="1"/>
  <c r="BE111" i="15" s="1"/>
  <c r="AK109" i="38"/>
  <c r="AY109" i="38" s="1"/>
  <c r="AZ119" i="15"/>
  <c r="BB119" i="15" s="1"/>
  <c r="BE119" i="15" s="1"/>
  <c r="AK117" i="38"/>
  <c r="AY117" i="38" s="1"/>
  <c r="AZ127" i="15"/>
  <c r="BB127" i="15" s="1"/>
  <c r="BE127" i="15" s="1"/>
  <c r="AK125" i="38"/>
  <c r="AY125" i="38" s="1"/>
  <c r="AZ135" i="15"/>
  <c r="BB135" i="15" s="1"/>
  <c r="BE135" i="15" s="1"/>
  <c r="AK133" i="38"/>
  <c r="AY133" i="38" s="1"/>
  <c r="AZ139" i="15"/>
  <c r="BB139" i="15" s="1"/>
  <c r="BE139" i="15" s="1"/>
  <c r="AK137" i="38"/>
  <c r="AY137" i="38" s="1"/>
  <c r="CQ71" i="14"/>
  <c r="DZ71" i="14" s="1"/>
  <c r="EA71" i="14" s="1"/>
  <c r="EB71" i="14" s="1"/>
  <c r="U55" i="38"/>
  <c r="T68" i="15"/>
  <c r="X68" i="15" s="1"/>
  <c r="AD68" i="15" s="1"/>
  <c r="U66" i="38"/>
  <c r="AZ72" i="15"/>
  <c r="BB72" i="15" s="1"/>
  <c r="BE72" i="15" s="1"/>
  <c r="AK70" i="38"/>
  <c r="AY70" i="38" s="1"/>
  <c r="AZ129" i="15"/>
  <c r="BB129" i="15" s="1"/>
  <c r="BE129" i="15" s="1"/>
  <c r="AK127" i="38"/>
  <c r="AY127" i="38" s="1"/>
  <c r="T56" i="15"/>
  <c r="X56" i="15" s="1"/>
  <c r="Y56" i="15" s="1"/>
  <c r="AB56" i="15" s="1"/>
  <c r="U54" i="38"/>
  <c r="AZ90" i="15"/>
  <c r="BB90" i="15" s="1"/>
  <c r="BE90" i="15" s="1"/>
  <c r="AK88" i="38"/>
  <c r="AY88" i="38" s="1"/>
  <c r="AZ48" i="15"/>
  <c r="BB48" i="15" s="1"/>
  <c r="BE48" i="15" s="1"/>
  <c r="AK46" i="38"/>
  <c r="AY46" i="38" s="1"/>
  <c r="AZ55" i="15"/>
  <c r="BB55" i="15" s="1"/>
  <c r="BE55" i="15" s="1"/>
  <c r="AK53" i="38"/>
  <c r="AY53" i="38" s="1"/>
  <c r="AZ63" i="15"/>
  <c r="BB63" i="15" s="1"/>
  <c r="BE63" i="15" s="1"/>
  <c r="AK61" i="38"/>
  <c r="AY61" i="38" s="1"/>
  <c r="AZ71" i="15"/>
  <c r="BB71" i="15" s="1"/>
  <c r="BE71" i="15" s="1"/>
  <c r="AK69" i="38"/>
  <c r="AY69" i="38" s="1"/>
  <c r="AZ79" i="15"/>
  <c r="BB79" i="15" s="1"/>
  <c r="BE79" i="15" s="1"/>
  <c r="AK77" i="38"/>
  <c r="AY77" i="38" s="1"/>
  <c r="AZ87" i="15"/>
  <c r="BB87" i="15" s="1"/>
  <c r="BE87" i="15" s="1"/>
  <c r="AK85" i="38"/>
  <c r="AY85" i="38" s="1"/>
  <c r="AZ47" i="15"/>
  <c r="BB47" i="15" s="1"/>
  <c r="BE47" i="15" s="1"/>
  <c r="AK45" i="38"/>
  <c r="AY45" i="38" s="1"/>
  <c r="AZ57" i="15"/>
  <c r="BB57" i="15" s="1"/>
  <c r="BE57" i="15" s="1"/>
  <c r="AK55" i="38"/>
  <c r="AY55" i="38" s="1"/>
  <c r="AZ64" i="15"/>
  <c r="BB64" i="15" s="1"/>
  <c r="BE64" i="15" s="1"/>
  <c r="AK62" i="38"/>
  <c r="AY62" i="38" s="1"/>
  <c r="AZ73" i="15"/>
  <c r="BB73" i="15" s="1"/>
  <c r="BE73" i="15" s="1"/>
  <c r="AK71" i="38"/>
  <c r="AY71" i="38" s="1"/>
  <c r="AZ81" i="15"/>
  <c r="BB81" i="15" s="1"/>
  <c r="BE81" i="15" s="1"/>
  <c r="AK79" i="38"/>
  <c r="AY79" i="38" s="1"/>
  <c r="AZ88" i="15"/>
  <c r="BB88" i="15" s="1"/>
  <c r="BE88" i="15" s="1"/>
  <c r="AK86" i="38"/>
  <c r="AY86" i="38" s="1"/>
  <c r="AZ96" i="15"/>
  <c r="BB96" i="15" s="1"/>
  <c r="BE96" i="15" s="1"/>
  <c r="AK94" i="38"/>
  <c r="AY94" i="38" s="1"/>
  <c r="AZ105" i="15"/>
  <c r="BB105" i="15" s="1"/>
  <c r="BE105" i="15" s="1"/>
  <c r="AK103" i="38"/>
  <c r="AY103" i="38" s="1"/>
  <c r="AZ112" i="15"/>
  <c r="BB112" i="15" s="1"/>
  <c r="BE112" i="15" s="1"/>
  <c r="AK110" i="38"/>
  <c r="AY110" i="38" s="1"/>
  <c r="AZ120" i="15"/>
  <c r="BB120" i="15" s="1"/>
  <c r="BE120" i="15" s="1"/>
  <c r="AK118" i="38"/>
  <c r="AY118" i="38" s="1"/>
  <c r="AZ128" i="15"/>
  <c r="BB128" i="15" s="1"/>
  <c r="BE128" i="15" s="1"/>
  <c r="AK126" i="38"/>
  <c r="AY126" i="38" s="1"/>
  <c r="AZ142" i="15"/>
  <c r="BB142" i="15" s="1"/>
  <c r="BE142" i="15" s="1"/>
  <c r="AK140" i="38"/>
  <c r="AY140" i="38" s="1"/>
  <c r="AZ133" i="15"/>
  <c r="BB133" i="15" s="1"/>
  <c r="BE133" i="15" s="1"/>
  <c r="AK131" i="38"/>
  <c r="AY131" i="38" s="1"/>
  <c r="CQ66" i="14"/>
  <c r="DZ66" i="14" s="1"/>
  <c r="EA66" i="14" s="1"/>
  <c r="EB66" i="14" s="1"/>
  <c r="U50" i="38"/>
  <c r="CQ75" i="14"/>
  <c r="DZ75" i="14" s="1"/>
  <c r="EA75" i="14" s="1"/>
  <c r="EB75" i="14" s="1"/>
  <c r="U59" i="38"/>
  <c r="CQ72" i="14"/>
  <c r="DZ72" i="14" s="1"/>
  <c r="EA72" i="14" s="1"/>
  <c r="EB72" i="14" s="1"/>
  <c r="T71" i="15"/>
  <c r="X71" i="15" s="1"/>
  <c r="AA71" i="15" s="1"/>
  <c r="CQ77" i="14"/>
  <c r="DZ77" i="14" s="1"/>
  <c r="EA77" i="14" s="1"/>
  <c r="EB77" i="14" s="1"/>
  <c r="CQ70" i="14"/>
  <c r="DZ70" i="14" s="1"/>
  <c r="EA70" i="14" s="1"/>
  <c r="EB70" i="14" s="1"/>
  <c r="CQ76" i="14"/>
  <c r="DZ76" i="14" s="1"/>
  <c r="EA76" i="14" s="1"/>
  <c r="EB76" i="14" s="1"/>
  <c r="CQ82" i="14"/>
  <c r="T52" i="15"/>
  <c r="X52" i="15" s="1"/>
  <c r="AA52" i="15" s="1"/>
  <c r="T61" i="15"/>
  <c r="X61" i="15" s="1"/>
  <c r="Y61" i="15" s="1"/>
  <c r="AE61" i="15" s="1"/>
  <c r="CQ73" i="14"/>
  <c r="DZ73" i="14" s="1"/>
  <c r="EA73" i="14" s="1"/>
  <c r="EB73" i="14" s="1"/>
  <c r="T69" i="15"/>
  <c r="X69" i="15" s="1"/>
  <c r="AD69" i="15" s="1"/>
  <c r="T57" i="15"/>
  <c r="X57" i="15" s="1"/>
  <c r="Y57" i="15" s="1"/>
  <c r="AB57" i="15" s="1"/>
  <c r="T54" i="15"/>
  <c r="X54" i="15" s="1"/>
  <c r="Y54" i="15" s="1"/>
  <c r="AB54" i="15" s="1"/>
  <c r="T65" i="15"/>
  <c r="X65" i="15" s="1"/>
  <c r="AA65" i="15" s="1"/>
  <c r="CQ69" i="14"/>
  <c r="DZ69" i="14" s="1"/>
  <c r="EA69" i="14" s="1"/>
  <c r="EB69" i="14" s="1"/>
  <c r="H17" i="16"/>
  <c r="T64" i="15"/>
  <c r="X64" i="15" s="1"/>
  <c r="AA64" i="15" s="1"/>
  <c r="CQ74" i="14"/>
  <c r="DZ74" i="14" s="1"/>
  <c r="EA74" i="14" s="1"/>
  <c r="EB74" i="14" s="1"/>
  <c r="T51" i="15"/>
  <c r="X51" i="15" s="1"/>
  <c r="AD51" i="15" s="1"/>
  <c r="CQ81" i="14"/>
  <c r="DA139" i="14"/>
  <c r="DB139" i="14" s="1"/>
  <c r="DC139" i="14" s="1"/>
  <c r="DD139" i="14" s="1"/>
  <c r="DE139" i="14" s="1"/>
  <c r="DF139" i="14" s="1"/>
  <c r="F57" i="16"/>
  <c r="DZ132" i="14"/>
  <c r="CR132" i="14"/>
  <c r="AA84" i="15"/>
  <c r="AD84" i="15"/>
  <c r="Y84" i="15"/>
  <c r="DZ129" i="14"/>
  <c r="CR129" i="14"/>
  <c r="DZ100" i="14"/>
  <c r="CR100" i="14"/>
  <c r="DZ149" i="14"/>
  <c r="CR149" i="14"/>
  <c r="DZ121" i="14"/>
  <c r="CR121" i="14"/>
  <c r="AA77" i="15"/>
  <c r="AD77" i="15"/>
  <c r="Y77" i="15"/>
  <c r="AA132" i="15"/>
  <c r="AD132" i="15"/>
  <c r="Y132" i="15"/>
  <c r="AD99" i="15"/>
  <c r="AA99" i="15"/>
  <c r="Y99" i="15"/>
  <c r="Y113" i="15"/>
  <c r="AD113" i="15"/>
  <c r="AA113" i="15"/>
  <c r="AD83" i="15"/>
  <c r="AA83" i="15"/>
  <c r="Y83" i="15"/>
  <c r="DZ143" i="14"/>
  <c r="CR143" i="14"/>
  <c r="DZ109" i="14"/>
  <c r="CR109" i="14"/>
  <c r="AA130" i="15"/>
  <c r="AD130" i="15"/>
  <c r="Y130" i="15"/>
  <c r="AA97" i="15"/>
  <c r="AD97" i="15"/>
  <c r="Y97" i="15"/>
  <c r="DZ133" i="14"/>
  <c r="CR133" i="14"/>
  <c r="DZ101" i="14"/>
  <c r="CR101" i="14"/>
  <c r="DZ155" i="14"/>
  <c r="CR155" i="14"/>
  <c r="DZ124" i="14"/>
  <c r="CR124" i="14"/>
  <c r="DZ92" i="14"/>
  <c r="CR92" i="14"/>
  <c r="AA115" i="15"/>
  <c r="AD115" i="15"/>
  <c r="Y115" i="15"/>
  <c r="AA86" i="15"/>
  <c r="AD86" i="15"/>
  <c r="Y86" i="15"/>
  <c r="AA135" i="15"/>
  <c r="AD135" i="15"/>
  <c r="Y135" i="15"/>
  <c r="AD107" i="15"/>
  <c r="AA107" i="15"/>
  <c r="Y107" i="15"/>
  <c r="DZ91" i="14"/>
  <c r="CR91" i="14"/>
  <c r="DZ137" i="14"/>
  <c r="CR137" i="14"/>
  <c r="DZ104" i="14"/>
  <c r="CR104" i="14"/>
  <c r="DZ156" i="14"/>
  <c r="CR156" i="14"/>
  <c r="DZ120" i="14"/>
  <c r="CR120" i="14"/>
  <c r="AD129" i="15"/>
  <c r="AA129" i="15"/>
  <c r="Y129" i="15"/>
  <c r="AA95" i="15"/>
  <c r="AD95" i="15"/>
  <c r="Y95" i="15"/>
  <c r="AA120" i="15"/>
  <c r="AD120" i="15"/>
  <c r="Y120" i="15"/>
  <c r="DZ103" i="14"/>
  <c r="CR103" i="14"/>
  <c r="AD119" i="15"/>
  <c r="AA119" i="15"/>
  <c r="Y119" i="15"/>
  <c r="AD87" i="15"/>
  <c r="AA87" i="15"/>
  <c r="Y87" i="15"/>
  <c r="AA141" i="15"/>
  <c r="AD141" i="15"/>
  <c r="Y141" i="15"/>
  <c r="Y110" i="15"/>
  <c r="AD110" i="15"/>
  <c r="AA110" i="15"/>
  <c r="Y78" i="15"/>
  <c r="AD78" i="15"/>
  <c r="AA78" i="15"/>
  <c r="AD137" i="15"/>
  <c r="AA137" i="15"/>
  <c r="Y137" i="15"/>
  <c r="DZ123" i="14"/>
  <c r="CR123" i="14"/>
  <c r="DZ90" i="14"/>
  <c r="CR90" i="14"/>
  <c r="DZ150" i="14"/>
  <c r="CR150" i="14"/>
  <c r="DZ114" i="14"/>
  <c r="CR114" i="14"/>
  <c r="AD123" i="15"/>
  <c r="AA123" i="15"/>
  <c r="Y123" i="15"/>
  <c r="Y90" i="15"/>
  <c r="AA90" i="15"/>
  <c r="AD90" i="15"/>
  <c r="Y142" i="15"/>
  <c r="AA142" i="15"/>
  <c r="AD142" i="15"/>
  <c r="AA106" i="15"/>
  <c r="AD106" i="15"/>
  <c r="Y106" i="15"/>
  <c r="DZ136" i="14"/>
  <c r="CR136" i="14"/>
  <c r="DZ102" i="14"/>
  <c r="CR102" i="14"/>
  <c r="DZ134" i="14"/>
  <c r="CR134" i="14"/>
  <c r="AA89" i="15"/>
  <c r="AD89" i="15"/>
  <c r="Y89" i="15"/>
  <c r="DZ147" i="14"/>
  <c r="CR147" i="14"/>
  <c r="AA112" i="15"/>
  <c r="AD112" i="15"/>
  <c r="Y112" i="15"/>
  <c r="DZ93" i="14"/>
  <c r="CR93" i="14"/>
  <c r="DZ157" i="14"/>
  <c r="CR157" i="14"/>
  <c r="DZ116" i="14"/>
  <c r="CR116" i="14"/>
  <c r="DZ151" i="14"/>
  <c r="CR151" i="14"/>
  <c r="Y109" i="15"/>
  <c r="AD109" i="15"/>
  <c r="AA109" i="15"/>
  <c r="AA76" i="15"/>
  <c r="AD76" i="15"/>
  <c r="Y76" i="15"/>
  <c r="AA136" i="15"/>
  <c r="AD136" i="15"/>
  <c r="Y136" i="15"/>
  <c r="Y100" i="15"/>
  <c r="AD100" i="15"/>
  <c r="AA100" i="15"/>
  <c r="DZ130" i="14"/>
  <c r="CR130" i="14"/>
  <c r="DZ96" i="14"/>
  <c r="CR96" i="14"/>
  <c r="DZ145" i="14"/>
  <c r="CR145" i="14"/>
  <c r="DZ112" i="14"/>
  <c r="CR112" i="14"/>
  <c r="AA122" i="15"/>
  <c r="AD122" i="15"/>
  <c r="Y122" i="15"/>
  <c r="AA88" i="15"/>
  <c r="AD88" i="15"/>
  <c r="Y88" i="15"/>
  <c r="DZ154" i="14"/>
  <c r="CR154" i="14"/>
  <c r="DZ125" i="14"/>
  <c r="CR125" i="14"/>
  <c r="DZ95" i="14"/>
  <c r="CR95" i="14"/>
  <c r="AD133" i="15"/>
  <c r="AA133" i="15"/>
  <c r="Y133" i="15"/>
  <c r="DZ126" i="14"/>
  <c r="CR126" i="14"/>
  <c r="AA79" i="15"/>
  <c r="AD79" i="15"/>
  <c r="Y79" i="15"/>
  <c r="AA143" i="15"/>
  <c r="AD143" i="15"/>
  <c r="Y143" i="15"/>
  <c r="AA102" i="15"/>
  <c r="AD102" i="15"/>
  <c r="Y102" i="15"/>
  <c r="DZ160" i="14"/>
  <c r="CR160" i="14"/>
  <c r="DZ115" i="14"/>
  <c r="CR115" i="14"/>
  <c r="DZ138" i="14"/>
  <c r="CR138" i="14"/>
  <c r="DZ106" i="14"/>
  <c r="CR106" i="14"/>
  <c r="AA116" i="15"/>
  <c r="AD116" i="15"/>
  <c r="Y116" i="15"/>
  <c r="Y82" i="15"/>
  <c r="AD82" i="15"/>
  <c r="AA82" i="15"/>
  <c r="AD131" i="15"/>
  <c r="AA131" i="15"/>
  <c r="Y131" i="15"/>
  <c r="Y98" i="15"/>
  <c r="AA98" i="15"/>
  <c r="AD98" i="15"/>
  <c r="DZ158" i="14"/>
  <c r="CR158" i="14"/>
  <c r="DZ128" i="14"/>
  <c r="CR128" i="14"/>
  <c r="DZ94" i="14"/>
  <c r="CR94" i="14"/>
  <c r="AA140" i="15"/>
  <c r="AD140" i="15"/>
  <c r="Y140" i="15"/>
  <c r="AA111" i="15"/>
  <c r="AD111" i="15"/>
  <c r="Y111" i="15"/>
  <c r="AD81" i="15"/>
  <c r="AA81" i="15"/>
  <c r="Y81" i="15"/>
  <c r="DZ152" i="14"/>
  <c r="CR152" i="14"/>
  <c r="DZ118" i="14"/>
  <c r="CR118" i="14"/>
  <c r="AA127" i="15"/>
  <c r="AD127" i="15"/>
  <c r="Y127" i="15"/>
  <c r="DZ107" i="14"/>
  <c r="CR107" i="14"/>
  <c r="AD146" i="15"/>
  <c r="AA146" i="15"/>
  <c r="Y146" i="15"/>
  <c r="AA101" i="15"/>
  <c r="AD101" i="15"/>
  <c r="Y101" i="15"/>
  <c r="Y124" i="15"/>
  <c r="AD124" i="15"/>
  <c r="AA124" i="15"/>
  <c r="AA92" i="15"/>
  <c r="AD92" i="15"/>
  <c r="Y92" i="15"/>
  <c r="AA139" i="15"/>
  <c r="AD139" i="15"/>
  <c r="Y139" i="15"/>
  <c r="DZ122" i="14"/>
  <c r="CR122" i="14"/>
  <c r="DZ135" i="14"/>
  <c r="CR135" i="14"/>
  <c r="DZ105" i="14"/>
  <c r="CR105" i="14"/>
  <c r="Y144" i="15"/>
  <c r="AA144" i="15"/>
  <c r="AD144" i="15"/>
  <c r="AA114" i="15"/>
  <c r="AD114" i="15"/>
  <c r="Y114" i="15"/>
  <c r="AD80" i="15"/>
  <c r="AA80" i="15"/>
  <c r="Y80" i="15"/>
  <c r="DZ148" i="14"/>
  <c r="CR148" i="14"/>
  <c r="DZ117" i="14"/>
  <c r="CR117" i="14"/>
  <c r="AD73" i="15"/>
  <c r="AA73" i="15"/>
  <c r="Y73" i="15"/>
  <c r="AD138" i="15"/>
  <c r="AA138" i="15"/>
  <c r="Y138" i="15"/>
  <c r="Y104" i="15"/>
  <c r="AD104" i="15"/>
  <c r="AA104" i="15"/>
  <c r="DZ141" i="14"/>
  <c r="CR141" i="14"/>
  <c r="Y93" i="15"/>
  <c r="AA93" i="15"/>
  <c r="AD93" i="15"/>
  <c r="AA126" i="15"/>
  <c r="AD126" i="15"/>
  <c r="Y126" i="15"/>
  <c r="AA94" i="15"/>
  <c r="AD94" i="15"/>
  <c r="Y94" i="15"/>
  <c r="DZ131" i="14"/>
  <c r="CR131" i="14"/>
  <c r="AD85" i="15"/>
  <c r="AA85" i="15"/>
  <c r="Y85" i="15"/>
  <c r="DZ153" i="14"/>
  <c r="CR153" i="14"/>
  <c r="AA108" i="15"/>
  <c r="AD108" i="15"/>
  <c r="Y108" i="15"/>
  <c r="AA75" i="15"/>
  <c r="AD75" i="15"/>
  <c r="Y75" i="15"/>
  <c r="AA121" i="15"/>
  <c r="AD121" i="15"/>
  <c r="Y121" i="15"/>
  <c r="AD91" i="15"/>
  <c r="AA91" i="15"/>
  <c r="Y91" i="15"/>
  <c r="AA145" i="15"/>
  <c r="AD145" i="15"/>
  <c r="Y145" i="15"/>
  <c r="DZ119" i="14"/>
  <c r="CR119" i="14"/>
  <c r="DZ86" i="14"/>
  <c r="CR86" i="14"/>
  <c r="Y134" i="15"/>
  <c r="AD134" i="15"/>
  <c r="AA134" i="15"/>
  <c r="AA103" i="15"/>
  <c r="AD103" i="15"/>
  <c r="Y103" i="15"/>
  <c r="DZ87" i="14"/>
  <c r="CR87" i="14"/>
  <c r="DZ142" i="14"/>
  <c r="CR142" i="14"/>
  <c r="DZ110" i="14"/>
  <c r="CR110" i="14"/>
  <c r="AA118" i="15"/>
  <c r="AD118" i="15"/>
  <c r="Y118" i="15"/>
  <c r="DZ98" i="14"/>
  <c r="CR98" i="14"/>
  <c r="DZ140" i="14"/>
  <c r="CR140" i="14"/>
  <c r="DZ108" i="14"/>
  <c r="CR108" i="14"/>
  <c r="AD117" i="15"/>
  <c r="AA117" i="15"/>
  <c r="Y117" i="15"/>
  <c r="DZ99" i="14"/>
  <c r="CR99" i="14"/>
  <c r="DZ146" i="14"/>
  <c r="CR146" i="14"/>
  <c r="DZ113" i="14"/>
  <c r="CR113" i="14"/>
  <c r="DZ127" i="14"/>
  <c r="CR127" i="14"/>
  <c r="DZ97" i="14"/>
  <c r="CR97" i="14"/>
  <c r="DZ159" i="14"/>
  <c r="CR159" i="14"/>
  <c r="Y105" i="15"/>
  <c r="AD105" i="15"/>
  <c r="AA105" i="15"/>
  <c r="DZ144" i="14"/>
  <c r="CR144" i="14"/>
  <c r="DZ111" i="14"/>
  <c r="CR111" i="14"/>
  <c r="AA128" i="15"/>
  <c r="AD128" i="15"/>
  <c r="Y128" i="15"/>
  <c r="AD96" i="15"/>
  <c r="AA96" i="15"/>
  <c r="Y96" i="15"/>
  <c r="Y47" i="15"/>
  <c r="AB47" i="15" s="1"/>
  <c r="EH61" i="14"/>
  <c r="EI61" i="14" s="1"/>
  <c r="EK61" i="14" s="1"/>
  <c r="EA61" i="14"/>
  <c r="EB61" i="14" s="1"/>
  <c r="AA47" i="15"/>
  <c r="T46" i="15"/>
  <c r="X46" i="15" s="1"/>
  <c r="AD46" i="15" s="1"/>
  <c r="CR61" i="14"/>
  <c r="CS61" i="14" s="1"/>
  <c r="CT61" i="14" s="1"/>
  <c r="H14" i="16"/>
  <c r="AD72" i="15" l="1"/>
  <c r="CR88" i="14"/>
  <c r="CS88" i="14" s="1"/>
  <c r="CT88" i="14" s="1"/>
  <c r="AA72" i="15"/>
  <c r="CR89" i="14"/>
  <c r="CU89" i="14" s="1"/>
  <c r="CV89" i="14" s="1"/>
  <c r="AD74" i="15"/>
  <c r="AA74" i="15"/>
  <c r="P13" i="15"/>
  <c r="X6" i="46" s="1"/>
  <c r="P16" i="15"/>
  <c r="X9" i="46" s="1"/>
  <c r="CR84" i="14"/>
  <c r="CU84" i="14" s="1"/>
  <c r="CV84" i="14" s="1"/>
  <c r="EA63" i="14"/>
  <c r="EB63" i="14" s="1"/>
  <c r="CR63" i="14"/>
  <c r="CS63" i="14" s="1"/>
  <c r="CT63" i="14" s="1"/>
  <c r="F26" i="43"/>
  <c r="AD66" i="15"/>
  <c r="Y66" i="15"/>
  <c r="AE66" i="15" s="1"/>
  <c r="U43" i="1"/>
  <c r="U43" i="46"/>
  <c r="AD53" i="15"/>
  <c r="Y53" i="15"/>
  <c r="AE53" i="15" s="1"/>
  <c r="AA67" i="15"/>
  <c r="AD49" i="15"/>
  <c r="Y49" i="15"/>
  <c r="AE49" i="15" s="1"/>
  <c r="CR67" i="14"/>
  <c r="CS67" i="14" s="1"/>
  <c r="CT67" i="14" s="1"/>
  <c r="EA67" i="14"/>
  <c r="EB67" i="14" s="1"/>
  <c r="AA70" i="15"/>
  <c r="Y58" i="15"/>
  <c r="AB58" i="15" s="1"/>
  <c r="AE56" i="15"/>
  <c r="Y70" i="15"/>
  <c r="AE70" i="15" s="1"/>
  <c r="CR71" i="14"/>
  <c r="CS71" i="14" s="1"/>
  <c r="CT71" i="14" s="1"/>
  <c r="CR79" i="14"/>
  <c r="CU79" i="14" s="1"/>
  <c r="CV79" i="14" s="1"/>
  <c r="CR80" i="14"/>
  <c r="CS80" i="14" s="1"/>
  <c r="CT80" i="14" s="1"/>
  <c r="EH64" i="14"/>
  <c r="EI64" i="14" s="1"/>
  <c r="EK64" i="14" s="1"/>
  <c r="EH77" i="14"/>
  <c r="EI77" i="14" s="1"/>
  <c r="EK77" i="14" s="1"/>
  <c r="AA56" i="15"/>
  <c r="EH71" i="14"/>
  <c r="EI71" i="14" s="1"/>
  <c r="EK71" i="14" s="1"/>
  <c r="AD62" i="15"/>
  <c r="CR64" i="14"/>
  <c r="CS64" i="14" s="1"/>
  <c r="CT64" i="14" s="1"/>
  <c r="AD63" i="15"/>
  <c r="Y62" i="15"/>
  <c r="AB62" i="15" s="1"/>
  <c r="AD59" i="15"/>
  <c r="AD56" i="15"/>
  <c r="Y59" i="15"/>
  <c r="AB59" i="15" s="1"/>
  <c r="AA58" i="15"/>
  <c r="Y63" i="15"/>
  <c r="AB63" i="15" s="1"/>
  <c r="Y48" i="15"/>
  <c r="AB48" i="15" s="1"/>
  <c r="EA80" i="14"/>
  <c r="EB80" i="14" s="1"/>
  <c r="EA79" i="14"/>
  <c r="EB79" i="14" s="1"/>
  <c r="CR66" i="14"/>
  <c r="CU66" i="14" s="1"/>
  <c r="CV66" i="14" s="1"/>
  <c r="AD50" i="15"/>
  <c r="Y50" i="15"/>
  <c r="AE50" i="15" s="1"/>
  <c r="AA60" i="15"/>
  <c r="EH78" i="14"/>
  <c r="EI78" i="14" s="1"/>
  <c r="EK78" i="14" s="1"/>
  <c r="EH84" i="14"/>
  <c r="EI84" i="14" s="1"/>
  <c r="EK84" i="14" s="1"/>
  <c r="Y60" i="15"/>
  <c r="AB60" i="15" s="1"/>
  <c r="AA68" i="15"/>
  <c r="EH66" i="14"/>
  <c r="EI66" i="14" s="1"/>
  <c r="EK66" i="14" s="1"/>
  <c r="Y68" i="15"/>
  <c r="AB68" i="15" s="1"/>
  <c r="CR65" i="14"/>
  <c r="CS65" i="14" s="1"/>
  <c r="CT65" i="14" s="1"/>
  <c r="EH62" i="14"/>
  <c r="EI62" i="14" s="1"/>
  <c r="EK62" i="14" s="1"/>
  <c r="AD55" i="15"/>
  <c r="AE55" i="15"/>
  <c r="AD67" i="15"/>
  <c r="AD71" i="15"/>
  <c r="EH65" i="14"/>
  <c r="EI65" i="14" s="1"/>
  <c r="EK65" i="14" s="1"/>
  <c r="Y71" i="15"/>
  <c r="AB71" i="15" s="1"/>
  <c r="AE67" i="15"/>
  <c r="AA55" i="15"/>
  <c r="CR62" i="14"/>
  <c r="CS62" i="14" s="1"/>
  <c r="CT62" i="14" s="1"/>
  <c r="DZ81" i="14"/>
  <c r="EA81" i="14" s="1"/>
  <c r="EB81" i="14" s="1"/>
  <c r="DZ82" i="14"/>
  <c r="EA82" i="14" s="1"/>
  <c r="EB82" i="14" s="1"/>
  <c r="DZ85" i="14"/>
  <c r="EH75" i="14"/>
  <c r="EI75" i="14" s="1"/>
  <c r="EK75" i="14" s="1"/>
  <c r="CR75" i="14"/>
  <c r="CS75" i="14" s="1"/>
  <c r="CT75" i="14" s="1"/>
  <c r="CR78" i="14"/>
  <c r="CU78" i="14" s="1"/>
  <c r="CV78" i="14" s="1"/>
  <c r="DZ83" i="14"/>
  <c r="DZ60" i="14"/>
  <c r="EH60" i="14" s="1"/>
  <c r="EI60" i="14" s="1"/>
  <c r="EK60" i="14" s="1"/>
  <c r="AD48" i="15"/>
  <c r="EH68" i="14"/>
  <c r="EI68" i="14" s="1"/>
  <c r="EK68" i="14" s="1"/>
  <c r="CR72" i="14"/>
  <c r="CU72" i="14" s="1"/>
  <c r="CV72" i="14" s="1"/>
  <c r="EH72" i="14"/>
  <c r="EI72" i="14" s="1"/>
  <c r="EK72" i="14" s="1"/>
  <c r="CR68" i="14"/>
  <c r="CS68" i="14" s="1"/>
  <c r="CT68" i="14" s="1"/>
  <c r="AD57" i="15"/>
  <c r="AD52" i="15"/>
  <c r="AE57" i="15"/>
  <c r="AA57" i="15"/>
  <c r="EH70" i="14"/>
  <c r="EI70" i="14" s="1"/>
  <c r="EK70" i="14" s="1"/>
  <c r="CR70" i="14"/>
  <c r="CS70" i="14" s="1"/>
  <c r="CT70" i="14" s="1"/>
  <c r="CR77" i="14"/>
  <c r="CS77" i="14" s="1"/>
  <c r="CT77" i="14" s="1"/>
  <c r="Y52" i="15"/>
  <c r="AB52" i="15" s="1"/>
  <c r="EH76" i="14"/>
  <c r="EI76" i="14" s="1"/>
  <c r="EK76" i="14" s="1"/>
  <c r="CR76" i="14"/>
  <c r="CU76" i="14" s="1"/>
  <c r="CV76" i="14" s="1"/>
  <c r="CR82" i="14"/>
  <c r="CU82" i="14" s="1"/>
  <c r="CV82" i="14" s="1"/>
  <c r="AB61" i="15"/>
  <c r="AD61" i="15"/>
  <c r="EH73" i="14"/>
  <c r="EI73" i="14" s="1"/>
  <c r="EK73" i="14" s="1"/>
  <c r="CR73" i="14"/>
  <c r="CS73" i="14" s="1"/>
  <c r="CT73" i="14" s="1"/>
  <c r="AA61" i="15"/>
  <c r="AD54" i="15"/>
  <c r="AA54" i="15"/>
  <c r="AE54" i="15"/>
  <c r="CR69" i="14"/>
  <c r="CU69" i="14" s="1"/>
  <c r="CV69" i="14" s="1"/>
  <c r="EH69" i="14"/>
  <c r="EI69" i="14" s="1"/>
  <c r="EK69" i="14" s="1"/>
  <c r="Y65" i="15"/>
  <c r="AE65" i="15" s="1"/>
  <c r="Y69" i="15"/>
  <c r="AE69" i="15" s="1"/>
  <c r="AA69" i="15"/>
  <c r="AD65" i="15"/>
  <c r="Y64" i="15"/>
  <c r="AB64" i="15" s="1"/>
  <c r="AD64" i="15"/>
  <c r="CR60" i="14"/>
  <c r="CU60" i="14" s="1"/>
  <c r="CV60" i="14" s="1"/>
  <c r="EH74" i="14"/>
  <c r="EI74" i="14" s="1"/>
  <c r="EK74" i="14" s="1"/>
  <c r="CR74" i="14"/>
  <c r="CS74" i="14" s="1"/>
  <c r="CT74" i="14" s="1"/>
  <c r="Y51" i="15"/>
  <c r="AA51" i="15"/>
  <c r="CR81" i="14"/>
  <c r="CU81" i="14" s="1"/>
  <c r="CV81" i="14" s="1"/>
  <c r="DG139" i="14"/>
  <c r="DH139" i="14" s="1"/>
  <c r="DI139" i="14" s="1"/>
  <c r="DJ139" i="14" s="1"/>
  <c r="DK139" i="14" s="1"/>
  <c r="DL139" i="14" s="1"/>
  <c r="AE47" i="15"/>
  <c r="AB72" i="15"/>
  <c r="AE72" i="15"/>
  <c r="CS97" i="14"/>
  <c r="CT97" i="14" s="1"/>
  <c r="CU97" i="14"/>
  <c r="CV97" i="14" s="1"/>
  <c r="EA110" i="14"/>
  <c r="EB110" i="14" s="1"/>
  <c r="EH110" i="14"/>
  <c r="EI110" i="14" s="1"/>
  <c r="EK110" i="14" s="1"/>
  <c r="CS87" i="14"/>
  <c r="CT87" i="14" s="1"/>
  <c r="CU87" i="14"/>
  <c r="CV87" i="14" s="1"/>
  <c r="EA153" i="14"/>
  <c r="EB153" i="14" s="1"/>
  <c r="EH153" i="14"/>
  <c r="EI153" i="14" s="1"/>
  <c r="EK153" i="14" s="1"/>
  <c r="CU131" i="14"/>
  <c r="CV131" i="14" s="1"/>
  <c r="CS131" i="14"/>
  <c r="CT131" i="14" s="1"/>
  <c r="CS141" i="14"/>
  <c r="CT141" i="14" s="1"/>
  <c r="CU141" i="14"/>
  <c r="CV141" i="14" s="1"/>
  <c r="AE127" i="15"/>
  <c r="AB127" i="15"/>
  <c r="AB81" i="15"/>
  <c r="AE81" i="15"/>
  <c r="AB82" i="15"/>
  <c r="AE82" i="15"/>
  <c r="CU106" i="14"/>
  <c r="CV106" i="14" s="1"/>
  <c r="CS106" i="14"/>
  <c r="CT106" i="14" s="1"/>
  <c r="CS160" i="14"/>
  <c r="CT160" i="14" s="1"/>
  <c r="CU160" i="14"/>
  <c r="CV160" i="14" s="1"/>
  <c r="AB79" i="15"/>
  <c r="AE79" i="15"/>
  <c r="CU126" i="14"/>
  <c r="CV126" i="14" s="1"/>
  <c r="CS126" i="14"/>
  <c r="CT126" i="14" s="1"/>
  <c r="CU112" i="14"/>
  <c r="CV112" i="14" s="1"/>
  <c r="CS112" i="14"/>
  <c r="CT112" i="14" s="1"/>
  <c r="CU130" i="14"/>
  <c r="CV130" i="14" s="1"/>
  <c r="CS130" i="14"/>
  <c r="CT130" i="14" s="1"/>
  <c r="AB76" i="15"/>
  <c r="AE76" i="15"/>
  <c r="CS93" i="14"/>
  <c r="CT93" i="14" s="1"/>
  <c r="CU93" i="14"/>
  <c r="CV93" i="14" s="1"/>
  <c r="CU102" i="14"/>
  <c r="CV102" i="14" s="1"/>
  <c r="CS102" i="14"/>
  <c r="CT102" i="14" s="1"/>
  <c r="AE142" i="15"/>
  <c r="AB142" i="15"/>
  <c r="AE87" i="15"/>
  <c r="AB87" i="15"/>
  <c r="CU156" i="14"/>
  <c r="CV156" i="14" s="1"/>
  <c r="CS156" i="14"/>
  <c r="CT156" i="14" s="1"/>
  <c r="AE130" i="15"/>
  <c r="AB130" i="15"/>
  <c r="EA109" i="14"/>
  <c r="EB109" i="14" s="1"/>
  <c r="EH109" i="14"/>
  <c r="EI109" i="14" s="1"/>
  <c r="EK109" i="14" s="1"/>
  <c r="CS121" i="14"/>
  <c r="CT121" i="14" s="1"/>
  <c r="CU121" i="14"/>
  <c r="CV121" i="14" s="1"/>
  <c r="EA129" i="14"/>
  <c r="EB129" i="14" s="1"/>
  <c r="EH129" i="14"/>
  <c r="EI129" i="14" s="1"/>
  <c r="EK129" i="14" s="1"/>
  <c r="EH132" i="14"/>
  <c r="EI132" i="14" s="1"/>
  <c r="EK132" i="14" s="1"/>
  <c r="EA132" i="14"/>
  <c r="EB132" i="14" s="1"/>
  <c r="CU111" i="14"/>
  <c r="CV111" i="14" s="1"/>
  <c r="CS111" i="14"/>
  <c r="CT111" i="14" s="1"/>
  <c r="EH97" i="14"/>
  <c r="EI97" i="14" s="1"/>
  <c r="EK97" i="14" s="1"/>
  <c r="EA97" i="14"/>
  <c r="EB97" i="14" s="1"/>
  <c r="CU113" i="14"/>
  <c r="CV113" i="14" s="1"/>
  <c r="CS113" i="14"/>
  <c r="CT113" i="14" s="1"/>
  <c r="CS140" i="14"/>
  <c r="CT140" i="14" s="1"/>
  <c r="CU140" i="14"/>
  <c r="CV140" i="14" s="1"/>
  <c r="EA87" i="14"/>
  <c r="EB87" i="14" s="1"/>
  <c r="EH87" i="14"/>
  <c r="EI87" i="14" s="1"/>
  <c r="EK87" i="14" s="1"/>
  <c r="CU119" i="14"/>
  <c r="CV119" i="14" s="1"/>
  <c r="CS119" i="14"/>
  <c r="CT119" i="14" s="1"/>
  <c r="AB121" i="15"/>
  <c r="AE121" i="15"/>
  <c r="AE85" i="15"/>
  <c r="AB85" i="15"/>
  <c r="EA131" i="14"/>
  <c r="EB131" i="14" s="1"/>
  <c r="EH131" i="14"/>
  <c r="EI131" i="14" s="1"/>
  <c r="EK131" i="14" s="1"/>
  <c r="EA141" i="14"/>
  <c r="EB141" i="14" s="1"/>
  <c r="EH141" i="14"/>
  <c r="EI141" i="14" s="1"/>
  <c r="EK141" i="14" s="1"/>
  <c r="CU105" i="14"/>
  <c r="CV105" i="14" s="1"/>
  <c r="CS105" i="14"/>
  <c r="CT105" i="14" s="1"/>
  <c r="CS122" i="14"/>
  <c r="CT122" i="14" s="1"/>
  <c r="CU122" i="14"/>
  <c r="CV122" i="14" s="1"/>
  <c r="CS118" i="14"/>
  <c r="CT118" i="14" s="1"/>
  <c r="CU118" i="14"/>
  <c r="CV118" i="14" s="1"/>
  <c r="CS128" i="14"/>
  <c r="CT128" i="14" s="1"/>
  <c r="CU128" i="14"/>
  <c r="CV128" i="14" s="1"/>
  <c r="AB116" i="15"/>
  <c r="AE116" i="15"/>
  <c r="EH106" i="14"/>
  <c r="EI106" i="14" s="1"/>
  <c r="EK106" i="14" s="1"/>
  <c r="EA106" i="14"/>
  <c r="EB106" i="14" s="1"/>
  <c r="EA160" i="14"/>
  <c r="EB160" i="14" s="1"/>
  <c r="EH160" i="14"/>
  <c r="EI160" i="14" s="1"/>
  <c r="EK160" i="14" s="1"/>
  <c r="EA126" i="14"/>
  <c r="EB126" i="14" s="1"/>
  <c r="EH126" i="14"/>
  <c r="EI126" i="14" s="1"/>
  <c r="EK126" i="14" s="1"/>
  <c r="CS95" i="14"/>
  <c r="CT95" i="14" s="1"/>
  <c r="CU95" i="14"/>
  <c r="CV95" i="14" s="1"/>
  <c r="AB122" i="15"/>
  <c r="AE122" i="15"/>
  <c r="EH112" i="14"/>
  <c r="EI112" i="14" s="1"/>
  <c r="EK112" i="14" s="1"/>
  <c r="EA112" i="14"/>
  <c r="EB112" i="14" s="1"/>
  <c r="EH130" i="14"/>
  <c r="EI130" i="14" s="1"/>
  <c r="EK130" i="14" s="1"/>
  <c r="EA130" i="14"/>
  <c r="EB130" i="14" s="1"/>
  <c r="CS116" i="14"/>
  <c r="CT116" i="14" s="1"/>
  <c r="CU116" i="14"/>
  <c r="CV116" i="14" s="1"/>
  <c r="EA93" i="14"/>
  <c r="EB93" i="14" s="1"/>
  <c r="EH93" i="14"/>
  <c r="EI93" i="14" s="1"/>
  <c r="EK93" i="14" s="1"/>
  <c r="CU147" i="14"/>
  <c r="CV147" i="14" s="1"/>
  <c r="CS147" i="14"/>
  <c r="CT147" i="14" s="1"/>
  <c r="EA102" i="14"/>
  <c r="EB102" i="14" s="1"/>
  <c r="EH102" i="14"/>
  <c r="EI102" i="14" s="1"/>
  <c r="EK102" i="14" s="1"/>
  <c r="CU150" i="14"/>
  <c r="CV150" i="14" s="1"/>
  <c r="CS150" i="14"/>
  <c r="CT150" i="14" s="1"/>
  <c r="EA156" i="14"/>
  <c r="EB156" i="14" s="1"/>
  <c r="EH156" i="14"/>
  <c r="EI156" i="14" s="1"/>
  <c r="EK156" i="14" s="1"/>
  <c r="CS91" i="14"/>
  <c r="CT91" i="14" s="1"/>
  <c r="CU91" i="14"/>
  <c r="CV91" i="14" s="1"/>
  <c r="AE86" i="15"/>
  <c r="AB86" i="15"/>
  <c r="CS124" i="14"/>
  <c r="CT124" i="14" s="1"/>
  <c r="CU124" i="14"/>
  <c r="CV124" i="14" s="1"/>
  <c r="AE77" i="15"/>
  <c r="AB77" i="15"/>
  <c r="EH121" i="14"/>
  <c r="EI121" i="14" s="1"/>
  <c r="EK121" i="14" s="1"/>
  <c r="EA121" i="14"/>
  <c r="EB121" i="14" s="1"/>
  <c r="AB84" i="15"/>
  <c r="AE84" i="15"/>
  <c r="AB128" i="15"/>
  <c r="AE128" i="15"/>
  <c r="EA111" i="14"/>
  <c r="EB111" i="14" s="1"/>
  <c r="EH111" i="14"/>
  <c r="EI111" i="14" s="1"/>
  <c r="EK111" i="14" s="1"/>
  <c r="EA113" i="14"/>
  <c r="EB113" i="14" s="1"/>
  <c r="EH113" i="14"/>
  <c r="EI113" i="14" s="1"/>
  <c r="EK113" i="14" s="1"/>
  <c r="EA140" i="14"/>
  <c r="EB140" i="14" s="1"/>
  <c r="EH140" i="14"/>
  <c r="EI140" i="14" s="1"/>
  <c r="EK140" i="14" s="1"/>
  <c r="AE103" i="15"/>
  <c r="AB103" i="15"/>
  <c r="EH119" i="14"/>
  <c r="EI119" i="14" s="1"/>
  <c r="EK119" i="14" s="1"/>
  <c r="EA119" i="14"/>
  <c r="EB119" i="14" s="1"/>
  <c r="AE94" i="15"/>
  <c r="AB94" i="15"/>
  <c r="AE93" i="15"/>
  <c r="AB93" i="15"/>
  <c r="AB104" i="15"/>
  <c r="AE104" i="15"/>
  <c r="CS148" i="14"/>
  <c r="CT148" i="14" s="1"/>
  <c r="CU148" i="14"/>
  <c r="CV148" i="14" s="1"/>
  <c r="EH105" i="14"/>
  <c r="EI105" i="14" s="1"/>
  <c r="EK105" i="14" s="1"/>
  <c r="EA105" i="14"/>
  <c r="EB105" i="14" s="1"/>
  <c r="EA122" i="14"/>
  <c r="EB122" i="14" s="1"/>
  <c r="EH122" i="14"/>
  <c r="EI122" i="14" s="1"/>
  <c r="EK122" i="14" s="1"/>
  <c r="EA118" i="14"/>
  <c r="EB118" i="14" s="1"/>
  <c r="EH118" i="14"/>
  <c r="EI118" i="14" s="1"/>
  <c r="EK118" i="14" s="1"/>
  <c r="EA128" i="14"/>
  <c r="EB128" i="14" s="1"/>
  <c r="EH128" i="14"/>
  <c r="EI128" i="14" s="1"/>
  <c r="EK128" i="14" s="1"/>
  <c r="AB98" i="15"/>
  <c r="AE98" i="15"/>
  <c r="AE102" i="15"/>
  <c r="AB102" i="15"/>
  <c r="AB133" i="15"/>
  <c r="AE133" i="15"/>
  <c r="EA95" i="14"/>
  <c r="EB95" i="14" s="1"/>
  <c r="EH95" i="14"/>
  <c r="EI95" i="14" s="1"/>
  <c r="EK95" i="14" s="1"/>
  <c r="EA116" i="14"/>
  <c r="EB116" i="14" s="1"/>
  <c r="EH116" i="14"/>
  <c r="EI116" i="14" s="1"/>
  <c r="EK116" i="14" s="1"/>
  <c r="AB112" i="15"/>
  <c r="AE112" i="15"/>
  <c r="EH147" i="14"/>
  <c r="EI147" i="14" s="1"/>
  <c r="EK147" i="14" s="1"/>
  <c r="EA147" i="14"/>
  <c r="EB147" i="14" s="1"/>
  <c r="AE74" i="15"/>
  <c r="AB74" i="15"/>
  <c r="EA150" i="14"/>
  <c r="EB150" i="14" s="1"/>
  <c r="EH150" i="14"/>
  <c r="EI150" i="14" s="1"/>
  <c r="EK150" i="14" s="1"/>
  <c r="CU103" i="14"/>
  <c r="CV103" i="14" s="1"/>
  <c r="CS103" i="14"/>
  <c r="CT103" i="14" s="1"/>
  <c r="AB129" i="15"/>
  <c r="AE129" i="15"/>
  <c r="EA91" i="14"/>
  <c r="EB91" i="14" s="1"/>
  <c r="EH91" i="14"/>
  <c r="EI91" i="14" s="1"/>
  <c r="EK91" i="14" s="1"/>
  <c r="EH124" i="14"/>
  <c r="EI124" i="14" s="1"/>
  <c r="EK124" i="14" s="1"/>
  <c r="EA124" i="14"/>
  <c r="EB124" i="14" s="1"/>
  <c r="AB113" i="15"/>
  <c r="AE113" i="15"/>
  <c r="CU159" i="14"/>
  <c r="CV159" i="14" s="1"/>
  <c r="CS159" i="14"/>
  <c r="CT159" i="14" s="1"/>
  <c r="CU108" i="14"/>
  <c r="CV108" i="14" s="1"/>
  <c r="CS108" i="14"/>
  <c r="CT108" i="14" s="1"/>
  <c r="AB145" i="15"/>
  <c r="AE145" i="15"/>
  <c r="AE138" i="15"/>
  <c r="AB138" i="15"/>
  <c r="EH148" i="14"/>
  <c r="EI148" i="14" s="1"/>
  <c r="EK148" i="14" s="1"/>
  <c r="EA148" i="14"/>
  <c r="EB148" i="14" s="1"/>
  <c r="AB139" i="15"/>
  <c r="AE139" i="15"/>
  <c r="AB124" i="15"/>
  <c r="AE124" i="15"/>
  <c r="AE111" i="15"/>
  <c r="AB111" i="15"/>
  <c r="AE131" i="15"/>
  <c r="AB131" i="15"/>
  <c r="CU115" i="14"/>
  <c r="CV115" i="14" s="1"/>
  <c r="CS115" i="14"/>
  <c r="CT115" i="14" s="1"/>
  <c r="CS96" i="14"/>
  <c r="CT96" i="14" s="1"/>
  <c r="CU96" i="14"/>
  <c r="CV96" i="14" s="1"/>
  <c r="CU151" i="14"/>
  <c r="CV151" i="14" s="1"/>
  <c r="CS151" i="14"/>
  <c r="CT151" i="14" s="1"/>
  <c r="AB89" i="15"/>
  <c r="AE89" i="15"/>
  <c r="CU134" i="14"/>
  <c r="CV134" i="14" s="1"/>
  <c r="CS134" i="14"/>
  <c r="CT134" i="14" s="1"/>
  <c r="AB106" i="15"/>
  <c r="AE106" i="15"/>
  <c r="AE90" i="15"/>
  <c r="AB90" i="15"/>
  <c r="CS114" i="14"/>
  <c r="CT114" i="14" s="1"/>
  <c r="CU114" i="14"/>
  <c r="CV114" i="14" s="1"/>
  <c r="AE78" i="15"/>
  <c r="AB78" i="15"/>
  <c r="AE119" i="15"/>
  <c r="AB119" i="15"/>
  <c r="EA103" i="14"/>
  <c r="EB103" i="14" s="1"/>
  <c r="EH103" i="14"/>
  <c r="EI103" i="14" s="1"/>
  <c r="EK103" i="14" s="1"/>
  <c r="CS120" i="14"/>
  <c r="CT120" i="14" s="1"/>
  <c r="CU120" i="14"/>
  <c r="CV120" i="14" s="1"/>
  <c r="CS137" i="14"/>
  <c r="CT137" i="14" s="1"/>
  <c r="CU137" i="14"/>
  <c r="CV137" i="14" s="1"/>
  <c r="AE107" i="15"/>
  <c r="AB107" i="15"/>
  <c r="CS92" i="14"/>
  <c r="CT92" i="14" s="1"/>
  <c r="CU92" i="14"/>
  <c r="CV92" i="14" s="1"/>
  <c r="CS133" i="14"/>
  <c r="CT133" i="14" s="1"/>
  <c r="CU133" i="14"/>
  <c r="CV133" i="14" s="1"/>
  <c r="CS143" i="14"/>
  <c r="CT143" i="14" s="1"/>
  <c r="CU143" i="14"/>
  <c r="CV143" i="14" s="1"/>
  <c r="AE99" i="15"/>
  <c r="AB99" i="15"/>
  <c r="CU100" i="14"/>
  <c r="CV100" i="14" s="1"/>
  <c r="CS100" i="14"/>
  <c r="CT100" i="14" s="1"/>
  <c r="EA159" i="14"/>
  <c r="EB159" i="14" s="1"/>
  <c r="EH159" i="14"/>
  <c r="EI159" i="14" s="1"/>
  <c r="EK159" i="14" s="1"/>
  <c r="CU99" i="14"/>
  <c r="CV99" i="14" s="1"/>
  <c r="CS99" i="14"/>
  <c r="CT99" i="14" s="1"/>
  <c r="EH108" i="14"/>
  <c r="EI108" i="14" s="1"/>
  <c r="EK108" i="14" s="1"/>
  <c r="EA108" i="14"/>
  <c r="EB108" i="14" s="1"/>
  <c r="CS142" i="14"/>
  <c r="CT142" i="14" s="1"/>
  <c r="CU142" i="14"/>
  <c r="CV142" i="14" s="1"/>
  <c r="CS86" i="14"/>
  <c r="CT86" i="14" s="1"/>
  <c r="CU86" i="14"/>
  <c r="CV86" i="14" s="1"/>
  <c r="AB75" i="15"/>
  <c r="AE75" i="15"/>
  <c r="AB80" i="15"/>
  <c r="AE80" i="15"/>
  <c r="AE144" i="15"/>
  <c r="AB144" i="15"/>
  <c r="EA89" i="14"/>
  <c r="EB89" i="14" s="1"/>
  <c r="EH89" i="14"/>
  <c r="EI89" i="14" s="1"/>
  <c r="EK89" i="14" s="1"/>
  <c r="AE101" i="15"/>
  <c r="AB101" i="15"/>
  <c r="EH115" i="14"/>
  <c r="EI115" i="14" s="1"/>
  <c r="EK115" i="14" s="1"/>
  <c r="EA115" i="14"/>
  <c r="EB115" i="14" s="1"/>
  <c r="CS154" i="14"/>
  <c r="CT154" i="14" s="1"/>
  <c r="CU154" i="14"/>
  <c r="CV154" i="14" s="1"/>
  <c r="EH96" i="14"/>
  <c r="EI96" i="14" s="1"/>
  <c r="EK96" i="14" s="1"/>
  <c r="EA96" i="14"/>
  <c r="EB96" i="14" s="1"/>
  <c r="AB100" i="15"/>
  <c r="AE100" i="15"/>
  <c r="EA151" i="14"/>
  <c r="EB151" i="14" s="1"/>
  <c r="EH151" i="14"/>
  <c r="EI151" i="14" s="1"/>
  <c r="EK151" i="14" s="1"/>
  <c r="EA134" i="14"/>
  <c r="EB134" i="14" s="1"/>
  <c r="EH134" i="14"/>
  <c r="EI134" i="14" s="1"/>
  <c r="EK134" i="14" s="1"/>
  <c r="AE123" i="15"/>
  <c r="AB123" i="15"/>
  <c r="EA114" i="14"/>
  <c r="EB114" i="14" s="1"/>
  <c r="EH114" i="14"/>
  <c r="EI114" i="14" s="1"/>
  <c r="EK114" i="14" s="1"/>
  <c r="CU123" i="14"/>
  <c r="CV123" i="14" s="1"/>
  <c r="CS123" i="14"/>
  <c r="CT123" i="14" s="1"/>
  <c r="AE120" i="15"/>
  <c r="AB120" i="15"/>
  <c r="EA120" i="14"/>
  <c r="EB120" i="14" s="1"/>
  <c r="EH120" i="14"/>
  <c r="EI120" i="14" s="1"/>
  <c r="EK120" i="14" s="1"/>
  <c r="EH137" i="14"/>
  <c r="EI137" i="14" s="1"/>
  <c r="EK137" i="14" s="1"/>
  <c r="EA137" i="14"/>
  <c r="EB137" i="14" s="1"/>
  <c r="AE115" i="15"/>
  <c r="AB115" i="15"/>
  <c r="EA92" i="14"/>
  <c r="EB92" i="14" s="1"/>
  <c r="EH92" i="14"/>
  <c r="EI92" i="14" s="1"/>
  <c r="EK92" i="14" s="1"/>
  <c r="EA133" i="14"/>
  <c r="EB133" i="14" s="1"/>
  <c r="EH133" i="14"/>
  <c r="EI133" i="14" s="1"/>
  <c r="EK133" i="14" s="1"/>
  <c r="EA143" i="14"/>
  <c r="EB143" i="14" s="1"/>
  <c r="EH143" i="14"/>
  <c r="EI143" i="14" s="1"/>
  <c r="EK143" i="14" s="1"/>
  <c r="EA100" i="14"/>
  <c r="EB100" i="14" s="1"/>
  <c r="EH100" i="14"/>
  <c r="EI100" i="14" s="1"/>
  <c r="EK100" i="14" s="1"/>
  <c r="AB105" i="15"/>
  <c r="AE105" i="15"/>
  <c r="CU127" i="14"/>
  <c r="CV127" i="14" s="1"/>
  <c r="CS127" i="14"/>
  <c r="CT127" i="14" s="1"/>
  <c r="EH99" i="14"/>
  <c r="EI99" i="14" s="1"/>
  <c r="EK99" i="14" s="1"/>
  <c r="EA99" i="14"/>
  <c r="EB99" i="14" s="1"/>
  <c r="CS98" i="14"/>
  <c r="CT98" i="14" s="1"/>
  <c r="CU98" i="14"/>
  <c r="CV98" i="14" s="1"/>
  <c r="EA142" i="14"/>
  <c r="EB142" i="14" s="1"/>
  <c r="EH142" i="14"/>
  <c r="EI142" i="14" s="1"/>
  <c r="EK142" i="14" s="1"/>
  <c r="EA86" i="14"/>
  <c r="EB86" i="14" s="1"/>
  <c r="EH86" i="14"/>
  <c r="EI86" i="14" s="1"/>
  <c r="EK86" i="14" s="1"/>
  <c r="AB126" i="15"/>
  <c r="AE126" i="15"/>
  <c r="CS117" i="14"/>
  <c r="CT117" i="14" s="1"/>
  <c r="CU117" i="14"/>
  <c r="CV117" i="14" s="1"/>
  <c r="CU94" i="14"/>
  <c r="CV94" i="14" s="1"/>
  <c r="CS94" i="14"/>
  <c r="CT94" i="14" s="1"/>
  <c r="AB143" i="15"/>
  <c r="AE143" i="15"/>
  <c r="EH154" i="14"/>
  <c r="EI154" i="14" s="1"/>
  <c r="EK154" i="14" s="1"/>
  <c r="EA154" i="14"/>
  <c r="EB154" i="14" s="1"/>
  <c r="CS145" i="14"/>
  <c r="CT145" i="14" s="1"/>
  <c r="CU145" i="14"/>
  <c r="CV145" i="14" s="1"/>
  <c r="AB136" i="15"/>
  <c r="AE136" i="15"/>
  <c r="AE109" i="15"/>
  <c r="AB109" i="15"/>
  <c r="CU157" i="14"/>
  <c r="CV157" i="14" s="1"/>
  <c r="CS157" i="14"/>
  <c r="CT157" i="14" s="1"/>
  <c r="EA123" i="14"/>
  <c r="EB123" i="14" s="1"/>
  <c r="EH123" i="14"/>
  <c r="EI123" i="14" s="1"/>
  <c r="EK123" i="14" s="1"/>
  <c r="CS104" i="14"/>
  <c r="CT104" i="14" s="1"/>
  <c r="CU104" i="14"/>
  <c r="CV104" i="14" s="1"/>
  <c r="CS101" i="14"/>
  <c r="CT101" i="14" s="1"/>
  <c r="CU101" i="14"/>
  <c r="CV101" i="14" s="1"/>
  <c r="AB97" i="15"/>
  <c r="AE97" i="15"/>
  <c r="AE83" i="15"/>
  <c r="AB83" i="15"/>
  <c r="CS144" i="14"/>
  <c r="CT144" i="14" s="1"/>
  <c r="CU144" i="14"/>
  <c r="CV144" i="14" s="1"/>
  <c r="EH127" i="14"/>
  <c r="EI127" i="14" s="1"/>
  <c r="EK127" i="14" s="1"/>
  <c r="EA127" i="14"/>
  <c r="EB127" i="14" s="1"/>
  <c r="CU146" i="14"/>
  <c r="CV146" i="14" s="1"/>
  <c r="CS146" i="14"/>
  <c r="CT146" i="14" s="1"/>
  <c r="AE117" i="15"/>
  <c r="AB117" i="15"/>
  <c r="EA98" i="14"/>
  <c r="EB98" i="14" s="1"/>
  <c r="EH98" i="14"/>
  <c r="EI98" i="14" s="1"/>
  <c r="EK98" i="14" s="1"/>
  <c r="AB91" i="15"/>
  <c r="AE91" i="15"/>
  <c r="AB73" i="15"/>
  <c r="AE73" i="15"/>
  <c r="EA117" i="14"/>
  <c r="EB117" i="14" s="1"/>
  <c r="EH117" i="14"/>
  <c r="EI117" i="14" s="1"/>
  <c r="EK117" i="14" s="1"/>
  <c r="CS135" i="14"/>
  <c r="CT135" i="14" s="1"/>
  <c r="CU135" i="14"/>
  <c r="CV135" i="14" s="1"/>
  <c r="AE92" i="15"/>
  <c r="AB92" i="15"/>
  <c r="CS107" i="14"/>
  <c r="CT107" i="14" s="1"/>
  <c r="CU107" i="14"/>
  <c r="CV107" i="14" s="1"/>
  <c r="CS152" i="14"/>
  <c r="CT152" i="14" s="1"/>
  <c r="CU152" i="14"/>
  <c r="CV152" i="14" s="1"/>
  <c r="AE140" i="15"/>
  <c r="AB140" i="15"/>
  <c r="EA94" i="14"/>
  <c r="EB94" i="14" s="1"/>
  <c r="EH94" i="14"/>
  <c r="EI94" i="14" s="1"/>
  <c r="EK94" i="14" s="1"/>
  <c r="CU158" i="14"/>
  <c r="CV158" i="14" s="1"/>
  <c r="CS158" i="14"/>
  <c r="CT158" i="14" s="1"/>
  <c r="CU138" i="14"/>
  <c r="CV138" i="14" s="1"/>
  <c r="CS138" i="14"/>
  <c r="CT138" i="14" s="1"/>
  <c r="CU125" i="14"/>
  <c r="CV125" i="14" s="1"/>
  <c r="CS125" i="14"/>
  <c r="CT125" i="14" s="1"/>
  <c r="AB88" i="15"/>
  <c r="AE88" i="15"/>
  <c r="EA145" i="14"/>
  <c r="EB145" i="14" s="1"/>
  <c r="EH145" i="14"/>
  <c r="EI145" i="14" s="1"/>
  <c r="EK145" i="14" s="1"/>
  <c r="EA157" i="14"/>
  <c r="EB157" i="14" s="1"/>
  <c r="EH157" i="14"/>
  <c r="EI157" i="14" s="1"/>
  <c r="EK157" i="14" s="1"/>
  <c r="CS136" i="14"/>
  <c r="CT136" i="14" s="1"/>
  <c r="CU136" i="14"/>
  <c r="CV136" i="14" s="1"/>
  <c r="CS90" i="14"/>
  <c r="CT90" i="14" s="1"/>
  <c r="CU90" i="14"/>
  <c r="CV90" i="14" s="1"/>
  <c r="AB137" i="15"/>
  <c r="AE137" i="15"/>
  <c r="AB110" i="15"/>
  <c r="AE110" i="15"/>
  <c r="EH88" i="14"/>
  <c r="EI88" i="14" s="1"/>
  <c r="EK88" i="14" s="1"/>
  <c r="EA88" i="14"/>
  <c r="EB88" i="14" s="1"/>
  <c r="EA104" i="14"/>
  <c r="EB104" i="14" s="1"/>
  <c r="EH104" i="14"/>
  <c r="EI104" i="14" s="1"/>
  <c r="EK104" i="14" s="1"/>
  <c r="AB135" i="15"/>
  <c r="AE135" i="15"/>
  <c r="CS155" i="14"/>
  <c r="CT155" i="14" s="1"/>
  <c r="CU155" i="14"/>
  <c r="CV155" i="14" s="1"/>
  <c r="EH101" i="14"/>
  <c r="EI101" i="14" s="1"/>
  <c r="EK101" i="14" s="1"/>
  <c r="EA101" i="14"/>
  <c r="EB101" i="14" s="1"/>
  <c r="AE132" i="15"/>
  <c r="AB132" i="15"/>
  <c r="CS149" i="14"/>
  <c r="CT149" i="14" s="1"/>
  <c r="CU149" i="14"/>
  <c r="CV149" i="14" s="1"/>
  <c r="AE96" i="15"/>
  <c r="AB96" i="15"/>
  <c r="EH144" i="14"/>
  <c r="EI144" i="14" s="1"/>
  <c r="EK144" i="14" s="1"/>
  <c r="EA144" i="14"/>
  <c r="EB144" i="14" s="1"/>
  <c r="EH146" i="14"/>
  <c r="EI146" i="14" s="1"/>
  <c r="EK146" i="14" s="1"/>
  <c r="EA146" i="14"/>
  <c r="EB146" i="14" s="1"/>
  <c r="AE118" i="15"/>
  <c r="AB118" i="15"/>
  <c r="CU110" i="14"/>
  <c r="CV110" i="14" s="1"/>
  <c r="CS110" i="14"/>
  <c r="CT110" i="14" s="1"/>
  <c r="AE134" i="15"/>
  <c r="AB134" i="15"/>
  <c r="AB108" i="15"/>
  <c r="AE108" i="15"/>
  <c r="CS153" i="14"/>
  <c r="CT153" i="14" s="1"/>
  <c r="CU153" i="14"/>
  <c r="CV153" i="14" s="1"/>
  <c r="AE114" i="15"/>
  <c r="AB114" i="15"/>
  <c r="EH135" i="14"/>
  <c r="EI135" i="14" s="1"/>
  <c r="EK135" i="14" s="1"/>
  <c r="EA135" i="14"/>
  <c r="EB135" i="14" s="1"/>
  <c r="AB146" i="15"/>
  <c r="AE146" i="15"/>
  <c r="EA107" i="14"/>
  <c r="EB107" i="14" s="1"/>
  <c r="EH107" i="14"/>
  <c r="EI107" i="14" s="1"/>
  <c r="EK107" i="14" s="1"/>
  <c r="EA152" i="14"/>
  <c r="EB152" i="14" s="1"/>
  <c r="EH152" i="14"/>
  <c r="EI152" i="14" s="1"/>
  <c r="EK152" i="14" s="1"/>
  <c r="EA158" i="14"/>
  <c r="EB158" i="14" s="1"/>
  <c r="EH158" i="14"/>
  <c r="EI158" i="14" s="1"/>
  <c r="EK158" i="14" s="1"/>
  <c r="EH138" i="14"/>
  <c r="EI138" i="14" s="1"/>
  <c r="EK138" i="14" s="1"/>
  <c r="EA138" i="14"/>
  <c r="EB138" i="14" s="1"/>
  <c r="EH125" i="14"/>
  <c r="EI125" i="14" s="1"/>
  <c r="EK125" i="14" s="1"/>
  <c r="EA125" i="14"/>
  <c r="EB125" i="14" s="1"/>
  <c r="EH136" i="14"/>
  <c r="EI136" i="14" s="1"/>
  <c r="EK136" i="14" s="1"/>
  <c r="EA136" i="14"/>
  <c r="EB136" i="14" s="1"/>
  <c r="EH90" i="14"/>
  <c r="EI90" i="14" s="1"/>
  <c r="EK90" i="14" s="1"/>
  <c r="EA90" i="14"/>
  <c r="EB90" i="14" s="1"/>
  <c r="AB141" i="15"/>
  <c r="AE141" i="15"/>
  <c r="AB95" i="15"/>
  <c r="AE95" i="15"/>
  <c r="EA155" i="14"/>
  <c r="EB155" i="14" s="1"/>
  <c r="EH155" i="14"/>
  <c r="EI155" i="14" s="1"/>
  <c r="EK155" i="14" s="1"/>
  <c r="CU109" i="14"/>
  <c r="CV109" i="14" s="1"/>
  <c r="CS109" i="14"/>
  <c r="CT109" i="14" s="1"/>
  <c r="EA149" i="14"/>
  <c r="EB149" i="14" s="1"/>
  <c r="EH149" i="14"/>
  <c r="EI149" i="14" s="1"/>
  <c r="EK149" i="14" s="1"/>
  <c r="CS129" i="14"/>
  <c r="CT129" i="14" s="1"/>
  <c r="CU129" i="14"/>
  <c r="CV129" i="14" s="1"/>
  <c r="CU132" i="14"/>
  <c r="CV132" i="14" s="1"/>
  <c r="CS132" i="14"/>
  <c r="CT132" i="14" s="1"/>
  <c r="CS83" i="14"/>
  <c r="CT83" i="14" s="1"/>
  <c r="CW83" i="14" s="1"/>
  <c r="CX83" i="14" s="1"/>
  <c r="DA83" i="14" s="1"/>
  <c r="DB83" i="14" s="1"/>
  <c r="CU61" i="14"/>
  <c r="CV61" i="14" s="1"/>
  <c r="CW61" i="14" s="1"/>
  <c r="CX61" i="14" s="1"/>
  <c r="CY61" i="14" s="1"/>
  <c r="CZ61" i="14" s="1"/>
  <c r="AA46" i="15"/>
  <c r="Y46" i="15"/>
  <c r="AB46" i="15" s="1"/>
  <c r="CS85" i="14"/>
  <c r="CT85" i="14" s="1"/>
  <c r="CW85" i="14" s="1"/>
  <c r="CX85" i="14" s="1"/>
  <c r="CU88" i="14" l="1"/>
  <c r="CV88" i="14" s="1"/>
  <c r="CS89" i="14"/>
  <c r="CT89" i="14" s="1"/>
  <c r="CW89" i="14" s="1"/>
  <c r="CX89" i="14" s="1"/>
  <c r="CS84" i="14"/>
  <c r="CT84" i="14" s="1"/>
  <c r="CW84" i="14" s="1"/>
  <c r="CX84" i="14" s="1"/>
  <c r="CY84" i="14" s="1"/>
  <c r="CZ84" i="14" s="1"/>
  <c r="X6" i="1"/>
  <c r="AB66" i="15"/>
  <c r="X9" i="1"/>
  <c r="CU67" i="14"/>
  <c r="CV67" i="14" s="1"/>
  <c r="CW67" i="14" s="1"/>
  <c r="CX67" i="14" s="1"/>
  <c r="CY67" i="14" s="1"/>
  <c r="CZ67" i="14" s="1"/>
  <c r="CU63" i="14"/>
  <c r="CV63" i="14" s="1"/>
  <c r="CW63" i="14" s="1"/>
  <c r="CX63" i="14" s="1"/>
  <c r="DA63" i="14" s="1"/>
  <c r="DB63" i="14" s="1"/>
  <c r="AE59" i="15"/>
  <c r="CU80" i="14"/>
  <c r="CV80" i="14" s="1"/>
  <c r="CW80" i="14" s="1"/>
  <c r="CX80" i="14" s="1"/>
  <c r="DA80" i="14" s="1"/>
  <c r="DB80" i="14" s="1"/>
  <c r="AB49" i="15"/>
  <c r="CS79" i="14"/>
  <c r="CT79" i="14" s="1"/>
  <c r="CW79" i="14" s="1"/>
  <c r="CX79" i="14" s="1"/>
  <c r="DA79" i="14" s="1"/>
  <c r="DB79" i="14" s="1"/>
  <c r="CU71" i="14"/>
  <c r="CV71" i="14" s="1"/>
  <c r="CW71" i="14" s="1"/>
  <c r="CX71" i="14" s="1"/>
  <c r="CY71" i="14" s="1"/>
  <c r="CZ71" i="14" s="1"/>
  <c r="AE58" i="15"/>
  <c r="AB50" i="15"/>
  <c r="AB53" i="15"/>
  <c r="AE63" i="15"/>
  <c r="AB70" i="15"/>
  <c r="AE60" i="15"/>
  <c r="CU62" i="14"/>
  <c r="CV62" i="14" s="1"/>
  <c r="CW62" i="14" s="1"/>
  <c r="CX62" i="14" s="1"/>
  <c r="DA62" i="14" s="1"/>
  <c r="DB62" i="14" s="1"/>
  <c r="CS66" i="14"/>
  <c r="CT66" i="14" s="1"/>
  <c r="CW66" i="14" s="1"/>
  <c r="CX66" i="14" s="1"/>
  <c r="CY66" i="14" s="1"/>
  <c r="CZ66" i="14" s="1"/>
  <c r="CU64" i="14"/>
  <c r="CV64" i="14" s="1"/>
  <c r="CW64" i="14" s="1"/>
  <c r="CX64" i="14" s="1"/>
  <c r="CY64" i="14" s="1"/>
  <c r="CZ64" i="14" s="1"/>
  <c r="AE48" i="15"/>
  <c r="CS72" i="14"/>
  <c r="CT72" i="14" s="1"/>
  <c r="CW72" i="14" s="1"/>
  <c r="CX72" i="14" s="1"/>
  <c r="CY72" i="14" s="1"/>
  <c r="CZ72" i="14" s="1"/>
  <c r="CU70" i="14"/>
  <c r="CV70" i="14" s="1"/>
  <c r="CW70" i="14" s="1"/>
  <c r="CX70" i="14" s="1"/>
  <c r="CY70" i="14" s="1"/>
  <c r="CZ70" i="14" s="1"/>
  <c r="AE62" i="15"/>
  <c r="EA60" i="14"/>
  <c r="EB60" i="14" s="1"/>
  <c r="EH81" i="14"/>
  <c r="EI81" i="14" s="1"/>
  <c r="EK81" i="14" s="1"/>
  <c r="CS78" i="14"/>
  <c r="CT78" i="14" s="1"/>
  <c r="CW78" i="14" s="1"/>
  <c r="CX78" i="14" s="1"/>
  <c r="DA78" i="14" s="1"/>
  <c r="DB78" i="14" s="1"/>
  <c r="CU65" i="14"/>
  <c r="CV65" i="14" s="1"/>
  <c r="CW65" i="14" s="1"/>
  <c r="CX65" i="14" s="1"/>
  <c r="DA65" i="14" s="1"/>
  <c r="DB65" i="14" s="1"/>
  <c r="AE68" i="15"/>
  <c r="CU75" i="14"/>
  <c r="CV75" i="14" s="1"/>
  <c r="CW75" i="14" s="1"/>
  <c r="CX75" i="14" s="1"/>
  <c r="CY75" i="14" s="1"/>
  <c r="CZ75" i="14" s="1"/>
  <c r="CU68" i="14"/>
  <c r="CV68" i="14" s="1"/>
  <c r="CW68" i="14" s="1"/>
  <c r="CX68" i="14" s="1"/>
  <c r="DA68" i="14" s="1"/>
  <c r="DB68" i="14" s="1"/>
  <c r="AE71" i="15"/>
  <c r="EH82" i="14"/>
  <c r="EI82" i="14" s="1"/>
  <c r="EK82" i="14" s="1"/>
  <c r="EH83" i="14"/>
  <c r="EI83" i="14" s="1"/>
  <c r="EK83" i="14" s="1"/>
  <c r="EA83" i="14"/>
  <c r="EB83" i="14" s="1"/>
  <c r="EA85" i="14"/>
  <c r="EB85" i="14" s="1"/>
  <c r="EH85" i="14"/>
  <c r="EI85" i="14" s="1"/>
  <c r="EK85" i="14" s="1"/>
  <c r="CU77" i="14"/>
  <c r="CV77" i="14" s="1"/>
  <c r="CW77" i="14" s="1"/>
  <c r="CX77" i="14" s="1"/>
  <c r="DA77" i="14" s="1"/>
  <c r="DB77" i="14" s="1"/>
  <c r="AE52" i="15"/>
  <c r="CS82" i="14"/>
  <c r="CT82" i="14" s="1"/>
  <c r="CW82" i="14" s="1"/>
  <c r="CX82" i="14" s="1"/>
  <c r="CY82" i="14" s="1"/>
  <c r="CZ82" i="14" s="1"/>
  <c r="CS76" i="14"/>
  <c r="CT76" i="14" s="1"/>
  <c r="CW76" i="14" s="1"/>
  <c r="CX76" i="14" s="1"/>
  <c r="DA76" i="14" s="1"/>
  <c r="DB76" i="14" s="1"/>
  <c r="AE64" i="15"/>
  <c r="CU74" i="14"/>
  <c r="CV74" i="14" s="1"/>
  <c r="CW74" i="14" s="1"/>
  <c r="CX74" i="14" s="1"/>
  <c r="CY74" i="14" s="1"/>
  <c r="CZ74" i="14" s="1"/>
  <c r="AB69" i="15"/>
  <c r="CU73" i="14"/>
  <c r="CV73" i="14" s="1"/>
  <c r="CW73" i="14" s="1"/>
  <c r="CX73" i="14" s="1"/>
  <c r="DA73" i="14" s="1"/>
  <c r="DB73" i="14" s="1"/>
  <c r="CS69" i="14"/>
  <c r="CT69" i="14" s="1"/>
  <c r="CW69" i="14" s="1"/>
  <c r="CX69" i="14" s="1"/>
  <c r="CY69" i="14" s="1"/>
  <c r="CZ69" i="14" s="1"/>
  <c r="AB65" i="15"/>
  <c r="P17" i="15"/>
  <c r="X10" i="46" s="1"/>
  <c r="CS60" i="14"/>
  <c r="CT60" i="14" s="1"/>
  <c r="CW60" i="14" s="1"/>
  <c r="CX60" i="14" s="1"/>
  <c r="CY60" i="14" s="1"/>
  <c r="CZ60" i="14" s="1"/>
  <c r="P14" i="15"/>
  <c r="X7" i="46" s="1"/>
  <c r="AE51" i="15"/>
  <c r="AB51" i="15"/>
  <c r="CW117" i="14"/>
  <c r="CX117" i="14" s="1"/>
  <c r="CY117" i="14" s="1"/>
  <c r="CZ117" i="14" s="1"/>
  <c r="CW123" i="14"/>
  <c r="CX123" i="14" s="1"/>
  <c r="DA123" i="14" s="1"/>
  <c r="DB123" i="14" s="1"/>
  <c r="CW96" i="14"/>
  <c r="CX96" i="14" s="1"/>
  <c r="CY96" i="14" s="1"/>
  <c r="CZ96" i="14" s="1"/>
  <c r="CS81" i="14"/>
  <c r="CT81" i="14" s="1"/>
  <c r="CW81" i="14" s="1"/>
  <c r="CX81" i="14" s="1"/>
  <c r="DA81" i="14" s="1"/>
  <c r="DB81" i="14" s="1"/>
  <c r="CW128" i="14"/>
  <c r="CX128" i="14" s="1"/>
  <c r="CY128" i="14" s="1"/>
  <c r="CZ128" i="14" s="1"/>
  <c r="CW121" i="14"/>
  <c r="CX121" i="14" s="1"/>
  <c r="CY121" i="14" s="1"/>
  <c r="CZ121" i="14" s="1"/>
  <c r="CW119" i="14"/>
  <c r="CX119" i="14" s="1"/>
  <c r="DA119" i="14" s="1"/>
  <c r="DB119" i="14" s="1"/>
  <c r="DM139" i="14"/>
  <c r="DN139" i="14" s="1"/>
  <c r="DO139" i="14" s="1"/>
  <c r="CW126" i="14"/>
  <c r="CX126" i="14" s="1"/>
  <c r="DA126" i="14" s="1"/>
  <c r="DB126" i="14" s="1"/>
  <c r="CW131" i="14"/>
  <c r="CX131" i="14" s="1"/>
  <c r="CY131" i="14" s="1"/>
  <c r="CZ131" i="14" s="1"/>
  <c r="CW97" i="14"/>
  <c r="CX97" i="14" s="1"/>
  <c r="DA97" i="14" s="1"/>
  <c r="DB97" i="14" s="1"/>
  <c r="CW153" i="14"/>
  <c r="CX153" i="14" s="1"/>
  <c r="DA153" i="14" s="1"/>
  <c r="DB153" i="14" s="1"/>
  <c r="CW149" i="14"/>
  <c r="CX149" i="14" s="1"/>
  <c r="DA149" i="14" s="1"/>
  <c r="DB149" i="14" s="1"/>
  <c r="CW86" i="14"/>
  <c r="CX86" i="14" s="1"/>
  <c r="DA86" i="14" s="1"/>
  <c r="DB86" i="14" s="1"/>
  <c r="CW133" i="14"/>
  <c r="CX133" i="14" s="1"/>
  <c r="CY133" i="14" s="1"/>
  <c r="CZ133" i="14" s="1"/>
  <c r="CW94" i="14"/>
  <c r="CX94" i="14" s="1"/>
  <c r="DA94" i="14" s="1"/>
  <c r="DB94" i="14" s="1"/>
  <c r="CW154" i="14"/>
  <c r="CX154" i="14" s="1"/>
  <c r="DA154" i="14" s="1"/>
  <c r="DB154" i="14" s="1"/>
  <c r="CW100" i="14"/>
  <c r="CX100" i="14" s="1"/>
  <c r="CY100" i="14" s="1"/>
  <c r="CZ100" i="14" s="1"/>
  <c r="CW92" i="14"/>
  <c r="CX92" i="14" s="1"/>
  <c r="CY92" i="14" s="1"/>
  <c r="CZ92" i="14" s="1"/>
  <c r="CW151" i="14"/>
  <c r="CX151" i="14" s="1"/>
  <c r="DA151" i="14" s="1"/>
  <c r="DB151" i="14" s="1"/>
  <c r="CW105" i="14"/>
  <c r="CX105" i="14" s="1"/>
  <c r="DA105" i="14" s="1"/>
  <c r="DB105" i="14" s="1"/>
  <c r="CW113" i="14"/>
  <c r="CX113" i="14" s="1"/>
  <c r="DA113" i="14" s="1"/>
  <c r="DB113" i="14" s="1"/>
  <c r="CW156" i="14"/>
  <c r="CX156" i="14" s="1"/>
  <c r="DA156" i="14" s="1"/>
  <c r="DB156" i="14" s="1"/>
  <c r="CW99" i="14"/>
  <c r="CX99" i="14" s="1"/>
  <c r="DA99" i="14" s="1"/>
  <c r="DB99" i="14" s="1"/>
  <c r="CW134" i="14"/>
  <c r="CX134" i="14" s="1"/>
  <c r="CY134" i="14" s="1"/>
  <c r="CZ134" i="14" s="1"/>
  <c r="CW115" i="14"/>
  <c r="CX115" i="14" s="1"/>
  <c r="CY115" i="14" s="1"/>
  <c r="CZ115" i="14" s="1"/>
  <c r="CW147" i="14"/>
  <c r="CX147" i="14" s="1"/>
  <c r="DA147" i="14" s="1"/>
  <c r="DB147" i="14" s="1"/>
  <c r="CW118" i="14"/>
  <c r="CX118" i="14" s="1"/>
  <c r="DA118" i="14" s="1"/>
  <c r="DB118" i="14" s="1"/>
  <c r="CW111" i="14"/>
  <c r="CX111" i="14" s="1"/>
  <c r="CY111" i="14" s="1"/>
  <c r="CZ111" i="14" s="1"/>
  <c r="CW130" i="14"/>
  <c r="CX130" i="14" s="1"/>
  <c r="CY130" i="14" s="1"/>
  <c r="CZ130" i="14" s="1"/>
  <c r="CW132" i="14"/>
  <c r="CX132" i="14" s="1"/>
  <c r="CY132" i="14" s="1"/>
  <c r="CZ132" i="14" s="1"/>
  <c r="CW138" i="14"/>
  <c r="CX138" i="14" s="1"/>
  <c r="CY138" i="14" s="1"/>
  <c r="CZ138" i="14" s="1"/>
  <c r="CW152" i="14"/>
  <c r="CX152" i="14" s="1"/>
  <c r="DA152" i="14" s="1"/>
  <c r="DB152" i="14" s="1"/>
  <c r="CW107" i="14"/>
  <c r="CX107" i="14" s="1"/>
  <c r="CY107" i="14" s="1"/>
  <c r="CZ107" i="14" s="1"/>
  <c r="CW146" i="14"/>
  <c r="CX146" i="14" s="1"/>
  <c r="DA146" i="14" s="1"/>
  <c r="DB146" i="14" s="1"/>
  <c r="CW141" i="14"/>
  <c r="CX141" i="14" s="1"/>
  <c r="DA141" i="14" s="1"/>
  <c r="DB141" i="14" s="1"/>
  <c r="CW104" i="14"/>
  <c r="CX104" i="14" s="1"/>
  <c r="CY104" i="14" s="1"/>
  <c r="CZ104" i="14" s="1"/>
  <c r="CW127" i="14"/>
  <c r="CX127" i="14" s="1"/>
  <c r="CY127" i="14" s="1"/>
  <c r="CZ127" i="14" s="1"/>
  <c r="CW114" i="14"/>
  <c r="CX114" i="14" s="1"/>
  <c r="DA114" i="14" s="1"/>
  <c r="DB114" i="14" s="1"/>
  <c r="CW108" i="14"/>
  <c r="CX108" i="14" s="1"/>
  <c r="DA108" i="14" s="1"/>
  <c r="DB108" i="14" s="1"/>
  <c r="CW122" i="14"/>
  <c r="CX122" i="14" s="1"/>
  <c r="DA122" i="14" s="1"/>
  <c r="DB122" i="14" s="1"/>
  <c r="CW102" i="14"/>
  <c r="CX102" i="14" s="1"/>
  <c r="CY102" i="14" s="1"/>
  <c r="CZ102" i="14" s="1"/>
  <c r="CW160" i="14"/>
  <c r="CX160" i="14" s="1"/>
  <c r="DA160" i="14" s="1"/>
  <c r="DB160" i="14" s="1"/>
  <c r="CW109" i="14"/>
  <c r="CX109" i="14" s="1"/>
  <c r="CW135" i="14"/>
  <c r="CX135" i="14" s="1"/>
  <c r="CW88" i="14"/>
  <c r="CX88" i="14" s="1"/>
  <c r="CW93" i="14"/>
  <c r="CX93" i="14" s="1"/>
  <c r="CW112" i="14"/>
  <c r="CX112" i="14" s="1"/>
  <c r="CW106" i="14"/>
  <c r="CX106" i="14" s="1"/>
  <c r="CW129" i="14"/>
  <c r="CX129" i="14" s="1"/>
  <c r="CW110" i="14"/>
  <c r="CX110" i="14" s="1"/>
  <c r="CW90" i="14"/>
  <c r="CX90" i="14" s="1"/>
  <c r="CW158" i="14"/>
  <c r="CX158" i="14" s="1"/>
  <c r="CW144" i="14"/>
  <c r="CX144" i="14" s="1"/>
  <c r="CW145" i="14"/>
  <c r="CX145" i="14" s="1"/>
  <c r="CW159" i="14"/>
  <c r="CX159" i="14" s="1"/>
  <c r="CW148" i="14"/>
  <c r="CX148" i="14" s="1"/>
  <c r="CW124" i="14"/>
  <c r="CX124" i="14" s="1"/>
  <c r="CW150" i="14"/>
  <c r="CX150" i="14" s="1"/>
  <c r="CW140" i="14"/>
  <c r="CX140" i="14" s="1"/>
  <c r="CW136" i="14"/>
  <c r="CX136" i="14" s="1"/>
  <c r="CW101" i="14"/>
  <c r="CX101" i="14" s="1"/>
  <c r="CW157" i="14"/>
  <c r="CX157" i="14" s="1"/>
  <c r="CW98" i="14"/>
  <c r="CX98" i="14" s="1"/>
  <c r="CW143" i="14"/>
  <c r="CX143" i="14" s="1"/>
  <c r="CW137" i="14"/>
  <c r="CX137" i="14" s="1"/>
  <c r="CW116" i="14"/>
  <c r="CX116" i="14" s="1"/>
  <c r="CW155" i="14"/>
  <c r="CX155" i="14" s="1"/>
  <c r="CW125" i="14"/>
  <c r="CX125" i="14" s="1"/>
  <c r="CW142" i="14"/>
  <c r="CX142" i="14" s="1"/>
  <c r="CW120" i="14"/>
  <c r="CX120" i="14" s="1"/>
  <c r="CW103" i="14"/>
  <c r="CX103" i="14" s="1"/>
  <c r="CW91" i="14"/>
  <c r="CX91" i="14" s="1"/>
  <c r="CW95" i="14"/>
  <c r="CX95" i="14" s="1"/>
  <c r="CW87" i="14"/>
  <c r="CX87" i="14" s="1"/>
  <c r="AE46" i="15"/>
  <c r="CY79" i="14"/>
  <c r="CZ79" i="14" s="1"/>
  <c r="CY83" i="14"/>
  <c r="CZ83" i="14" s="1"/>
  <c r="DA61" i="14"/>
  <c r="DB61" i="14" s="1"/>
  <c r="CY85" i="14"/>
  <c r="CZ85" i="14" s="1"/>
  <c r="DA85" i="14"/>
  <c r="DB85" i="14" s="1"/>
  <c r="DA84" i="14" l="1"/>
  <c r="DB84" i="14" s="1"/>
  <c r="DC84" i="14" s="1"/>
  <c r="CY63" i="14"/>
  <c r="CZ63" i="14" s="1"/>
  <c r="CY80" i="14"/>
  <c r="CZ80" i="14" s="1"/>
  <c r="DC80" i="14" s="1"/>
  <c r="DD80" i="14" s="1"/>
  <c r="DA67" i="14"/>
  <c r="DB67" i="14" s="1"/>
  <c r="DC67" i="14" s="1"/>
  <c r="DD67" i="14" s="1"/>
  <c r="DA71" i="14"/>
  <c r="DB71" i="14" s="1"/>
  <c r="DC71" i="14" s="1"/>
  <c r="DD71" i="14" s="1"/>
  <c r="X10" i="1"/>
  <c r="X7" i="1"/>
  <c r="DA66" i="14"/>
  <c r="DB66" i="14" s="1"/>
  <c r="DC66" i="14" s="1"/>
  <c r="DD66" i="14" s="1"/>
  <c r="DG66" i="14" s="1"/>
  <c r="DH66" i="14" s="1"/>
  <c r="DA64" i="14"/>
  <c r="DB64" i="14" s="1"/>
  <c r="DC64" i="14" s="1"/>
  <c r="DD64" i="14" s="1"/>
  <c r="CY62" i="14"/>
  <c r="CZ62" i="14" s="1"/>
  <c r="DC62" i="14" s="1"/>
  <c r="DD62" i="14" s="1"/>
  <c r="DG62" i="14" s="1"/>
  <c r="DH62" i="14" s="1"/>
  <c r="DA72" i="14"/>
  <c r="DB72" i="14" s="1"/>
  <c r="DC72" i="14" s="1"/>
  <c r="DD72" i="14" s="1"/>
  <c r="DE72" i="14" s="1"/>
  <c r="DF72" i="14" s="1"/>
  <c r="DA70" i="14"/>
  <c r="DB70" i="14" s="1"/>
  <c r="DC70" i="14" s="1"/>
  <c r="DD70" i="14" s="1"/>
  <c r="CY78" i="14"/>
  <c r="CZ78" i="14" s="1"/>
  <c r="DC78" i="14" s="1"/>
  <c r="DD78" i="14" s="1"/>
  <c r="CY65" i="14"/>
  <c r="CZ65" i="14" s="1"/>
  <c r="DC65" i="14" s="1"/>
  <c r="DD65" i="14" s="1"/>
  <c r="DG65" i="14" s="1"/>
  <c r="DH65" i="14" s="1"/>
  <c r="DA75" i="14"/>
  <c r="DB75" i="14" s="1"/>
  <c r="DC75" i="14" s="1"/>
  <c r="DD75" i="14" s="1"/>
  <c r="CY77" i="14"/>
  <c r="CZ77" i="14" s="1"/>
  <c r="DC77" i="14" s="1"/>
  <c r="DD77" i="14" s="1"/>
  <c r="DA82" i="14"/>
  <c r="DB82" i="14" s="1"/>
  <c r="DC82" i="14" s="1"/>
  <c r="DD82" i="14" s="1"/>
  <c r="CY76" i="14"/>
  <c r="CZ76" i="14" s="1"/>
  <c r="DC76" i="14" s="1"/>
  <c r="DD76" i="14" s="1"/>
  <c r="DE76" i="14" s="1"/>
  <c r="DF76" i="14" s="1"/>
  <c r="CY68" i="14"/>
  <c r="CZ68" i="14" s="1"/>
  <c r="DC68" i="14" s="1"/>
  <c r="DD68" i="14" s="1"/>
  <c r="DP139" i="14"/>
  <c r="DQ139" i="14" s="1"/>
  <c r="DR139" i="14" s="1"/>
  <c r="DA69" i="14"/>
  <c r="DB69" i="14" s="1"/>
  <c r="DC69" i="14" s="1"/>
  <c r="DD69" i="14" s="1"/>
  <c r="DG69" i="14" s="1"/>
  <c r="DH69" i="14" s="1"/>
  <c r="DA74" i="14"/>
  <c r="DB74" i="14" s="1"/>
  <c r="DC74" i="14" s="1"/>
  <c r="DD74" i="14" s="1"/>
  <c r="O12" i="15"/>
  <c r="W5" i="46" s="1"/>
  <c r="DA60" i="14"/>
  <c r="DB60" i="14" s="1"/>
  <c r="DC60" i="14" s="1"/>
  <c r="DD60" i="14" s="1"/>
  <c r="DE60" i="14" s="1"/>
  <c r="DF60" i="14" s="1"/>
  <c r="CY73" i="14"/>
  <c r="CZ73" i="14" s="1"/>
  <c r="DC73" i="14" s="1"/>
  <c r="DD73" i="14" s="1"/>
  <c r="O15" i="15"/>
  <c r="W8" i="46" s="1"/>
  <c r="DA96" i="14"/>
  <c r="DB96" i="14" s="1"/>
  <c r="DC96" i="14" s="1"/>
  <c r="DD96" i="14" s="1"/>
  <c r="CY123" i="14"/>
  <c r="CZ123" i="14" s="1"/>
  <c r="DC123" i="14" s="1"/>
  <c r="DD123" i="14" s="1"/>
  <c r="DE123" i="14" s="1"/>
  <c r="DF123" i="14" s="1"/>
  <c r="N11" i="15"/>
  <c r="V4" i="46" s="1"/>
  <c r="CY81" i="14"/>
  <c r="CZ81" i="14" s="1"/>
  <c r="DC81" i="14" s="1"/>
  <c r="DD81" i="14" s="1"/>
  <c r="DA128" i="14"/>
  <c r="DB128" i="14" s="1"/>
  <c r="DC128" i="14" s="1"/>
  <c r="DD128" i="14" s="1"/>
  <c r="DE128" i="14" s="1"/>
  <c r="DF128" i="14" s="1"/>
  <c r="DA117" i="14"/>
  <c r="DB117" i="14" s="1"/>
  <c r="DC117" i="14" s="1"/>
  <c r="DD117" i="14" s="1"/>
  <c r="CY126" i="14"/>
  <c r="CZ126" i="14" s="1"/>
  <c r="DC126" i="14" s="1"/>
  <c r="DD126" i="14" s="1"/>
  <c r="DE126" i="14" s="1"/>
  <c r="DF126" i="14" s="1"/>
  <c r="DA121" i="14"/>
  <c r="DB121" i="14" s="1"/>
  <c r="DC121" i="14" s="1"/>
  <c r="DD121" i="14" s="1"/>
  <c r="CY99" i="14"/>
  <c r="CZ99" i="14" s="1"/>
  <c r="DC99" i="14" s="1"/>
  <c r="DD99" i="14" s="1"/>
  <c r="DA131" i="14"/>
  <c r="DB131" i="14" s="1"/>
  <c r="DC131" i="14" s="1"/>
  <c r="DD131" i="14" s="1"/>
  <c r="CY97" i="14"/>
  <c r="CZ97" i="14" s="1"/>
  <c r="DC97" i="14" s="1"/>
  <c r="DD97" i="14" s="1"/>
  <c r="CY153" i="14"/>
  <c r="CZ153" i="14" s="1"/>
  <c r="DC153" i="14" s="1"/>
  <c r="DD153" i="14" s="1"/>
  <c r="DE153" i="14" s="1"/>
  <c r="DF153" i="14" s="1"/>
  <c r="CY118" i="14"/>
  <c r="CZ118" i="14" s="1"/>
  <c r="DC118" i="14" s="1"/>
  <c r="DD118" i="14" s="1"/>
  <c r="DE118" i="14" s="1"/>
  <c r="DF118" i="14" s="1"/>
  <c r="CY160" i="14"/>
  <c r="CZ160" i="14" s="1"/>
  <c r="DC160" i="14" s="1"/>
  <c r="DD160" i="14" s="1"/>
  <c r="DG160" i="14" s="1"/>
  <c r="DH160" i="14" s="1"/>
  <c r="DA104" i="14"/>
  <c r="DB104" i="14" s="1"/>
  <c r="DC104" i="14" s="1"/>
  <c r="DD104" i="14" s="1"/>
  <c r="CY149" i="14"/>
  <c r="CZ149" i="14" s="1"/>
  <c r="DC149" i="14" s="1"/>
  <c r="DD149" i="14" s="1"/>
  <c r="DA111" i="14"/>
  <c r="DB111" i="14" s="1"/>
  <c r="DC111" i="14" s="1"/>
  <c r="DD111" i="14" s="1"/>
  <c r="DE111" i="14" s="1"/>
  <c r="DF111" i="14" s="1"/>
  <c r="CY105" i="14"/>
  <c r="CZ105" i="14" s="1"/>
  <c r="DC105" i="14" s="1"/>
  <c r="DD105" i="14" s="1"/>
  <c r="DG105" i="14" s="1"/>
  <c r="DH105" i="14" s="1"/>
  <c r="CY151" i="14"/>
  <c r="CZ151" i="14" s="1"/>
  <c r="DC151" i="14" s="1"/>
  <c r="DD151" i="14" s="1"/>
  <c r="CY119" i="14"/>
  <c r="CZ119" i="14" s="1"/>
  <c r="DC119" i="14" s="1"/>
  <c r="DD119" i="14" s="1"/>
  <c r="CY113" i="14"/>
  <c r="CZ113" i="14" s="1"/>
  <c r="DC113" i="14" s="1"/>
  <c r="DD113" i="14" s="1"/>
  <c r="DG113" i="14" s="1"/>
  <c r="DH113" i="14" s="1"/>
  <c r="CY86" i="14"/>
  <c r="CZ86" i="14" s="1"/>
  <c r="DC86" i="14" s="1"/>
  <c r="DD86" i="14" s="1"/>
  <c r="CY94" i="14"/>
  <c r="CZ94" i="14" s="1"/>
  <c r="DC94" i="14" s="1"/>
  <c r="DD94" i="14" s="1"/>
  <c r="CY156" i="14"/>
  <c r="CZ156" i="14" s="1"/>
  <c r="DC156" i="14" s="1"/>
  <c r="DD156" i="14" s="1"/>
  <c r="DG156" i="14" s="1"/>
  <c r="DH156" i="14" s="1"/>
  <c r="DA133" i="14"/>
  <c r="DB133" i="14" s="1"/>
  <c r="DC133" i="14" s="1"/>
  <c r="DD133" i="14" s="1"/>
  <c r="DA138" i="14"/>
  <c r="DB138" i="14" s="1"/>
  <c r="DC138" i="14" s="1"/>
  <c r="DD138" i="14" s="1"/>
  <c r="DE138" i="14" s="1"/>
  <c r="DF138" i="14" s="1"/>
  <c r="CY154" i="14"/>
  <c r="CZ154" i="14" s="1"/>
  <c r="DC154" i="14" s="1"/>
  <c r="DD154" i="14" s="1"/>
  <c r="CY108" i="14"/>
  <c r="CZ108" i="14" s="1"/>
  <c r="DC108" i="14" s="1"/>
  <c r="DD108" i="14" s="1"/>
  <c r="DE108" i="14" s="1"/>
  <c r="DF108" i="14" s="1"/>
  <c r="DA102" i="14"/>
  <c r="DB102" i="14" s="1"/>
  <c r="DC102" i="14" s="1"/>
  <c r="DD102" i="14" s="1"/>
  <c r="DA92" i="14"/>
  <c r="DB92" i="14" s="1"/>
  <c r="DC92" i="14" s="1"/>
  <c r="DD92" i="14" s="1"/>
  <c r="DG92" i="14" s="1"/>
  <c r="DH92" i="14" s="1"/>
  <c r="DA115" i="14"/>
  <c r="DB115" i="14" s="1"/>
  <c r="DC115" i="14" s="1"/>
  <c r="DD115" i="14" s="1"/>
  <c r="CY146" i="14"/>
  <c r="CZ146" i="14" s="1"/>
  <c r="DC146" i="14" s="1"/>
  <c r="DD146" i="14" s="1"/>
  <c r="DA100" i="14"/>
  <c r="DB100" i="14" s="1"/>
  <c r="DC100" i="14" s="1"/>
  <c r="DD100" i="14" s="1"/>
  <c r="DA107" i="14"/>
  <c r="DB107" i="14" s="1"/>
  <c r="DC107" i="14" s="1"/>
  <c r="DD107" i="14" s="1"/>
  <c r="DE107" i="14" s="1"/>
  <c r="DF107" i="14" s="1"/>
  <c r="CY147" i="14"/>
  <c r="CZ147" i="14" s="1"/>
  <c r="DC147" i="14" s="1"/>
  <c r="DD147" i="14" s="1"/>
  <c r="DA130" i="14"/>
  <c r="DB130" i="14" s="1"/>
  <c r="DC130" i="14" s="1"/>
  <c r="DD130" i="14" s="1"/>
  <c r="DE130" i="14" s="1"/>
  <c r="DF130" i="14" s="1"/>
  <c r="CY141" i="14"/>
  <c r="CZ141" i="14" s="1"/>
  <c r="DC141" i="14" s="1"/>
  <c r="DD141" i="14" s="1"/>
  <c r="DA127" i="14"/>
  <c r="DB127" i="14" s="1"/>
  <c r="DC127" i="14" s="1"/>
  <c r="DD127" i="14" s="1"/>
  <c r="DG127" i="14" s="1"/>
  <c r="DH127" i="14" s="1"/>
  <c r="CY114" i="14"/>
  <c r="CZ114" i="14" s="1"/>
  <c r="DC114" i="14" s="1"/>
  <c r="DD114" i="14" s="1"/>
  <c r="DA132" i="14"/>
  <c r="DB132" i="14" s="1"/>
  <c r="DC132" i="14" s="1"/>
  <c r="DD132" i="14" s="1"/>
  <c r="CY152" i="14"/>
  <c r="CZ152" i="14" s="1"/>
  <c r="DC152" i="14" s="1"/>
  <c r="DD152" i="14" s="1"/>
  <c r="DA134" i="14"/>
  <c r="DB134" i="14" s="1"/>
  <c r="DC134" i="14" s="1"/>
  <c r="DD134" i="14" s="1"/>
  <c r="CY122" i="14"/>
  <c r="CZ122" i="14" s="1"/>
  <c r="DC122" i="14" s="1"/>
  <c r="DD122" i="14" s="1"/>
  <c r="DG122" i="14" s="1"/>
  <c r="DH122" i="14" s="1"/>
  <c r="DA142" i="14"/>
  <c r="DB142" i="14" s="1"/>
  <c r="CY142" i="14"/>
  <c r="CZ142" i="14" s="1"/>
  <c r="CY98" i="14"/>
  <c r="CZ98" i="14" s="1"/>
  <c r="DA98" i="14"/>
  <c r="DB98" i="14" s="1"/>
  <c r="DA124" i="14"/>
  <c r="DB124" i="14" s="1"/>
  <c r="CY124" i="14"/>
  <c r="CZ124" i="14" s="1"/>
  <c r="DA129" i="14"/>
  <c r="DB129" i="14" s="1"/>
  <c r="CY129" i="14"/>
  <c r="CZ129" i="14" s="1"/>
  <c r="CY125" i="14"/>
  <c r="CZ125" i="14" s="1"/>
  <c r="DA125" i="14"/>
  <c r="DB125" i="14" s="1"/>
  <c r="CY157" i="14"/>
  <c r="CZ157" i="14" s="1"/>
  <c r="DA157" i="14"/>
  <c r="DB157" i="14" s="1"/>
  <c r="CY148" i="14"/>
  <c r="CZ148" i="14" s="1"/>
  <c r="DA148" i="14"/>
  <c r="DB148" i="14" s="1"/>
  <c r="CY155" i="14"/>
  <c r="CZ155" i="14" s="1"/>
  <c r="DA155" i="14"/>
  <c r="DB155" i="14" s="1"/>
  <c r="CY101" i="14"/>
  <c r="CZ101" i="14" s="1"/>
  <c r="DA101" i="14"/>
  <c r="DB101" i="14" s="1"/>
  <c r="DA159" i="14"/>
  <c r="DB159" i="14" s="1"/>
  <c r="CY159" i="14"/>
  <c r="CZ159" i="14" s="1"/>
  <c r="CY136" i="14"/>
  <c r="CZ136" i="14" s="1"/>
  <c r="DA136" i="14"/>
  <c r="DB136" i="14" s="1"/>
  <c r="DA145" i="14"/>
  <c r="DB145" i="14" s="1"/>
  <c r="CY145" i="14"/>
  <c r="CZ145" i="14" s="1"/>
  <c r="CY88" i="14"/>
  <c r="CZ88" i="14" s="1"/>
  <c r="DA88" i="14"/>
  <c r="DB88" i="14" s="1"/>
  <c r="DA95" i="14"/>
  <c r="DB95" i="14" s="1"/>
  <c r="CY95" i="14"/>
  <c r="CZ95" i="14" s="1"/>
  <c r="DA144" i="14"/>
  <c r="DB144" i="14" s="1"/>
  <c r="CY144" i="14"/>
  <c r="CZ144" i="14" s="1"/>
  <c r="DA135" i="14"/>
  <c r="DB135" i="14" s="1"/>
  <c r="CY135" i="14"/>
  <c r="CZ135" i="14" s="1"/>
  <c r="CY87" i="14"/>
  <c r="CZ87" i="14" s="1"/>
  <c r="DA87" i="14"/>
  <c r="DB87" i="14" s="1"/>
  <c r="DA91" i="14"/>
  <c r="DB91" i="14" s="1"/>
  <c r="CY91" i="14"/>
  <c r="CZ91" i="14" s="1"/>
  <c r="CY116" i="14"/>
  <c r="CZ116" i="14" s="1"/>
  <c r="DA116" i="14"/>
  <c r="DB116" i="14" s="1"/>
  <c r="DA158" i="14"/>
  <c r="DB158" i="14" s="1"/>
  <c r="CY158" i="14"/>
  <c r="CZ158" i="14" s="1"/>
  <c r="DA106" i="14"/>
  <c r="DB106" i="14" s="1"/>
  <c r="CY106" i="14"/>
  <c r="CZ106" i="14" s="1"/>
  <c r="DA103" i="14"/>
  <c r="DB103" i="14" s="1"/>
  <c r="CY103" i="14"/>
  <c r="CZ103" i="14" s="1"/>
  <c r="DA137" i="14"/>
  <c r="DB137" i="14" s="1"/>
  <c r="CY137" i="14"/>
  <c r="CZ137" i="14" s="1"/>
  <c r="CY140" i="14"/>
  <c r="CZ140" i="14" s="1"/>
  <c r="DA140" i="14"/>
  <c r="DB140" i="14" s="1"/>
  <c r="CY90" i="14"/>
  <c r="CZ90" i="14" s="1"/>
  <c r="DA90" i="14"/>
  <c r="DB90" i="14" s="1"/>
  <c r="DA112" i="14"/>
  <c r="DB112" i="14" s="1"/>
  <c r="CY112" i="14"/>
  <c r="CZ112" i="14" s="1"/>
  <c r="DA89" i="14"/>
  <c r="DB89" i="14" s="1"/>
  <c r="CY89" i="14"/>
  <c r="CZ89" i="14" s="1"/>
  <c r="DA120" i="14"/>
  <c r="DB120" i="14" s="1"/>
  <c r="CY120" i="14"/>
  <c r="CZ120" i="14" s="1"/>
  <c r="CY143" i="14"/>
  <c r="CZ143" i="14" s="1"/>
  <c r="DA143" i="14"/>
  <c r="DB143" i="14" s="1"/>
  <c r="DA150" i="14"/>
  <c r="DB150" i="14" s="1"/>
  <c r="CY150" i="14"/>
  <c r="CZ150" i="14" s="1"/>
  <c r="DA110" i="14"/>
  <c r="DB110" i="14" s="1"/>
  <c r="CY110" i="14"/>
  <c r="CZ110" i="14" s="1"/>
  <c r="CY93" i="14"/>
  <c r="CZ93" i="14" s="1"/>
  <c r="DA93" i="14"/>
  <c r="DB93" i="14" s="1"/>
  <c r="CY109" i="14"/>
  <c r="CZ109" i="14" s="1"/>
  <c r="DA109" i="14"/>
  <c r="DB109" i="14" s="1"/>
  <c r="DC63" i="14"/>
  <c r="DD63" i="14" s="1"/>
  <c r="DG63" i="14" s="1"/>
  <c r="DH63" i="14" s="1"/>
  <c r="DC85" i="14"/>
  <c r="DD85" i="14" s="1"/>
  <c r="DD84" i="14"/>
  <c r="DG84" i="14" s="1"/>
  <c r="DH84" i="14" s="1"/>
  <c r="DC83" i="14"/>
  <c r="DD83" i="14" s="1"/>
  <c r="DC79" i="14"/>
  <c r="DD79" i="14" s="1"/>
  <c r="DC61" i="14"/>
  <c r="DD61" i="14" s="1"/>
  <c r="DG72" i="14" l="1"/>
  <c r="DH72" i="14" s="1"/>
  <c r="DI72" i="14" s="1"/>
  <c r="DJ72" i="14" s="1"/>
  <c r="W5" i="1"/>
  <c r="W8" i="1"/>
  <c r="V4" i="1"/>
  <c r="DS139" i="14"/>
  <c r="DT139" i="14" s="1"/>
  <c r="DE149" i="14"/>
  <c r="DF149" i="14" s="1"/>
  <c r="DG149" i="14"/>
  <c r="DH149" i="14" s="1"/>
  <c r="DE94" i="14"/>
  <c r="DF94" i="14" s="1"/>
  <c r="DG94" i="14"/>
  <c r="DH94" i="14" s="1"/>
  <c r="DG154" i="14"/>
  <c r="DH154" i="14" s="1"/>
  <c r="DE154" i="14"/>
  <c r="DF154" i="14" s="1"/>
  <c r="DG108" i="14"/>
  <c r="DH108" i="14" s="1"/>
  <c r="DI108" i="14" s="1"/>
  <c r="DJ108" i="14" s="1"/>
  <c r="DG138" i="14"/>
  <c r="DH138" i="14" s="1"/>
  <c r="DI138" i="14" s="1"/>
  <c r="DJ138" i="14" s="1"/>
  <c r="DE122" i="14"/>
  <c r="DF122" i="14" s="1"/>
  <c r="DI122" i="14" s="1"/>
  <c r="DJ122" i="14" s="1"/>
  <c r="DG153" i="14"/>
  <c r="DH153" i="14" s="1"/>
  <c r="DI153" i="14" s="1"/>
  <c r="DJ153" i="14" s="1"/>
  <c r="DE156" i="14"/>
  <c r="DF156" i="14" s="1"/>
  <c r="DI156" i="14" s="1"/>
  <c r="DJ156" i="14" s="1"/>
  <c r="DG126" i="14"/>
  <c r="DH126" i="14" s="1"/>
  <c r="DI126" i="14" s="1"/>
  <c r="DJ126" i="14" s="1"/>
  <c r="DM126" i="14" s="1"/>
  <c r="DN126" i="14" s="1"/>
  <c r="DE100" i="14"/>
  <c r="DF100" i="14" s="1"/>
  <c r="DG100" i="14"/>
  <c r="DH100" i="14" s="1"/>
  <c r="DE160" i="14"/>
  <c r="DF160" i="14" s="1"/>
  <c r="DI160" i="14" s="1"/>
  <c r="DJ160" i="14" s="1"/>
  <c r="DG118" i="14"/>
  <c r="DH118" i="14" s="1"/>
  <c r="DI118" i="14" s="1"/>
  <c r="DJ118" i="14" s="1"/>
  <c r="DG130" i="14"/>
  <c r="DH130" i="14" s="1"/>
  <c r="DI130" i="14" s="1"/>
  <c r="DJ130" i="14" s="1"/>
  <c r="DG111" i="14"/>
  <c r="DH111" i="14" s="1"/>
  <c r="DI111" i="14" s="1"/>
  <c r="DJ111" i="14" s="1"/>
  <c r="DE105" i="14"/>
  <c r="DF105" i="14" s="1"/>
  <c r="DI105" i="14" s="1"/>
  <c r="DJ105" i="14" s="1"/>
  <c r="DK105" i="14" s="1"/>
  <c r="DL105" i="14" s="1"/>
  <c r="DE127" i="14"/>
  <c r="DF127" i="14" s="1"/>
  <c r="DI127" i="14" s="1"/>
  <c r="DJ127" i="14" s="1"/>
  <c r="DM127" i="14" s="1"/>
  <c r="DN127" i="14" s="1"/>
  <c r="DC110" i="14"/>
  <c r="DD110" i="14" s="1"/>
  <c r="DG110" i="14" s="1"/>
  <c r="DH110" i="14" s="1"/>
  <c r="DE113" i="14"/>
  <c r="DF113" i="14" s="1"/>
  <c r="DI113" i="14" s="1"/>
  <c r="DJ113" i="14" s="1"/>
  <c r="DK113" i="14" s="1"/>
  <c r="DL113" i="14" s="1"/>
  <c r="DG107" i="14"/>
  <c r="DH107" i="14" s="1"/>
  <c r="DI107" i="14" s="1"/>
  <c r="DJ107" i="14" s="1"/>
  <c r="DC98" i="14"/>
  <c r="DD98" i="14" s="1"/>
  <c r="DG98" i="14" s="1"/>
  <c r="DH98" i="14" s="1"/>
  <c r="DC129" i="14"/>
  <c r="DD129" i="14" s="1"/>
  <c r="DG129" i="14" s="1"/>
  <c r="DH129" i="14" s="1"/>
  <c r="DG123" i="14"/>
  <c r="DH123" i="14" s="1"/>
  <c r="DI123" i="14" s="1"/>
  <c r="DJ123" i="14" s="1"/>
  <c r="DG128" i="14"/>
  <c r="DH128" i="14" s="1"/>
  <c r="DI128" i="14" s="1"/>
  <c r="DJ128" i="14" s="1"/>
  <c r="DC140" i="14"/>
  <c r="DD140" i="14" s="1"/>
  <c r="DE140" i="14" s="1"/>
  <c r="DF140" i="14" s="1"/>
  <c r="DG134" i="14"/>
  <c r="DH134" i="14" s="1"/>
  <c r="DE134" i="14"/>
  <c r="DF134" i="14" s="1"/>
  <c r="DE152" i="14"/>
  <c r="DF152" i="14" s="1"/>
  <c r="DG152" i="14"/>
  <c r="DH152" i="14" s="1"/>
  <c r="DC135" i="14"/>
  <c r="DD135" i="14" s="1"/>
  <c r="DG135" i="14" s="1"/>
  <c r="DH135" i="14" s="1"/>
  <c r="DC137" i="14"/>
  <c r="DD137" i="14" s="1"/>
  <c r="DE137" i="14" s="1"/>
  <c r="DF137" i="14" s="1"/>
  <c r="DC159" i="14"/>
  <c r="DD159" i="14" s="1"/>
  <c r="DG159" i="14" s="1"/>
  <c r="DH159" i="14" s="1"/>
  <c r="DC124" i="14"/>
  <c r="DD124" i="14" s="1"/>
  <c r="DG124" i="14" s="1"/>
  <c r="DH124" i="14" s="1"/>
  <c r="DC87" i="14"/>
  <c r="DD87" i="14" s="1"/>
  <c r="DE87" i="14" s="1"/>
  <c r="DF87" i="14" s="1"/>
  <c r="DC95" i="14"/>
  <c r="DD95" i="14" s="1"/>
  <c r="DE95" i="14" s="1"/>
  <c r="DF95" i="14" s="1"/>
  <c r="DC136" i="14"/>
  <c r="DD136" i="14" s="1"/>
  <c r="DG136" i="14" s="1"/>
  <c r="DH136" i="14" s="1"/>
  <c r="DC125" i="14"/>
  <c r="DD125" i="14" s="1"/>
  <c r="DE125" i="14" s="1"/>
  <c r="DF125" i="14" s="1"/>
  <c r="DC116" i="14"/>
  <c r="DD116" i="14" s="1"/>
  <c r="DE116" i="14" s="1"/>
  <c r="DF116" i="14" s="1"/>
  <c r="DE92" i="14"/>
  <c r="DF92" i="14" s="1"/>
  <c r="DI92" i="14" s="1"/>
  <c r="DJ92" i="14" s="1"/>
  <c r="DK92" i="14" s="1"/>
  <c r="DL92" i="14" s="1"/>
  <c r="DC145" i="14"/>
  <c r="DD145" i="14" s="1"/>
  <c r="DG145" i="14" s="1"/>
  <c r="DH145" i="14" s="1"/>
  <c r="DC103" i="14"/>
  <c r="DD103" i="14" s="1"/>
  <c r="DG103" i="14" s="1"/>
  <c r="DH103" i="14" s="1"/>
  <c r="DC142" i="14"/>
  <c r="DD142" i="14" s="1"/>
  <c r="DE142" i="14" s="1"/>
  <c r="DF142" i="14" s="1"/>
  <c r="DC109" i="14"/>
  <c r="DD109" i="14" s="1"/>
  <c r="DE109" i="14" s="1"/>
  <c r="DF109" i="14" s="1"/>
  <c r="DC89" i="14"/>
  <c r="DD89" i="14" s="1"/>
  <c r="DE89" i="14" s="1"/>
  <c r="DF89" i="14" s="1"/>
  <c r="DC91" i="14"/>
  <c r="DD91" i="14" s="1"/>
  <c r="DE91" i="14" s="1"/>
  <c r="DF91" i="14" s="1"/>
  <c r="DG114" i="14"/>
  <c r="DH114" i="14" s="1"/>
  <c r="DE114" i="14"/>
  <c r="DF114" i="14" s="1"/>
  <c r="DE99" i="14"/>
  <c r="DF99" i="14" s="1"/>
  <c r="DG99" i="14"/>
  <c r="DH99" i="14" s="1"/>
  <c r="DE96" i="14"/>
  <c r="DF96" i="14" s="1"/>
  <c r="DG96" i="14"/>
  <c r="DH96" i="14" s="1"/>
  <c r="DC157" i="14"/>
  <c r="DD157" i="14" s="1"/>
  <c r="DC93" i="14"/>
  <c r="DD93" i="14" s="1"/>
  <c r="DG147" i="14"/>
  <c r="DH147" i="14" s="1"/>
  <c r="DE147" i="14"/>
  <c r="DF147" i="14" s="1"/>
  <c r="DE97" i="14"/>
  <c r="DF97" i="14" s="1"/>
  <c r="DG97" i="14"/>
  <c r="DH97" i="14" s="1"/>
  <c r="DG117" i="14"/>
  <c r="DH117" i="14" s="1"/>
  <c r="DE117" i="14"/>
  <c r="DF117" i="14" s="1"/>
  <c r="DE86" i="14"/>
  <c r="DF86" i="14" s="1"/>
  <c r="DG86" i="14"/>
  <c r="DH86" i="14" s="1"/>
  <c r="DG141" i="14"/>
  <c r="DH141" i="14" s="1"/>
  <c r="DE141" i="14"/>
  <c r="DF141" i="14" s="1"/>
  <c r="DC143" i="14"/>
  <c r="DD143" i="14" s="1"/>
  <c r="DC112" i="14"/>
  <c r="DD112" i="14" s="1"/>
  <c r="DC106" i="14"/>
  <c r="DD106" i="14" s="1"/>
  <c r="DC158" i="14"/>
  <c r="DD158" i="14" s="1"/>
  <c r="DE132" i="14"/>
  <c r="DF132" i="14" s="1"/>
  <c r="DG132" i="14"/>
  <c r="DH132" i="14" s="1"/>
  <c r="DE133" i="14"/>
  <c r="DF133" i="14" s="1"/>
  <c r="DG133" i="14"/>
  <c r="DH133" i="14" s="1"/>
  <c r="DC155" i="14"/>
  <c r="DD155" i="14" s="1"/>
  <c r="DG119" i="14"/>
  <c r="DH119" i="14" s="1"/>
  <c r="DE119" i="14"/>
  <c r="DF119" i="14" s="1"/>
  <c r="DE151" i="14"/>
  <c r="DF151" i="14" s="1"/>
  <c r="DG151" i="14"/>
  <c r="DH151" i="14" s="1"/>
  <c r="DE104" i="14"/>
  <c r="DF104" i="14" s="1"/>
  <c r="DG104" i="14"/>
  <c r="DH104" i="14" s="1"/>
  <c r="DG121" i="14"/>
  <c r="DH121" i="14" s="1"/>
  <c r="DE121" i="14"/>
  <c r="DF121" i="14" s="1"/>
  <c r="DG146" i="14"/>
  <c r="DH146" i="14" s="1"/>
  <c r="DE146" i="14"/>
  <c r="DF146" i="14" s="1"/>
  <c r="DE115" i="14"/>
  <c r="DF115" i="14" s="1"/>
  <c r="DG115" i="14"/>
  <c r="DH115" i="14" s="1"/>
  <c r="DG131" i="14"/>
  <c r="DH131" i="14" s="1"/>
  <c r="DE131" i="14"/>
  <c r="DF131" i="14" s="1"/>
  <c r="DG102" i="14"/>
  <c r="DH102" i="14" s="1"/>
  <c r="DE102" i="14"/>
  <c r="DF102" i="14" s="1"/>
  <c r="DC90" i="14"/>
  <c r="DD90" i="14" s="1"/>
  <c r="DC88" i="14"/>
  <c r="DD88" i="14" s="1"/>
  <c r="DC150" i="14"/>
  <c r="DD150" i="14" s="1"/>
  <c r="DC120" i="14"/>
  <c r="DD120" i="14" s="1"/>
  <c r="DC144" i="14"/>
  <c r="DD144" i="14" s="1"/>
  <c r="DC101" i="14"/>
  <c r="DD101" i="14" s="1"/>
  <c r="DC148" i="14"/>
  <c r="DD148" i="14" s="1"/>
  <c r="DE84" i="14"/>
  <c r="DF84" i="14" s="1"/>
  <c r="DI84" i="14" s="1"/>
  <c r="DJ84" i="14" s="1"/>
  <c r="DE68" i="14"/>
  <c r="DF68" i="14" s="1"/>
  <c r="DG68" i="14"/>
  <c r="DH68" i="14" s="1"/>
  <c r="DE61" i="14"/>
  <c r="DF61" i="14" s="1"/>
  <c r="DG61" i="14"/>
  <c r="DH61" i="14" s="1"/>
  <c r="DG79" i="14"/>
  <c r="DH79" i="14" s="1"/>
  <c r="DE79" i="14"/>
  <c r="DF79" i="14" s="1"/>
  <c r="DG83" i="14"/>
  <c r="DH83" i="14" s="1"/>
  <c r="DE83" i="14"/>
  <c r="DF83" i="14" s="1"/>
  <c r="DG73" i="14"/>
  <c r="DH73" i="14" s="1"/>
  <c r="DE73" i="14"/>
  <c r="DF73" i="14" s="1"/>
  <c r="DE66" i="14"/>
  <c r="DF66" i="14" s="1"/>
  <c r="DI66" i="14" s="1"/>
  <c r="DJ66" i="14" s="1"/>
  <c r="DK66" i="14" s="1"/>
  <c r="DL66" i="14" s="1"/>
  <c r="DE69" i="14"/>
  <c r="DF69" i="14" s="1"/>
  <c r="DI69" i="14" s="1"/>
  <c r="DJ69" i="14" s="1"/>
  <c r="DE63" i="14"/>
  <c r="DF63" i="14" s="1"/>
  <c r="DE65" i="14"/>
  <c r="DF65" i="14" s="1"/>
  <c r="DE62" i="14"/>
  <c r="DF62" i="14" s="1"/>
  <c r="DG76" i="14"/>
  <c r="DH76" i="14" s="1"/>
  <c r="DI76" i="14" s="1"/>
  <c r="DG80" i="14"/>
  <c r="DH80" i="14" s="1"/>
  <c r="DE80" i="14"/>
  <c r="DF80" i="14" s="1"/>
  <c r="DE71" i="14"/>
  <c r="DF71" i="14" s="1"/>
  <c r="DG71" i="14"/>
  <c r="DH71" i="14" s="1"/>
  <c r="DG70" i="14"/>
  <c r="DH70" i="14" s="1"/>
  <c r="DE70" i="14"/>
  <c r="DF70" i="14" s="1"/>
  <c r="DG74" i="14"/>
  <c r="DH74" i="14" s="1"/>
  <c r="DE74" i="14"/>
  <c r="DF74" i="14" s="1"/>
  <c r="DE82" i="14"/>
  <c r="DF82" i="14" s="1"/>
  <c r="DG82" i="14"/>
  <c r="DH82" i="14" s="1"/>
  <c r="DE85" i="14"/>
  <c r="DF85" i="14" s="1"/>
  <c r="DG85" i="14"/>
  <c r="DH85" i="14" s="1"/>
  <c r="DE77" i="14"/>
  <c r="DF77" i="14" s="1"/>
  <c r="DG77" i="14"/>
  <c r="DH77" i="14" s="1"/>
  <c r="DG75" i="14"/>
  <c r="DH75" i="14" s="1"/>
  <c r="DE75" i="14"/>
  <c r="DF75" i="14" s="1"/>
  <c r="DG67" i="14"/>
  <c r="DH67" i="14" s="1"/>
  <c r="DE67" i="14"/>
  <c r="DF67" i="14" s="1"/>
  <c r="DE81" i="14"/>
  <c r="DF81" i="14" s="1"/>
  <c r="DG81" i="14"/>
  <c r="DH81" i="14" s="1"/>
  <c r="DG60" i="14"/>
  <c r="DH60" i="14" s="1"/>
  <c r="DG64" i="14"/>
  <c r="DH64" i="14" s="1"/>
  <c r="DE64" i="14"/>
  <c r="DF64" i="14" s="1"/>
  <c r="DE78" i="14"/>
  <c r="DF78" i="14" s="1"/>
  <c r="DG78" i="14"/>
  <c r="DH78" i="14" s="1"/>
  <c r="DI149" i="14" l="1"/>
  <c r="DJ149" i="14" s="1"/>
  <c r="DM149" i="14" s="1"/>
  <c r="DN149" i="14" s="1"/>
  <c r="DI94" i="14"/>
  <c r="DJ94" i="14" s="1"/>
  <c r="DM94" i="14" s="1"/>
  <c r="DN94" i="14" s="1"/>
  <c r="DG125" i="14"/>
  <c r="DH125" i="14" s="1"/>
  <c r="DI125" i="14" s="1"/>
  <c r="DJ125" i="14" s="1"/>
  <c r="DK125" i="14" s="1"/>
  <c r="DL125" i="14" s="1"/>
  <c r="DE129" i="14"/>
  <c r="DF129" i="14" s="1"/>
  <c r="DI129" i="14" s="1"/>
  <c r="DJ129" i="14" s="1"/>
  <c r="DM129" i="14" s="1"/>
  <c r="DN129" i="14" s="1"/>
  <c r="DI100" i="14"/>
  <c r="DJ100" i="14" s="1"/>
  <c r="DM100" i="14" s="1"/>
  <c r="DN100" i="14" s="1"/>
  <c r="DI154" i="14"/>
  <c r="DJ154" i="14" s="1"/>
  <c r="DK154" i="14" s="1"/>
  <c r="DL154" i="14" s="1"/>
  <c r="DE110" i="14"/>
  <c r="DF110" i="14" s="1"/>
  <c r="DI110" i="14" s="1"/>
  <c r="DJ110" i="14" s="1"/>
  <c r="DE159" i="14"/>
  <c r="DF159" i="14" s="1"/>
  <c r="DI159" i="14" s="1"/>
  <c r="DJ159" i="14" s="1"/>
  <c r="DE98" i="14"/>
  <c r="DF98" i="14" s="1"/>
  <c r="DI98" i="14" s="1"/>
  <c r="DJ98" i="14" s="1"/>
  <c r="DE103" i="14"/>
  <c r="DF103" i="14" s="1"/>
  <c r="DI103" i="14" s="1"/>
  <c r="DJ103" i="14" s="1"/>
  <c r="DG109" i="14"/>
  <c r="DH109" i="14" s="1"/>
  <c r="DI109" i="14" s="1"/>
  <c r="DJ109" i="14" s="1"/>
  <c r="DM109" i="14" s="1"/>
  <c r="DN109" i="14" s="1"/>
  <c r="DE136" i="14"/>
  <c r="DF136" i="14" s="1"/>
  <c r="DI136" i="14" s="1"/>
  <c r="DJ136" i="14" s="1"/>
  <c r="DM107" i="14"/>
  <c r="DN107" i="14" s="1"/>
  <c r="DK107" i="14"/>
  <c r="DL107" i="14" s="1"/>
  <c r="DG95" i="14"/>
  <c r="DH95" i="14" s="1"/>
  <c r="DI95" i="14" s="1"/>
  <c r="DJ95" i="14" s="1"/>
  <c r="DM95" i="14" s="1"/>
  <c r="DN95" i="14" s="1"/>
  <c r="DG140" i="14"/>
  <c r="DH140" i="14" s="1"/>
  <c r="DI140" i="14" s="1"/>
  <c r="DJ140" i="14" s="1"/>
  <c r="DM140" i="14" s="1"/>
  <c r="DN140" i="14" s="1"/>
  <c r="DK123" i="14"/>
  <c r="DL123" i="14" s="1"/>
  <c r="DM123" i="14"/>
  <c r="DN123" i="14" s="1"/>
  <c r="DG142" i="14"/>
  <c r="DH142" i="14" s="1"/>
  <c r="DI142" i="14" s="1"/>
  <c r="DJ142" i="14" s="1"/>
  <c r="DK142" i="14" s="1"/>
  <c r="DL142" i="14" s="1"/>
  <c r="DE135" i="14"/>
  <c r="DF135" i="14" s="1"/>
  <c r="DI135" i="14" s="1"/>
  <c r="DJ135" i="14" s="1"/>
  <c r="DG137" i="14"/>
  <c r="DH137" i="14" s="1"/>
  <c r="DI137" i="14" s="1"/>
  <c r="DJ137" i="14" s="1"/>
  <c r="DK128" i="14"/>
  <c r="DL128" i="14" s="1"/>
  <c r="DM128" i="14"/>
  <c r="DN128" i="14" s="1"/>
  <c r="DM113" i="14"/>
  <c r="DN113" i="14" s="1"/>
  <c r="DO113" i="14" s="1"/>
  <c r="DG116" i="14"/>
  <c r="DH116" i="14" s="1"/>
  <c r="DI116" i="14" s="1"/>
  <c r="DJ116" i="14" s="1"/>
  <c r="DE124" i="14"/>
  <c r="DF124" i="14" s="1"/>
  <c r="DI124" i="14" s="1"/>
  <c r="DJ124" i="14" s="1"/>
  <c r="DK126" i="14"/>
  <c r="DL126" i="14" s="1"/>
  <c r="DO126" i="14" s="1"/>
  <c r="DK127" i="14"/>
  <c r="DL127" i="14" s="1"/>
  <c r="DO127" i="14" s="1"/>
  <c r="DE145" i="14"/>
  <c r="DF145" i="14" s="1"/>
  <c r="DI145" i="14" s="1"/>
  <c r="DJ145" i="14" s="1"/>
  <c r="DK145" i="14" s="1"/>
  <c r="DL145" i="14" s="1"/>
  <c r="DI134" i="14"/>
  <c r="DJ134" i="14" s="1"/>
  <c r="DK134" i="14" s="1"/>
  <c r="DL134" i="14" s="1"/>
  <c r="DG91" i="14"/>
  <c r="DH91" i="14" s="1"/>
  <c r="DI91" i="14" s="1"/>
  <c r="DJ91" i="14" s="1"/>
  <c r="DG87" i="14"/>
  <c r="DH87" i="14" s="1"/>
  <c r="DI87" i="14" s="1"/>
  <c r="DJ87" i="14" s="1"/>
  <c r="DI152" i="14"/>
  <c r="DJ152" i="14" s="1"/>
  <c r="DM92" i="14"/>
  <c r="DN92" i="14" s="1"/>
  <c r="DO92" i="14" s="1"/>
  <c r="DM105" i="14"/>
  <c r="DN105" i="14" s="1"/>
  <c r="DO105" i="14" s="1"/>
  <c r="DG89" i="14"/>
  <c r="DH89" i="14" s="1"/>
  <c r="DI89" i="14" s="1"/>
  <c r="DJ89" i="14" s="1"/>
  <c r="DI86" i="14"/>
  <c r="DJ86" i="14" s="1"/>
  <c r="DK86" i="14" s="1"/>
  <c r="DL86" i="14" s="1"/>
  <c r="DI115" i="14"/>
  <c r="DJ115" i="14" s="1"/>
  <c r="DK115" i="14" s="1"/>
  <c r="DL115" i="14" s="1"/>
  <c r="DI146" i="14"/>
  <c r="DJ146" i="14" s="1"/>
  <c r="DK146" i="14" s="1"/>
  <c r="DL146" i="14" s="1"/>
  <c r="DI119" i="14"/>
  <c r="DJ119" i="14" s="1"/>
  <c r="DM119" i="14" s="1"/>
  <c r="DN119" i="14" s="1"/>
  <c r="DI114" i="14"/>
  <c r="DJ114" i="14" s="1"/>
  <c r="DM114" i="14" s="1"/>
  <c r="DN114" i="14" s="1"/>
  <c r="DI151" i="14"/>
  <c r="DJ151" i="14" s="1"/>
  <c r="DK151" i="14" s="1"/>
  <c r="DL151" i="14" s="1"/>
  <c r="DI131" i="14"/>
  <c r="DJ131" i="14" s="1"/>
  <c r="DK131" i="14" s="1"/>
  <c r="DL131" i="14" s="1"/>
  <c r="DI141" i="14"/>
  <c r="DJ141" i="14" s="1"/>
  <c r="DM141" i="14" s="1"/>
  <c r="DN141" i="14" s="1"/>
  <c r="DI96" i="14"/>
  <c r="DJ96" i="14" s="1"/>
  <c r="DK96" i="14" s="1"/>
  <c r="DL96" i="14" s="1"/>
  <c r="DE144" i="14"/>
  <c r="DF144" i="14" s="1"/>
  <c r="DG144" i="14"/>
  <c r="DH144" i="14" s="1"/>
  <c r="DG93" i="14"/>
  <c r="DH93" i="14" s="1"/>
  <c r="DE93" i="14"/>
  <c r="DF93" i="14" s="1"/>
  <c r="DK156" i="14"/>
  <c r="DL156" i="14" s="1"/>
  <c r="DM156" i="14"/>
  <c r="DN156" i="14" s="1"/>
  <c r="DG120" i="14"/>
  <c r="DH120" i="14" s="1"/>
  <c r="DE120" i="14"/>
  <c r="DF120" i="14" s="1"/>
  <c r="DE158" i="14"/>
  <c r="DF158" i="14" s="1"/>
  <c r="DG158" i="14"/>
  <c r="DH158" i="14" s="1"/>
  <c r="DE157" i="14"/>
  <c r="DF157" i="14" s="1"/>
  <c r="DG157" i="14"/>
  <c r="DH157" i="14" s="1"/>
  <c r="DE148" i="14"/>
  <c r="DF148" i="14" s="1"/>
  <c r="DG148" i="14"/>
  <c r="DH148" i="14" s="1"/>
  <c r="DE150" i="14"/>
  <c r="DF150" i="14" s="1"/>
  <c r="DG150" i="14"/>
  <c r="DH150" i="14" s="1"/>
  <c r="DG90" i="14"/>
  <c r="DH90" i="14" s="1"/>
  <c r="DE90" i="14"/>
  <c r="DF90" i="14" s="1"/>
  <c r="DG106" i="14"/>
  <c r="DH106" i="14" s="1"/>
  <c r="DE106" i="14"/>
  <c r="DF106" i="14" s="1"/>
  <c r="DI97" i="14"/>
  <c r="DJ97" i="14" s="1"/>
  <c r="DK153" i="14"/>
  <c r="DL153" i="14" s="1"/>
  <c r="DM153" i="14"/>
  <c r="DN153" i="14" s="1"/>
  <c r="DG101" i="14"/>
  <c r="DH101" i="14" s="1"/>
  <c r="DE101" i="14"/>
  <c r="DF101" i="14" s="1"/>
  <c r="DI102" i="14"/>
  <c r="DJ102" i="14" s="1"/>
  <c r="DI121" i="14"/>
  <c r="DJ121" i="14" s="1"/>
  <c r="DG155" i="14"/>
  <c r="DH155" i="14" s="1"/>
  <c r="DE155" i="14"/>
  <c r="DF155" i="14" s="1"/>
  <c r="DE112" i="14"/>
  <c r="DF112" i="14" s="1"/>
  <c r="DG112" i="14"/>
  <c r="DH112" i="14" s="1"/>
  <c r="DI147" i="14"/>
  <c r="DJ147" i="14" s="1"/>
  <c r="DM160" i="14"/>
  <c r="DN160" i="14" s="1"/>
  <c r="DK160" i="14"/>
  <c r="DL160" i="14" s="1"/>
  <c r="DG143" i="14"/>
  <c r="DH143" i="14" s="1"/>
  <c r="DE143" i="14"/>
  <c r="DF143" i="14" s="1"/>
  <c r="DM138" i="14"/>
  <c r="DN138" i="14" s="1"/>
  <c r="DK138" i="14"/>
  <c r="DL138" i="14" s="1"/>
  <c r="DI133" i="14"/>
  <c r="DJ133" i="14" s="1"/>
  <c r="DI99" i="14"/>
  <c r="DJ99" i="14" s="1"/>
  <c r="DK118" i="14"/>
  <c r="DL118" i="14" s="1"/>
  <c r="DM118" i="14"/>
  <c r="DN118" i="14" s="1"/>
  <c r="DE88" i="14"/>
  <c r="DF88" i="14" s="1"/>
  <c r="DG88" i="14"/>
  <c r="DH88" i="14" s="1"/>
  <c r="DI104" i="14"/>
  <c r="DJ104" i="14" s="1"/>
  <c r="DM111" i="14"/>
  <c r="DN111" i="14" s="1"/>
  <c r="DK111" i="14"/>
  <c r="DL111" i="14" s="1"/>
  <c r="DM108" i="14"/>
  <c r="DN108" i="14" s="1"/>
  <c r="DK108" i="14"/>
  <c r="DL108" i="14" s="1"/>
  <c r="DK122" i="14"/>
  <c r="DL122" i="14" s="1"/>
  <c r="DM122" i="14"/>
  <c r="DN122" i="14" s="1"/>
  <c r="DI132" i="14"/>
  <c r="DJ132" i="14" s="1"/>
  <c r="DI117" i="14"/>
  <c r="DJ117" i="14" s="1"/>
  <c r="DM130" i="14"/>
  <c r="DN130" i="14" s="1"/>
  <c r="DK130" i="14"/>
  <c r="DL130" i="14" s="1"/>
  <c r="DI73" i="14"/>
  <c r="DJ73" i="14" s="1"/>
  <c r="DM73" i="14" s="1"/>
  <c r="DN73" i="14" s="1"/>
  <c r="DI68" i="14"/>
  <c r="DJ68" i="14" s="1"/>
  <c r="DM68" i="14" s="1"/>
  <c r="DN68" i="14" s="1"/>
  <c r="DI83" i="14"/>
  <c r="DJ83" i="14" s="1"/>
  <c r="DK83" i="14" s="1"/>
  <c r="DL83" i="14" s="1"/>
  <c r="DI70" i="14"/>
  <c r="DJ70" i="14" s="1"/>
  <c r="DI61" i="14"/>
  <c r="DJ61" i="14" s="1"/>
  <c r="DM61" i="14" s="1"/>
  <c r="DN61" i="14" s="1"/>
  <c r="DI79" i="14"/>
  <c r="DJ79" i="14" s="1"/>
  <c r="DM79" i="14" s="1"/>
  <c r="DN79" i="14" s="1"/>
  <c r="DI67" i="14"/>
  <c r="DJ67" i="14" s="1"/>
  <c r="DI60" i="14"/>
  <c r="DJ60" i="14" s="1"/>
  <c r="DI74" i="14"/>
  <c r="DJ74" i="14" s="1"/>
  <c r="DM74" i="14" s="1"/>
  <c r="DN74" i="14" s="1"/>
  <c r="DI64" i="14"/>
  <c r="DJ64" i="14" s="1"/>
  <c r="DM64" i="14" s="1"/>
  <c r="DN64" i="14" s="1"/>
  <c r="DI80" i="14"/>
  <c r="DJ80" i="14" s="1"/>
  <c r="DK80" i="14" s="1"/>
  <c r="DL80" i="14" s="1"/>
  <c r="DI75" i="14"/>
  <c r="DJ75" i="14" s="1"/>
  <c r="DM75" i="14" s="1"/>
  <c r="DN75" i="14" s="1"/>
  <c r="DM84" i="14"/>
  <c r="DN84" i="14" s="1"/>
  <c r="DK84" i="14"/>
  <c r="DL84" i="14" s="1"/>
  <c r="DI71" i="14"/>
  <c r="DJ71" i="14" s="1"/>
  <c r="DI65" i="14"/>
  <c r="DJ65" i="14" s="1"/>
  <c r="DI63" i="14"/>
  <c r="DJ63" i="14" s="1"/>
  <c r="DJ76" i="14"/>
  <c r="DM76" i="14" s="1"/>
  <c r="DN76" i="14" s="1"/>
  <c r="DI85" i="14"/>
  <c r="DJ85" i="14" s="1"/>
  <c r="DI81" i="14"/>
  <c r="DJ81" i="14" s="1"/>
  <c r="DI62" i="14"/>
  <c r="DJ62" i="14" s="1"/>
  <c r="DI82" i="14"/>
  <c r="DJ82" i="14" s="1"/>
  <c r="DI78" i="14"/>
  <c r="DJ78" i="14" s="1"/>
  <c r="DI77" i="14"/>
  <c r="DJ77" i="14" s="1"/>
  <c r="DM77" i="14" s="1"/>
  <c r="DN77" i="14" s="1"/>
  <c r="DM66" i="14"/>
  <c r="DN66" i="14" s="1"/>
  <c r="DO66" i="14" s="1"/>
  <c r="IP60" i="14"/>
  <c r="DK69" i="14"/>
  <c r="DL69" i="14" s="1"/>
  <c r="DM69" i="14"/>
  <c r="DN69" i="14" s="1"/>
  <c r="DK72" i="14"/>
  <c r="DL72" i="14" s="1"/>
  <c r="DM72" i="14"/>
  <c r="DN72" i="14" s="1"/>
  <c r="DK149" i="14" l="1"/>
  <c r="DL149" i="14" s="1"/>
  <c r="DO84" i="14"/>
  <c r="DP66" i="14"/>
  <c r="DQ66" i="14" s="1"/>
  <c r="DR66" i="14" s="1"/>
  <c r="DP127" i="14"/>
  <c r="DQ127" i="14" s="1"/>
  <c r="DR127" i="14" s="1"/>
  <c r="DP105" i="14"/>
  <c r="DS105" i="14" s="1"/>
  <c r="DT105" i="14" s="1"/>
  <c r="DP126" i="14"/>
  <c r="DQ126" i="14" s="1"/>
  <c r="DP92" i="14"/>
  <c r="DS92" i="14" s="1"/>
  <c r="DT92" i="14" s="1"/>
  <c r="DP113" i="14"/>
  <c r="DQ113" i="14" s="1"/>
  <c r="DR113" i="14" s="1"/>
  <c r="DK94" i="14"/>
  <c r="DL94" i="14" s="1"/>
  <c r="DO94" i="14" s="1"/>
  <c r="DK100" i="14"/>
  <c r="DL100" i="14" s="1"/>
  <c r="DO100" i="14" s="1"/>
  <c r="DO128" i="14"/>
  <c r="DM154" i="14"/>
  <c r="DN154" i="14" s="1"/>
  <c r="DO154" i="14" s="1"/>
  <c r="DK141" i="14"/>
  <c r="DL141" i="14" s="1"/>
  <c r="DO141" i="14" s="1"/>
  <c r="DK137" i="14"/>
  <c r="DL137" i="14" s="1"/>
  <c r="DM137" i="14"/>
  <c r="DN137" i="14" s="1"/>
  <c r="DO107" i="14"/>
  <c r="DM134" i="14"/>
  <c r="DN134" i="14" s="1"/>
  <c r="DO134" i="14" s="1"/>
  <c r="DK116" i="14"/>
  <c r="DL116" i="14" s="1"/>
  <c r="DM116" i="14"/>
  <c r="DN116" i="14" s="1"/>
  <c r="DM115" i="14"/>
  <c r="DN115" i="14" s="1"/>
  <c r="DO115" i="14" s="1"/>
  <c r="DO123" i="14"/>
  <c r="DK109" i="14"/>
  <c r="DL109" i="14" s="1"/>
  <c r="DO109" i="14" s="1"/>
  <c r="DM142" i="14"/>
  <c r="DN142" i="14" s="1"/>
  <c r="DO142" i="14" s="1"/>
  <c r="DK114" i="14"/>
  <c r="DL114" i="14" s="1"/>
  <c r="DO114" i="14" s="1"/>
  <c r="DM96" i="14"/>
  <c r="DN96" i="14" s="1"/>
  <c r="DO96" i="14" s="1"/>
  <c r="DM86" i="14"/>
  <c r="DN86" i="14" s="1"/>
  <c r="DO86" i="14" s="1"/>
  <c r="DM131" i="14"/>
  <c r="DN131" i="14" s="1"/>
  <c r="DO131" i="14" s="1"/>
  <c r="DK140" i="14"/>
  <c r="DL140" i="14" s="1"/>
  <c r="DO140" i="14" s="1"/>
  <c r="DI106" i="14"/>
  <c r="DJ106" i="14" s="1"/>
  <c r="DM106" i="14" s="1"/>
  <c r="DN106" i="14" s="1"/>
  <c r="DK119" i="14"/>
  <c r="DL119" i="14" s="1"/>
  <c r="DO119" i="14" s="1"/>
  <c r="DI157" i="14"/>
  <c r="DJ157" i="14" s="1"/>
  <c r="DM157" i="14" s="1"/>
  <c r="DN157" i="14" s="1"/>
  <c r="DO153" i="14"/>
  <c r="DK95" i="14"/>
  <c r="DL95" i="14" s="1"/>
  <c r="DO95" i="14" s="1"/>
  <c r="DO108" i="14"/>
  <c r="DM145" i="14"/>
  <c r="DN145" i="14" s="1"/>
  <c r="DO145" i="14" s="1"/>
  <c r="DK129" i="14"/>
  <c r="DL129" i="14" s="1"/>
  <c r="DO129" i="14" s="1"/>
  <c r="DI101" i="14"/>
  <c r="DJ101" i="14" s="1"/>
  <c r="DK101" i="14" s="1"/>
  <c r="DL101" i="14" s="1"/>
  <c r="DK152" i="14"/>
  <c r="DL152" i="14" s="1"/>
  <c r="DM152" i="14"/>
  <c r="DN152" i="14" s="1"/>
  <c r="DI90" i="14"/>
  <c r="DJ90" i="14" s="1"/>
  <c r="DK90" i="14" s="1"/>
  <c r="DL90" i="14" s="1"/>
  <c r="DM151" i="14"/>
  <c r="DN151" i="14" s="1"/>
  <c r="DO151" i="14" s="1"/>
  <c r="DM146" i="14"/>
  <c r="DN146" i="14" s="1"/>
  <c r="DO146" i="14" s="1"/>
  <c r="DI158" i="14"/>
  <c r="DJ158" i="14" s="1"/>
  <c r="DK158" i="14" s="1"/>
  <c r="DL158" i="14" s="1"/>
  <c r="DO156" i="14"/>
  <c r="DM125" i="14"/>
  <c r="DN125" i="14" s="1"/>
  <c r="DO125" i="14" s="1"/>
  <c r="DO149" i="14"/>
  <c r="DO111" i="14"/>
  <c r="DO160" i="14"/>
  <c r="DI112" i="14"/>
  <c r="DJ112" i="14" s="1"/>
  <c r="DM112" i="14" s="1"/>
  <c r="DN112" i="14" s="1"/>
  <c r="DO118" i="14"/>
  <c r="DI93" i="14"/>
  <c r="DJ93" i="14" s="1"/>
  <c r="DK93" i="14" s="1"/>
  <c r="DL93" i="14" s="1"/>
  <c r="DO130" i="14"/>
  <c r="DO122" i="14"/>
  <c r="DI88" i="14"/>
  <c r="DJ88" i="14" s="1"/>
  <c r="DM133" i="14"/>
  <c r="DN133" i="14" s="1"/>
  <c r="DK133" i="14"/>
  <c r="DL133" i="14" s="1"/>
  <c r="DI155" i="14"/>
  <c r="DJ155" i="14" s="1"/>
  <c r="DI120" i="14"/>
  <c r="DJ120" i="14" s="1"/>
  <c r="DK99" i="14"/>
  <c r="DL99" i="14" s="1"/>
  <c r="DM99" i="14"/>
  <c r="DN99" i="14" s="1"/>
  <c r="DM117" i="14"/>
  <c r="DN117" i="14" s="1"/>
  <c r="DK117" i="14"/>
  <c r="DL117" i="14" s="1"/>
  <c r="DI143" i="14"/>
  <c r="DJ143" i="14" s="1"/>
  <c r="DK87" i="14"/>
  <c r="DL87" i="14" s="1"/>
  <c r="DM87" i="14"/>
  <c r="DN87" i="14" s="1"/>
  <c r="DM97" i="14"/>
  <c r="DN97" i="14" s="1"/>
  <c r="DK97" i="14"/>
  <c r="DL97" i="14" s="1"/>
  <c r="DI150" i="14"/>
  <c r="DJ150" i="14" s="1"/>
  <c r="DK98" i="14"/>
  <c r="DL98" i="14" s="1"/>
  <c r="DM98" i="14"/>
  <c r="DN98" i="14" s="1"/>
  <c r="DK159" i="14"/>
  <c r="DL159" i="14" s="1"/>
  <c r="DM159" i="14"/>
  <c r="DN159" i="14" s="1"/>
  <c r="DM121" i="14"/>
  <c r="DN121" i="14" s="1"/>
  <c r="DK121" i="14"/>
  <c r="DL121" i="14" s="1"/>
  <c r="DK103" i="14"/>
  <c r="DL103" i="14" s="1"/>
  <c r="DM103" i="14"/>
  <c r="DN103" i="14" s="1"/>
  <c r="DM132" i="14"/>
  <c r="DN132" i="14" s="1"/>
  <c r="DK132" i="14"/>
  <c r="DL132" i="14" s="1"/>
  <c r="DM110" i="14"/>
  <c r="DN110" i="14" s="1"/>
  <c r="DK110" i="14"/>
  <c r="DL110" i="14" s="1"/>
  <c r="DI148" i="14"/>
  <c r="DJ148" i="14" s="1"/>
  <c r="DK136" i="14"/>
  <c r="DL136" i="14" s="1"/>
  <c r="DM136" i="14"/>
  <c r="DN136" i="14" s="1"/>
  <c r="DK147" i="14"/>
  <c r="DL147" i="14" s="1"/>
  <c r="DM147" i="14"/>
  <c r="DN147" i="14" s="1"/>
  <c r="DK135" i="14"/>
  <c r="DL135" i="14" s="1"/>
  <c r="DM135" i="14"/>
  <c r="DN135" i="14" s="1"/>
  <c r="DM89" i="14"/>
  <c r="DN89" i="14" s="1"/>
  <c r="DK89" i="14"/>
  <c r="DL89" i="14" s="1"/>
  <c r="DM124" i="14"/>
  <c r="DN124" i="14" s="1"/>
  <c r="DK124" i="14"/>
  <c r="DL124" i="14" s="1"/>
  <c r="DM104" i="14"/>
  <c r="DN104" i="14" s="1"/>
  <c r="DK104" i="14"/>
  <c r="DL104" i="14" s="1"/>
  <c r="DS126" i="14"/>
  <c r="DO138" i="14"/>
  <c r="DK102" i="14"/>
  <c r="DL102" i="14" s="1"/>
  <c r="DM102" i="14"/>
  <c r="DN102" i="14" s="1"/>
  <c r="DM91" i="14"/>
  <c r="DN91" i="14" s="1"/>
  <c r="DK91" i="14"/>
  <c r="DL91" i="14" s="1"/>
  <c r="DI144" i="14"/>
  <c r="DJ144" i="14" s="1"/>
  <c r="DK68" i="14"/>
  <c r="DL68" i="14" s="1"/>
  <c r="DO68" i="14" s="1"/>
  <c r="DK76" i="14"/>
  <c r="DL76" i="14" s="1"/>
  <c r="DO76" i="14" s="1"/>
  <c r="DK73" i="14"/>
  <c r="DL73" i="14" s="1"/>
  <c r="DO73" i="14" s="1"/>
  <c r="DK61" i="14"/>
  <c r="DL61" i="14" s="1"/>
  <c r="DO61" i="14" s="1"/>
  <c r="DM83" i="14"/>
  <c r="DN83" i="14" s="1"/>
  <c r="DO83" i="14" s="1"/>
  <c r="DK79" i="14"/>
  <c r="DL79" i="14" s="1"/>
  <c r="DO79" i="14" s="1"/>
  <c r="DK62" i="14"/>
  <c r="DL62" i="14" s="1"/>
  <c r="DM62" i="14"/>
  <c r="DN62" i="14" s="1"/>
  <c r="DM63" i="14"/>
  <c r="DN63" i="14" s="1"/>
  <c r="DK63" i="14"/>
  <c r="DL63" i="14" s="1"/>
  <c r="DM65" i="14"/>
  <c r="DN65" i="14" s="1"/>
  <c r="DK65" i="14"/>
  <c r="DL65" i="14" s="1"/>
  <c r="DO69" i="14"/>
  <c r="DO72" i="14"/>
  <c r="DK75" i="14"/>
  <c r="DL75" i="14" s="1"/>
  <c r="DO75" i="14" s="1"/>
  <c r="DM80" i="14"/>
  <c r="DN80" i="14" s="1"/>
  <c r="DO80" i="14" s="1"/>
  <c r="DK74" i="14"/>
  <c r="DL74" i="14" s="1"/>
  <c r="IV60" i="14"/>
  <c r="G54" i="16"/>
  <c r="V40" i="46" s="1"/>
  <c r="DK77" i="14"/>
  <c r="DL77" i="14" s="1"/>
  <c r="DK64" i="14"/>
  <c r="DL64" i="14" s="1"/>
  <c r="IH60" i="14"/>
  <c r="DM82" i="14"/>
  <c r="DN82" i="14" s="1"/>
  <c r="DK82" i="14"/>
  <c r="DL82" i="14" s="1"/>
  <c r="DM60" i="14"/>
  <c r="DN60" i="14" s="1"/>
  <c r="DK60" i="14"/>
  <c r="DL60" i="14" s="1"/>
  <c r="DK67" i="14"/>
  <c r="DL67" i="14" s="1"/>
  <c r="DM67" i="14"/>
  <c r="DN67" i="14" s="1"/>
  <c r="DK78" i="14"/>
  <c r="DL78" i="14" s="1"/>
  <c r="DM78" i="14"/>
  <c r="DN78" i="14" s="1"/>
  <c r="DM70" i="14"/>
  <c r="DN70" i="14" s="1"/>
  <c r="DK70" i="14"/>
  <c r="DL70" i="14" s="1"/>
  <c r="DK71" i="14"/>
  <c r="DL71" i="14" s="1"/>
  <c r="DM71" i="14"/>
  <c r="DN71" i="14" s="1"/>
  <c r="DK81" i="14"/>
  <c r="DL81" i="14" s="1"/>
  <c r="DM81" i="14"/>
  <c r="DN81" i="14" s="1"/>
  <c r="DK85" i="14"/>
  <c r="DL85" i="14" s="1"/>
  <c r="DM85" i="14"/>
  <c r="DN85" i="14" s="1"/>
  <c r="DQ105" i="14" l="1"/>
  <c r="DR105" i="14" s="1"/>
  <c r="DS66" i="14"/>
  <c r="DT66" i="14" s="1"/>
  <c r="DS127" i="14"/>
  <c r="DT127" i="14" s="1"/>
  <c r="DS113" i="14"/>
  <c r="DT113" i="14" s="1"/>
  <c r="DO89" i="14"/>
  <c r="DO87" i="14"/>
  <c r="DQ92" i="14"/>
  <c r="DR92" i="14" s="1"/>
  <c r="DO85" i="14"/>
  <c r="DO81" i="14"/>
  <c r="DO82" i="14"/>
  <c r="DO60" i="14"/>
  <c r="DP60" i="14" s="1"/>
  <c r="DQ60" i="14" s="1"/>
  <c r="DP118" i="14"/>
  <c r="DQ118" i="14" s="1"/>
  <c r="DR118" i="14" s="1"/>
  <c r="DP108" i="14"/>
  <c r="DS108" i="14" s="1"/>
  <c r="DT108" i="14" s="1"/>
  <c r="DP151" i="14"/>
  <c r="DS151" i="14" s="1"/>
  <c r="DT151" i="14" s="1"/>
  <c r="DP95" i="14"/>
  <c r="DS95" i="14" s="1"/>
  <c r="DT95" i="14" s="1"/>
  <c r="DP131" i="14"/>
  <c r="DQ131" i="14" s="1"/>
  <c r="DR131" i="14" s="1"/>
  <c r="DP128" i="14"/>
  <c r="DQ128" i="14" s="1"/>
  <c r="DR128" i="14" s="1"/>
  <c r="DP115" i="14"/>
  <c r="DQ115" i="14" s="1"/>
  <c r="DR115" i="14" s="1"/>
  <c r="DP160" i="14"/>
  <c r="DS160" i="14" s="1"/>
  <c r="DT160" i="14" s="1"/>
  <c r="DP153" i="14"/>
  <c r="DS153" i="14" s="1"/>
  <c r="DT153" i="14" s="1"/>
  <c r="DP86" i="14"/>
  <c r="DS86" i="14" s="1"/>
  <c r="DT86" i="14" s="1"/>
  <c r="DP100" i="14"/>
  <c r="DS100" i="14" s="1"/>
  <c r="DP140" i="14"/>
  <c r="DS140" i="14" s="1"/>
  <c r="DP83" i="14"/>
  <c r="DS83" i="14" s="1"/>
  <c r="DT83" i="14" s="1"/>
  <c r="DP80" i="14"/>
  <c r="DQ80" i="14" s="1"/>
  <c r="DP73" i="14"/>
  <c r="DQ73" i="14" s="1"/>
  <c r="DR73" i="14" s="1"/>
  <c r="DP94" i="14"/>
  <c r="DS94" i="14" s="1"/>
  <c r="DT94" i="14" s="1"/>
  <c r="DP111" i="14"/>
  <c r="DS111" i="14" s="1"/>
  <c r="DT111" i="14" s="1"/>
  <c r="DP96" i="14"/>
  <c r="DQ96" i="14" s="1"/>
  <c r="DR96" i="14" s="1"/>
  <c r="DP134" i="14"/>
  <c r="DQ134" i="14" s="1"/>
  <c r="DR134" i="14" s="1"/>
  <c r="DP79" i="14"/>
  <c r="DS79" i="14" s="1"/>
  <c r="DT79" i="14" s="1"/>
  <c r="DP146" i="14"/>
  <c r="DQ146" i="14" s="1"/>
  <c r="DR146" i="14" s="1"/>
  <c r="DP75" i="14"/>
  <c r="DS75" i="14" s="1"/>
  <c r="DT75" i="14" s="1"/>
  <c r="DP76" i="14"/>
  <c r="DQ76" i="14" s="1"/>
  <c r="DR76" i="14" s="1"/>
  <c r="DP149" i="14"/>
  <c r="DQ149" i="14" s="1"/>
  <c r="DR149" i="14" s="1"/>
  <c r="DP114" i="14"/>
  <c r="DQ114" i="14" s="1"/>
  <c r="DR114" i="14" s="1"/>
  <c r="DP107" i="14"/>
  <c r="DQ107" i="14" s="1"/>
  <c r="DR107" i="14" s="1"/>
  <c r="DP154" i="14"/>
  <c r="DS154" i="14" s="1"/>
  <c r="DT154" i="14" s="1"/>
  <c r="DP72" i="14"/>
  <c r="DS72" i="14" s="1"/>
  <c r="DT72" i="14" s="1"/>
  <c r="DP68" i="14"/>
  <c r="DS68" i="14" s="1"/>
  <c r="DT68" i="14" s="1"/>
  <c r="DP122" i="14"/>
  <c r="DQ122" i="14" s="1"/>
  <c r="DR122" i="14" s="1"/>
  <c r="DP125" i="14"/>
  <c r="DS125" i="14" s="1"/>
  <c r="DT125" i="14" s="1"/>
  <c r="DP142" i="14"/>
  <c r="DQ142" i="14" s="1"/>
  <c r="DR142" i="14" s="1"/>
  <c r="DP61" i="14"/>
  <c r="DQ61" i="14" s="1"/>
  <c r="DR61" i="14" s="1"/>
  <c r="DP69" i="14"/>
  <c r="DQ69" i="14" s="1"/>
  <c r="DR69" i="14" s="1"/>
  <c r="DP138" i="14"/>
  <c r="DS138" i="14" s="1"/>
  <c r="DT138" i="14" s="1"/>
  <c r="DP130" i="14"/>
  <c r="DQ130" i="14" s="1"/>
  <c r="DP156" i="14"/>
  <c r="DQ156" i="14" s="1"/>
  <c r="DR156" i="14" s="1"/>
  <c r="DP129" i="14"/>
  <c r="DQ129" i="14" s="1"/>
  <c r="DR129" i="14" s="1"/>
  <c r="DP119" i="14"/>
  <c r="DS119" i="14" s="1"/>
  <c r="DT119" i="14" s="1"/>
  <c r="DP109" i="14"/>
  <c r="DQ109" i="14" s="1"/>
  <c r="DR109" i="14" s="1"/>
  <c r="DP84" i="14"/>
  <c r="DS84" i="14" s="1"/>
  <c r="DT84" i="14" s="1"/>
  <c r="DP145" i="14"/>
  <c r="DQ145" i="14" s="1"/>
  <c r="DR145" i="14" s="1"/>
  <c r="DP123" i="14"/>
  <c r="DQ123" i="14" s="1"/>
  <c r="DR123" i="14" s="1"/>
  <c r="DP141" i="14"/>
  <c r="DQ141" i="14" s="1"/>
  <c r="DR141" i="14" s="1"/>
  <c r="BA46" i="15"/>
  <c r="AL44" i="38"/>
  <c r="DO137" i="14"/>
  <c r="DK112" i="14"/>
  <c r="DL112" i="14" s="1"/>
  <c r="DO112" i="14" s="1"/>
  <c r="DK157" i="14"/>
  <c r="DL157" i="14" s="1"/>
  <c r="DO157" i="14" s="1"/>
  <c r="DO116" i="14"/>
  <c r="DM101" i="14"/>
  <c r="DN101" i="14" s="1"/>
  <c r="DO101" i="14" s="1"/>
  <c r="DK106" i="14"/>
  <c r="DL106" i="14" s="1"/>
  <c r="DO106" i="14" s="1"/>
  <c r="DM158" i="14"/>
  <c r="DN158" i="14" s="1"/>
  <c r="DO158" i="14" s="1"/>
  <c r="DM93" i="14"/>
  <c r="DN93" i="14" s="1"/>
  <c r="DO93" i="14" s="1"/>
  <c r="DM90" i="14"/>
  <c r="DN90" i="14" s="1"/>
  <c r="DO90" i="14" s="1"/>
  <c r="DO102" i="14"/>
  <c r="DO135" i="14"/>
  <c r="DO121" i="14"/>
  <c r="DO152" i="14"/>
  <c r="DO103" i="14"/>
  <c r="DO97" i="14"/>
  <c r="DO117" i="14"/>
  <c r="DO91" i="14"/>
  <c r="DO98" i="14"/>
  <c r="DO159" i="14"/>
  <c r="DO124" i="14"/>
  <c r="DO99" i="14"/>
  <c r="DO133" i="14"/>
  <c r="DO104" i="14"/>
  <c r="DM143" i="14"/>
  <c r="DN143" i="14" s="1"/>
  <c r="DK143" i="14"/>
  <c r="DL143" i="14" s="1"/>
  <c r="DM144" i="14"/>
  <c r="DN144" i="14" s="1"/>
  <c r="DK144" i="14"/>
  <c r="DL144" i="14" s="1"/>
  <c r="DO136" i="14"/>
  <c r="DQ151" i="14"/>
  <c r="DR151" i="14" s="1"/>
  <c r="DK150" i="14"/>
  <c r="DL150" i="14" s="1"/>
  <c r="DM150" i="14"/>
  <c r="DN150" i="14" s="1"/>
  <c r="DK148" i="14"/>
  <c r="DL148" i="14" s="1"/>
  <c r="DM148" i="14"/>
  <c r="DN148" i="14" s="1"/>
  <c r="DM88" i="14"/>
  <c r="DN88" i="14" s="1"/>
  <c r="DK88" i="14"/>
  <c r="DL88" i="14" s="1"/>
  <c r="DO110" i="14"/>
  <c r="DO132" i="14"/>
  <c r="DS114" i="14"/>
  <c r="DT114" i="14" s="1"/>
  <c r="DT126" i="14"/>
  <c r="DK120" i="14"/>
  <c r="DL120" i="14" s="1"/>
  <c r="DM120" i="14"/>
  <c r="DN120" i="14" s="1"/>
  <c r="DR126" i="14"/>
  <c r="DO147" i="14"/>
  <c r="DM155" i="14"/>
  <c r="DN155" i="14" s="1"/>
  <c r="DK155" i="14"/>
  <c r="DL155" i="14" s="1"/>
  <c r="DO65" i="14"/>
  <c r="DO62" i="14"/>
  <c r="DO63" i="14"/>
  <c r="DO70" i="14"/>
  <c r="DO67" i="14"/>
  <c r="DO64" i="14"/>
  <c r="DO77" i="14"/>
  <c r="DO78" i="14"/>
  <c r="DO74" i="14"/>
  <c r="DO71" i="14"/>
  <c r="V40" i="1"/>
  <c r="IU60" i="14"/>
  <c r="F54" i="16"/>
  <c r="U40" i="46" s="1"/>
  <c r="DS61" i="14" l="1"/>
  <c r="DT61" i="14" s="1"/>
  <c r="DQ138" i="14"/>
  <c r="DR138" i="14" s="1"/>
  <c r="DQ140" i="14"/>
  <c r="DQ84" i="14"/>
  <c r="DR84" i="14" s="1"/>
  <c r="DS118" i="14"/>
  <c r="DT118" i="14" s="1"/>
  <c r="DQ100" i="14"/>
  <c r="DR100" i="14" s="1"/>
  <c r="DS131" i="14"/>
  <c r="DT131" i="14" s="1"/>
  <c r="DS134" i="14"/>
  <c r="DT134" i="14" s="1"/>
  <c r="DQ111" i="14"/>
  <c r="DR111" i="14" s="1"/>
  <c r="DQ79" i="14"/>
  <c r="DR79" i="14" s="1"/>
  <c r="DS128" i="14"/>
  <c r="DT128" i="14" s="1"/>
  <c r="DQ95" i="14"/>
  <c r="DR95" i="14" s="1"/>
  <c r="DS130" i="14"/>
  <c r="DT130" i="14" s="1"/>
  <c r="DQ72" i="14"/>
  <c r="DR72" i="14" s="1"/>
  <c r="DQ75" i="14"/>
  <c r="DR75" i="14" s="1"/>
  <c r="DS146" i="14"/>
  <c r="DT146" i="14" s="1"/>
  <c r="DS156" i="14"/>
  <c r="DT156" i="14" s="1"/>
  <c r="DS142" i="14"/>
  <c r="DT142" i="14" s="1"/>
  <c r="DQ154" i="14"/>
  <c r="DR154" i="14" s="1"/>
  <c r="DQ125" i="14"/>
  <c r="DR125" i="14" s="1"/>
  <c r="DS76" i="14"/>
  <c r="DT76" i="14" s="1"/>
  <c r="DS73" i="14"/>
  <c r="DT73" i="14" s="1"/>
  <c r="DS122" i="14"/>
  <c r="DT122" i="14" s="1"/>
  <c r="DQ68" i="14"/>
  <c r="DR68" i="14" s="1"/>
  <c r="DS115" i="14"/>
  <c r="DT115" i="14" s="1"/>
  <c r="DS80" i="14"/>
  <c r="DT80" i="14" s="1"/>
  <c r="DQ83" i="14"/>
  <c r="DR83" i="14" s="1"/>
  <c r="DS129" i="14"/>
  <c r="DT129" i="14" s="1"/>
  <c r="DQ160" i="14"/>
  <c r="DR160" i="14" s="1"/>
  <c r="DQ94" i="14"/>
  <c r="DR94" i="14" s="1"/>
  <c r="DO88" i="14"/>
  <c r="DQ119" i="14"/>
  <c r="DR119" i="14" s="1"/>
  <c r="DS123" i="14"/>
  <c r="DT123" i="14" s="1"/>
  <c r="DS107" i="14"/>
  <c r="DT107" i="14" s="1"/>
  <c r="DS69" i="14"/>
  <c r="DT69" i="14" s="1"/>
  <c r="DS145" i="14"/>
  <c r="DT145" i="14" s="1"/>
  <c r="DS96" i="14"/>
  <c r="DT96" i="14" s="1"/>
  <c r="DQ86" i="14"/>
  <c r="DR86" i="14" s="1"/>
  <c r="DQ108" i="14"/>
  <c r="DR108" i="14" s="1"/>
  <c r="DQ153" i="14"/>
  <c r="DR153" i="14" s="1"/>
  <c r="DS109" i="14"/>
  <c r="DT109" i="14" s="1"/>
  <c r="DS149" i="14"/>
  <c r="DT149" i="14" s="1"/>
  <c r="DP97" i="14"/>
  <c r="DQ97" i="14" s="1"/>
  <c r="DR97" i="14" s="1"/>
  <c r="DP85" i="14"/>
  <c r="DQ85" i="14" s="1"/>
  <c r="DR85" i="14" s="1"/>
  <c r="DP65" i="14"/>
  <c r="DQ65" i="14" s="1"/>
  <c r="DR65" i="14" s="1"/>
  <c r="DP87" i="14"/>
  <c r="DQ87" i="14" s="1"/>
  <c r="DR87" i="14" s="1"/>
  <c r="DP98" i="14"/>
  <c r="DQ98" i="14" s="1"/>
  <c r="DR98" i="14" s="1"/>
  <c r="DP103" i="14"/>
  <c r="DQ103" i="14" s="1"/>
  <c r="DR103" i="14" s="1"/>
  <c r="DP62" i="14"/>
  <c r="DQ62" i="14" s="1"/>
  <c r="DR62" i="14" s="1"/>
  <c r="DP104" i="14"/>
  <c r="DQ104" i="14" s="1"/>
  <c r="DR104" i="14" s="1"/>
  <c r="DP147" i="14"/>
  <c r="DQ147" i="14" s="1"/>
  <c r="DR147" i="14" s="1"/>
  <c r="DP91" i="14"/>
  <c r="DQ91" i="14" s="1"/>
  <c r="DR91" i="14" s="1"/>
  <c r="DP152" i="14"/>
  <c r="DQ152" i="14" s="1"/>
  <c r="DR152" i="14" s="1"/>
  <c r="DP90" i="14"/>
  <c r="DQ90" i="14" s="1"/>
  <c r="DR90" i="14" s="1"/>
  <c r="DP106" i="14"/>
  <c r="DQ106" i="14" s="1"/>
  <c r="DR106" i="14" s="1"/>
  <c r="DP82" i="14"/>
  <c r="DQ82" i="14" s="1"/>
  <c r="DR82" i="14" s="1"/>
  <c r="DP132" i="14"/>
  <c r="DS132" i="14" s="1"/>
  <c r="DT132" i="14" s="1"/>
  <c r="DP136" i="14"/>
  <c r="DS136" i="14" s="1"/>
  <c r="DT136" i="14" s="1"/>
  <c r="DP133" i="14"/>
  <c r="DS133" i="14" s="1"/>
  <c r="DT133" i="14" s="1"/>
  <c r="DP121" i="14"/>
  <c r="DQ121" i="14" s="1"/>
  <c r="DR121" i="14" s="1"/>
  <c r="DP101" i="14"/>
  <c r="DQ101" i="14" s="1"/>
  <c r="DR101" i="14" s="1"/>
  <c r="DP112" i="14"/>
  <c r="DQ112" i="14" s="1"/>
  <c r="DR112" i="14" s="1"/>
  <c r="DP110" i="14"/>
  <c r="DQ110" i="14" s="1"/>
  <c r="DP99" i="14"/>
  <c r="DS99" i="14" s="1"/>
  <c r="DT99" i="14" s="1"/>
  <c r="DP135" i="14"/>
  <c r="DS135" i="14" s="1"/>
  <c r="DT135" i="14" s="1"/>
  <c r="DP93" i="14"/>
  <c r="DS93" i="14" s="1"/>
  <c r="DT93" i="14" s="1"/>
  <c r="DP116" i="14"/>
  <c r="DQ116" i="14" s="1"/>
  <c r="DR116" i="14" s="1"/>
  <c r="DP67" i="14"/>
  <c r="DQ67" i="14" s="1"/>
  <c r="DR67" i="14" s="1"/>
  <c r="DP71" i="14"/>
  <c r="DS71" i="14" s="1"/>
  <c r="DT71" i="14" s="1"/>
  <c r="DP74" i="14"/>
  <c r="DQ74" i="14" s="1"/>
  <c r="DR74" i="14" s="1"/>
  <c r="DP124" i="14"/>
  <c r="DQ124" i="14" s="1"/>
  <c r="DR124" i="14" s="1"/>
  <c r="DP89" i="14"/>
  <c r="DS89" i="14" s="1"/>
  <c r="DT89" i="14" s="1"/>
  <c r="DS141" i="14"/>
  <c r="DT141" i="14" s="1"/>
  <c r="DP137" i="14"/>
  <c r="DP78" i="14"/>
  <c r="DQ78" i="14" s="1"/>
  <c r="DR78" i="14" s="1"/>
  <c r="DP81" i="14"/>
  <c r="DQ81" i="14" s="1"/>
  <c r="DP77" i="14"/>
  <c r="DS77" i="14" s="1"/>
  <c r="DT77" i="14" s="1"/>
  <c r="DP70" i="14"/>
  <c r="DS70" i="14" s="1"/>
  <c r="DT70" i="14" s="1"/>
  <c r="DP159" i="14"/>
  <c r="DQ159" i="14" s="1"/>
  <c r="DR159" i="14" s="1"/>
  <c r="DP102" i="14"/>
  <c r="DS102" i="14" s="1"/>
  <c r="DT102" i="14" s="1"/>
  <c r="DP157" i="14"/>
  <c r="DS157" i="14" s="1"/>
  <c r="DT157" i="14" s="1"/>
  <c r="DP64" i="14"/>
  <c r="DQ64" i="14" s="1"/>
  <c r="DR64" i="14" s="1"/>
  <c r="DP63" i="14"/>
  <c r="DS63" i="14" s="1"/>
  <c r="DT63" i="14" s="1"/>
  <c r="DP117" i="14"/>
  <c r="DS117" i="14" s="1"/>
  <c r="DT117" i="14" s="1"/>
  <c r="DP158" i="14"/>
  <c r="DQ158" i="14" s="1"/>
  <c r="DR158" i="14" s="1"/>
  <c r="AZ46" i="15"/>
  <c r="BB46" i="15" s="1"/>
  <c r="BE46" i="15" s="1"/>
  <c r="AK44" i="38"/>
  <c r="AY44" i="38" s="1"/>
  <c r="DO148" i="14"/>
  <c r="DO143" i="14"/>
  <c r="DO120" i="14"/>
  <c r="DO144" i="14"/>
  <c r="DR130" i="14"/>
  <c r="DO155" i="14"/>
  <c r="DO150" i="14"/>
  <c r="DR140" i="14"/>
  <c r="DT140" i="14"/>
  <c r="DT100" i="14"/>
  <c r="DS60" i="14"/>
  <c r="U40" i="1"/>
  <c r="DR80" i="14"/>
  <c r="DQ71" i="14" l="1"/>
  <c r="DR71" i="14" s="1"/>
  <c r="DS67" i="14"/>
  <c r="DT67" i="14" s="1"/>
  <c r="DS106" i="14"/>
  <c r="DT106" i="14" s="1"/>
  <c r="DS112" i="14"/>
  <c r="DT112" i="14" s="1"/>
  <c r="DS87" i="14"/>
  <c r="DT87" i="14" s="1"/>
  <c r="DS85" i="14"/>
  <c r="DT85" i="14" s="1"/>
  <c r="DS91" i="14"/>
  <c r="DT91" i="14" s="1"/>
  <c r="DS101" i="14"/>
  <c r="DT101" i="14" s="1"/>
  <c r="DS65" i="14"/>
  <c r="DT65" i="14" s="1"/>
  <c r="DS74" i="14"/>
  <c r="DT74" i="14" s="1"/>
  <c r="DQ77" i="14"/>
  <c r="DR77" i="14" s="1"/>
  <c r="DS104" i="14"/>
  <c r="DT104" i="14" s="1"/>
  <c r="DS147" i="14"/>
  <c r="DT147" i="14" s="1"/>
  <c r="DS110" i="14"/>
  <c r="DT110" i="14" s="1"/>
  <c r="DS97" i="14"/>
  <c r="DT97" i="14" s="1"/>
  <c r="DQ136" i="14"/>
  <c r="DR136" i="14" s="1"/>
  <c r="DQ99" i="14"/>
  <c r="DR99" i="14" s="1"/>
  <c r="DQ117" i="14"/>
  <c r="DR117" i="14" s="1"/>
  <c r="DS121" i="14"/>
  <c r="DT121" i="14" s="1"/>
  <c r="DQ133" i="14"/>
  <c r="DR133" i="14" s="1"/>
  <c r="DS81" i="14"/>
  <c r="DT81" i="14" s="1"/>
  <c r="DS116" i="14"/>
  <c r="DT116" i="14" s="1"/>
  <c r="DQ157" i="14"/>
  <c r="DR157" i="14" s="1"/>
  <c r="DS62" i="14"/>
  <c r="DT62" i="14" s="1"/>
  <c r="DQ132" i="14"/>
  <c r="DR132" i="14" s="1"/>
  <c r="DS158" i="14"/>
  <c r="DT158" i="14" s="1"/>
  <c r="DS124" i="14"/>
  <c r="DT124" i="14" s="1"/>
  <c r="DS90" i="14"/>
  <c r="DT90" i="14" s="1"/>
  <c r="DS98" i="14"/>
  <c r="DT98" i="14" s="1"/>
  <c r="DQ93" i="14"/>
  <c r="DR93" i="14" s="1"/>
  <c r="DQ102" i="14"/>
  <c r="DR102" i="14" s="1"/>
  <c r="DV101" i="14" s="1"/>
  <c r="Y85" i="38" s="1"/>
  <c r="DS103" i="14"/>
  <c r="DT103" i="14" s="1"/>
  <c r="DQ89" i="14"/>
  <c r="DR89" i="14" s="1"/>
  <c r="DR81" i="14"/>
  <c r="DS82" i="14"/>
  <c r="DT82" i="14" s="1"/>
  <c r="DS64" i="14"/>
  <c r="DT64" i="14" s="1"/>
  <c r="DQ70" i="14"/>
  <c r="DR70" i="14" s="1"/>
  <c r="DS152" i="14"/>
  <c r="DT152" i="14" s="1"/>
  <c r="DP150" i="14"/>
  <c r="DS150" i="14" s="1"/>
  <c r="DP143" i="14"/>
  <c r="DS143" i="14" s="1"/>
  <c r="DT143" i="14" s="1"/>
  <c r="DQ137" i="14"/>
  <c r="DR137" i="14" s="1"/>
  <c r="DS137" i="14"/>
  <c r="DT137" i="14" s="1"/>
  <c r="DX136" i="14" s="1"/>
  <c r="DS78" i="14"/>
  <c r="DT78" i="14" s="1"/>
  <c r="DP155" i="14"/>
  <c r="DQ155" i="14" s="1"/>
  <c r="DR155" i="14" s="1"/>
  <c r="DP88" i="14"/>
  <c r="DS88" i="14" s="1"/>
  <c r="DT88" i="14" s="1"/>
  <c r="DQ63" i="14"/>
  <c r="DR63" i="14" s="1"/>
  <c r="DP148" i="14"/>
  <c r="DS148" i="14" s="1"/>
  <c r="DT148" i="14" s="1"/>
  <c r="DP120" i="14"/>
  <c r="DS120" i="14" s="1"/>
  <c r="DS159" i="14"/>
  <c r="DT159" i="14" s="1"/>
  <c r="DQ135" i="14"/>
  <c r="DR135" i="14" s="1"/>
  <c r="DP144" i="14"/>
  <c r="DQ144" i="14" s="1"/>
  <c r="DR144" i="14" s="1"/>
  <c r="O27" i="15"/>
  <c r="W20" i="46" s="1"/>
  <c r="DR110" i="14"/>
  <c r="DR60" i="14"/>
  <c r="DT60" i="14"/>
  <c r="DU61" i="14" l="1"/>
  <c r="W20" i="1"/>
  <c r="DX70" i="14"/>
  <c r="AA54" i="38" s="1"/>
  <c r="DV71" i="14"/>
  <c r="Y55" i="38" s="1"/>
  <c r="DX92" i="14"/>
  <c r="AA76" i="38" s="1"/>
  <c r="DW99" i="14"/>
  <c r="AH85" i="15" s="1"/>
  <c r="AT85" i="15" s="1"/>
  <c r="DU76" i="14"/>
  <c r="AF62" i="15" s="1"/>
  <c r="AS62" i="15" s="1"/>
  <c r="DU74" i="14"/>
  <c r="AF60" i="15" s="1"/>
  <c r="AS60" i="15" s="1"/>
  <c r="DX107" i="14"/>
  <c r="AI93" i="15" s="1"/>
  <c r="BM91" i="38" s="1"/>
  <c r="BQ91" i="38" s="1"/>
  <c r="DX93" i="14"/>
  <c r="AI79" i="15" s="1"/>
  <c r="BM77" i="38" s="1"/>
  <c r="BQ77" i="38" s="1"/>
  <c r="DU75" i="14"/>
  <c r="X59" i="38" s="1"/>
  <c r="DU78" i="14"/>
  <c r="AF64" i="15" s="1"/>
  <c r="AS64" i="15" s="1"/>
  <c r="DW95" i="14"/>
  <c r="Z79" i="38" s="1"/>
  <c r="DU73" i="14"/>
  <c r="AF59" i="15" s="1"/>
  <c r="AS59" i="15" s="1"/>
  <c r="DW94" i="14"/>
  <c r="AH80" i="15" s="1"/>
  <c r="AT80" i="15" s="1"/>
  <c r="DW113" i="14"/>
  <c r="AH99" i="15" s="1"/>
  <c r="AT99" i="15" s="1"/>
  <c r="DX94" i="14"/>
  <c r="AI80" i="15" s="1"/>
  <c r="BM78" i="38" s="1"/>
  <c r="BQ78" i="38" s="1"/>
  <c r="DV100" i="14"/>
  <c r="Y84" i="38" s="1"/>
  <c r="DV103" i="14"/>
  <c r="Y87" i="38" s="1"/>
  <c r="DV104" i="14"/>
  <c r="Y88" i="38" s="1"/>
  <c r="DU71" i="14"/>
  <c r="AF57" i="15" s="1"/>
  <c r="AS57" i="15" s="1"/>
  <c r="DU77" i="14"/>
  <c r="AF63" i="15" s="1"/>
  <c r="AS63" i="15" s="1"/>
  <c r="DX109" i="14"/>
  <c r="AI95" i="15" s="1"/>
  <c r="BM93" i="38" s="1"/>
  <c r="BQ93" i="38" s="1"/>
  <c r="DV106" i="14"/>
  <c r="Y90" i="38" s="1"/>
  <c r="DU106" i="14"/>
  <c r="AF92" i="15" s="1"/>
  <c r="AS92" i="15" s="1"/>
  <c r="DV102" i="14"/>
  <c r="Y86" i="38" s="1"/>
  <c r="DV108" i="14"/>
  <c r="Y92" i="38" s="1"/>
  <c r="DU72" i="14"/>
  <c r="AF58" i="15" s="1"/>
  <c r="AS58" i="15" s="1"/>
  <c r="DV109" i="14"/>
  <c r="Y93" i="38" s="1"/>
  <c r="DU114" i="14"/>
  <c r="AF100" i="15" s="1"/>
  <c r="AS100" i="15" s="1"/>
  <c r="DU116" i="14"/>
  <c r="AF102" i="15" s="1"/>
  <c r="AS102" i="15" s="1"/>
  <c r="DU109" i="14"/>
  <c r="AF95" i="15" s="1"/>
  <c r="AS95" i="15" s="1"/>
  <c r="DX134" i="14"/>
  <c r="AA118" i="38" s="1"/>
  <c r="DU112" i="14"/>
  <c r="AF98" i="15" s="1"/>
  <c r="AS98" i="15" s="1"/>
  <c r="DV107" i="14"/>
  <c r="Y91" i="38" s="1"/>
  <c r="DX98" i="14"/>
  <c r="AI84" i="15" s="1"/>
  <c r="BM82" i="38" s="1"/>
  <c r="BQ82" i="38" s="1"/>
  <c r="DU119" i="14"/>
  <c r="X103" i="38" s="1"/>
  <c r="DU118" i="14"/>
  <c r="AF104" i="15" s="1"/>
  <c r="AS104" i="15" s="1"/>
  <c r="DU110" i="14"/>
  <c r="AF96" i="15" s="1"/>
  <c r="AS96" i="15" s="1"/>
  <c r="DV105" i="14"/>
  <c r="Y89" i="38" s="1"/>
  <c r="DX96" i="14"/>
  <c r="AI82" i="15" s="1"/>
  <c r="BM80" i="38" s="1"/>
  <c r="BQ80" i="38" s="1"/>
  <c r="DW75" i="14"/>
  <c r="AH61" i="15" s="1"/>
  <c r="AT61" i="15" s="1"/>
  <c r="DW126" i="14"/>
  <c r="AH112" i="15" s="1"/>
  <c r="AT112" i="15" s="1"/>
  <c r="DW131" i="14"/>
  <c r="AH117" i="15" s="1"/>
  <c r="AT117" i="15" s="1"/>
  <c r="DX75" i="14"/>
  <c r="AI61" i="15" s="1"/>
  <c r="BM59" i="38" s="1"/>
  <c r="BQ59" i="38" s="1"/>
  <c r="DW72" i="14"/>
  <c r="AH58" i="15" s="1"/>
  <c r="AT58" i="15" s="1"/>
  <c r="DX106" i="14"/>
  <c r="AI92" i="15" s="1"/>
  <c r="BM90" i="38" s="1"/>
  <c r="BQ90" i="38" s="1"/>
  <c r="DX103" i="14"/>
  <c r="DU111" i="14"/>
  <c r="X95" i="38" s="1"/>
  <c r="DX132" i="14"/>
  <c r="AI118" i="15" s="1"/>
  <c r="BM116" i="38" s="1"/>
  <c r="BQ116" i="38" s="1"/>
  <c r="DW77" i="14"/>
  <c r="AH63" i="15" s="1"/>
  <c r="AT63" i="15" s="1"/>
  <c r="DU115" i="14"/>
  <c r="AF101" i="15" s="1"/>
  <c r="AS101" i="15" s="1"/>
  <c r="DX133" i="14"/>
  <c r="DW136" i="14"/>
  <c r="AH122" i="15" s="1"/>
  <c r="AT122" i="15" s="1"/>
  <c r="DW84" i="14"/>
  <c r="AH70" i="15" s="1"/>
  <c r="AT70" i="15" s="1"/>
  <c r="DX74" i="14"/>
  <c r="AI60" i="15" s="1"/>
  <c r="BM58" i="38" s="1"/>
  <c r="BQ58" i="38" s="1"/>
  <c r="DX135" i="14"/>
  <c r="AI121" i="15" s="1"/>
  <c r="BM119" i="38" s="1"/>
  <c r="BQ119" i="38" s="1"/>
  <c r="DW78" i="14"/>
  <c r="AH64" i="15" s="1"/>
  <c r="AT64" i="15" s="1"/>
  <c r="DW86" i="14"/>
  <c r="Z70" i="38" s="1"/>
  <c r="DX137" i="14"/>
  <c r="AI123" i="15" s="1"/>
  <c r="BM121" i="38" s="1"/>
  <c r="BQ121" i="38" s="1"/>
  <c r="DX76" i="14"/>
  <c r="AI62" i="15" s="1"/>
  <c r="BM60" i="38" s="1"/>
  <c r="BQ60" i="38" s="1"/>
  <c r="DW70" i="14"/>
  <c r="AH56" i="15" s="1"/>
  <c r="AT56" i="15" s="1"/>
  <c r="DW104" i="14"/>
  <c r="AH90" i="15" s="1"/>
  <c r="AT90" i="15" s="1"/>
  <c r="DX77" i="14"/>
  <c r="AI63" i="15" s="1"/>
  <c r="BM61" i="38" s="1"/>
  <c r="BQ61" i="38" s="1"/>
  <c r="DW76" i="14"/>
  <c r="AH62" i="15" s="1"/>
  <c r="AT62" i="15" s="1"/>
  <c r="DU113" i="14"/>
  <c r="AF99" i="15" s="1"/>
  <c r="AS99" i="15" s="1"/>
  <c r="DW83" i="14"/>
  <c r="AH69" i="15" s="1"/>
  <c r="AT69" i="15" s="1"/>
  <c r="DX78" i="14"/>
  <c r="AI64" i="15" s="1"/>
  <c r="BM62" i="38" s="1"/>
  <c r="BQ62" i="38" s="1"/>
  <c r="DW79" i="14"/>
  <c r="Z63" i="38" s="1"/>
  <c r="DX71" i="14"/>
  <c r="DW73" i="14"/>
  <c r="AH59" i="15" s="1"/>
  <c r="AT59" i="15" s="1"/>
  <c r="DX79" i="14"/>
  <c r="AI65" i="15" s="1"/>
  <c r="BM63" i="38" s="1"/>
  <c r="BQ63" i="38" s="1"/>
  <c r="DW74" i="14"/>
  <c r="AH60" i="15" s="1"/>
  <c r="AT60" i="15" s="1"/>
  <c r="DX73" i="14"/>
  <c r="AI59" i="15" s="1"/>
  <c r="BM57" i="38" s="1"/>
  <c r="BQ57" i="38" s="1"/>
  <c r="DX72" i="14"/>
  <c r="AI58" i="15" s="1"/>
  <c r="BM56" i="38" s="1"/>
  <c r="BQ56" i="38" s="1"/>
  <c r="DW88" i="14"/>
  <c r="AH74" i="15" s="1"/>
  <c r="AT74" i="15" s="1"/>
  <c r="DU117" i="14"/>
  <c r="AF103" i="15" s="1"/>
  <c r="AS103" i="15" s="1"/>
  <c r="DW108" i="14"/>
  <c r="Z92" i="38" s="1"/>
  <c r="DW92" i="14"/>
  <c r="AH78" i="15" s="1"/>
  <c r="AT78" i="15" s="1"/>
  <c r="DW137" i="14"/>
  <c r="AH123" i="15" s="1"/>
  <c r="AT123" i="15" s="1"/>
  <c r="DW135" i="14"/>
  <c r="AH121" i="15" s="1"/>
  <c r="AT121" i="15" s="1"/>
  <c r="DW124" i="14"/>
  <c r="AH110" i="15" s="1"/>
  <c r="AT110" i="15" s="1"/>
  <c r="DX130" i="14"/>
  <c r="AA114" i="38" s="1"/>
  <c r="DV92" i="14"/>
  <c r="Y76" i="38" s="1"/>
  <c r="DW71" i="14"/>
  <c r="AH57" i="15" s="1"/>
  <c r="AT57" i="15" s="1"/>
  <c r="DX131" i="14"/>
  <c r="AA115" i="38" s="1"/>
  <c r="DX138" i="14"/>
  <c r="AI124" i="15" s="1"/>
  <c r="BM122" i="38" s="1"/>
  <c r="BQ122" i="38" s="1"/>
  <c r="DW109" i="14"/>
  <c r="F45" i="16" s="1"/>
  <c r="G45" i="16" s="1"/>
  <c r="H45" i="16" s="1"/>
  <c r="DX139" i="14"/>
  <c r="AI125" i="15" s="1"/>
  <c r="BM123" i="38" s="1"/>
  <c r="BQ123" i="38" s="1"/>
  <c r="DS144" i="14"/>
  <c r="DW140" i="14" s="1"/>
  <c r="DW107" i="14"/>
  <c r="AH93" i="15" s="1"/>
  <c r="AT93" i="15" s="1"/>
  <c r="DX95" i="14"/>
  <c r="AI81" i="15" s="1"/>
  <c r="BM79" i="38" s="1"/>
  <c r="BQ79" i="38" s="1"/>
  <c r="DV94" i="14"/>
  <c r="Y78" i="38" s="1"/>
  <c r="DW111" i="14"/>
  <c r="AH97" i="15" s="1"/>
  <c r="AT97" i="15" s="1"/>
  <c r="DW119" i="14"/>
  <c r="Z103" i="38" s="1"/>
  <c r="DX99" i="14"/>
  <c r="AI85" i="15" s="1"/>
  <c r="BM83" i="38" s="1"/>
  <c r="BQ83" i="38" s="1"/>
  <c r="DW90" i="14"/>
  <c r="AH76" i="15" s="1"/>
  <c r="AT76" i="15" s="1"/>
  <c r="DW97" i="14"/>
  <c r="AH83" i="15" s="1"/>
  <c r="AT83" i="15" s="1"/>
  <c r="DU65" i="14"/>
  <c r="AF51" i="15" s="1"/>
  <c r="AS51" i="15" s="1"/>
  <c r="DU64" i="14"/>
  <c r="AF50" i="15" s="1"/>
  <c r="AS50" i="15" s="1"/>
  <c r="DW110" i="14"/>
  <c r="AH96" i="15" s="1"/>
  <c r="AT96" i="15" s="1"/>
  <c r="DX90" i="14"/>
  <c r="DW96" i="14"/>
  <c r="AH82" i="15" s="1"/>
  <c r="AT82" i="15" s="1"/>
  <c r="DU91" i="14"/>
  <c r="X75" i="38" s="1"/>
  <c r="DU68" i="14"/>
  <c r="AF54" i="15" s="1"/>
  <c r="AS54" i="15" s="1"/>
  <c r="DW114" i="14"/>
  <c r="AH100" i="15" s="1"/>
  <c r="AT100" i="15" s="1"/>
  <c r="DU67" i="14"/>
  <c r="AF53" i="15" s="1"/>
  <c r="AS53" i="15" s="1"/>
  <c r="DU63" i="14"/>
  <c r="AF49" i="15" s="1"/>
  <c r="AS49" i="15" s="1"/>
  <c r="DW118" i="14"/>
  <c r="AH104" i="15" s="1"/>
  <c r="AT104" i="15" s="1"/>
  <c r="DW116" i="14"/>
  <c r="AH102" i="15" s="1"/>
  <c r="AT102" i="15" s="1"/>
  <c r="DX97" i="14"/>
  <c r="DW98" i="14"/>
  <c r="AH84" i="15" s="1"/>
  <c r="AT84" i="15" s="1"/>
  <c r="DU66" i="14"/>
  <c r="AF52" i="15" s="1"/>
  <c r="AS52" i="15" s="1"/>
  <c r="DU62" i="14"/>
  <c r="AF48" i="15" s="1"/>
  <c r="AS48" i="15" s="1"/>
  <c r="DW117" i="14"/>
  <c r="AH103" i="15" s="1"/>
  <c r="AT103" i="15" s="1"/>
  <c r="DW115" i="14"/>
  <c r="AH101" i="15" s="1"/>
  <c r="AT101" i="15" s="1"/>
  <c r="DX91" i="14"/>
  <c r="AI77" i="15" s="1"/>
  <c r="BM75" i="38" s="1"/>
  <c r="BQ75" i="38" s="1"/>
  <c r="DW93" i="14"/>
  <c r="AH79" i="15" s="1"/>
  <c r="AT79" i="15" s="1"/>
  <c r="DW120" i="14"/>
  <c r="AH106" i="15" s="1"/>
  <c r="AT106" i="15" s="1"/>
  <c r="DU69" i="14"/>
  <c r="X53" i="38" s="1"/>
  <c r="DW85" i="14"/>
  <c r="AH71" i="15" s="1"/>
  <c r="AT71" i="15" s="1"/>
  <c r="DW112" i="14"/>
  <c r="AH98" i="15" s="1"/>
  <c r="AT98" i="15" s="1"/>
  <c r="DW91" i="14"/>
  <c r="AH77" i="15" s="1"/>
  <c r="AT77" i="15" s="1"/>
  <c r="DW139" i="14"/>
  <c r="F48" i="16" s="1"/>
  <c r="G48" i="16" s="1"/>
  <c r="H48" i="16" s="1"/>
  <c r="DX89" i="14"/>
  <c r="AI75" i="15" s="1"/>
  <c r="BM73" i="38" s="1"/>
  <c r="BQ73" i="38" s="1"/>
  <c r="DX81" i="14"/>
  <c r="AI67" i="15" s="1"/>
  <c r="BM65" i="38" s="1"/>
  <c r="BQ65" i="38" s="1"/>
  <c r="DX80" i="14"/>
  <c r="AI66" i="15" s="1"/>
  <c r="BM64" i="38" s="1"/>
  <c r="BQ64" i="38" s="1"/>
  <c r="DX84" i="14"/>
  <c r="AA68" i="38" s="1"/>
  <c r="DX88" i="14"/>
  <c r="AA72" i="38" s="1"/>
  <c r="DX82" i="14"/>
  <c r="AI68" i="15" s="1"/>
  <c r="BM66" i="38" s="1"/>
  <c r="BQ66" i="38" s="1"/>
  <c r="DX86" i="14"/>
  <c r="AI72" i="15" s="1"/>
  <c r="BM70" i="38" s="1"/>
  <c r="BQ70" i="38" s="1"/>
  <c r="DW121" i="14"/>
  <c r="AH107" i="15" s="1"/>
  <c r="AT107" i="15" s="1"/>
  <c r="DX102" i="14"/>
  <c r="DW123" i="14"/>
  <c r="AH109" i="15" s="1"/>
  <c r="AT109" i="15" s="1"/>
  <c r="DT120" i="14"/>
  <c r="DX124" i="14" s="1"/>
  <c r="DW100" i="14"/>
  <c r="Z84" i="38" s="1"/>
  <c r="DQ150" i="14"/>
  <c r="DU158" i="14" s="1"/>
  <c r="DX101" i="14"/>
  <c r="EC101" i="14" s="1"/>
  <c r="ED101" i="14" s="1"/>
  <c r="DW128" i="14"/>
  <c r="AH114" i="15" s="1"/>
  <c r="AT114" i="15" s="1"/>
  <c r="DQ120" i="14"/>
  <c r="DU120" i="14" s="1"/>
  <c r="AF106" i="15" s="1"/>
  <c r="AS106" i="15" s="1"/>
  <c r="DW105" i="14"/>
  <c r="AH91" i="15" s="1"/>
  <c r="AT91" i="15" s="1"/>
  <c r="DW61" i="14"/>
  <c r="AH47" i="15" s="1"/>
  <c r="AT47" i="15" s="1"/>
  <c r="DX105" i="14"/>
  <c r="AI91" i="15" s="1"/>
  <c r="BM89" i="38" s="1"/>
  <c r="BQ89" i="38" s="1"/>
  <c r="DW127" i="14"/>
  <c r="AH113" i="15" s="1"/>
  <c r="AT113" i="15" s="1"/>
  <c r="DQ143" i="14"/>
  <c r="DW102" i="14"/>
  <c r="AH88" i="15" s="1"/>
  <c r="AT88" i="15" s="1"/>
  <c r="DX108" i="14"/>
  <c r="EC108" i="14" s="1"/>
  <c r="ED108" i="14" s="1"/>
  <c r="DW122" i="14"/>
  <c r="AH108" i="15" s="1"/>
  <c r="AT108" i="15" s="1"/>
  <c r="DQ88" i="14"/>
  <c r="DR88" i="14" s="1"/>
  <c r="DV82" i="14" s="1"/>
  <c r="Y66" i="38" s="1"/>
  <c r="DW101" i="14"/>
  <c r="AH87" i="15" s="1"/>
  <c r="AT87" i="15" s="1"/>
  <c r="DW106" i="14"/>
  <c r="AH92" i="15" s="1"/>
  <c r="AT92" i="15" s="1"/>
  <c r="DW129" i="14"/>
  <c r="Z113" i="38" s="1"/>
  <c r="DW62" i="14"/>
  <c r="AH48" i="15" s="1"/>
  <c r="AT48" i="15" s="1"/>
  <c r="DX104" i="14"/>
  <c r="AI90" i="15" s="1"/>
  <c r="BM88" i="38" s="1"/>
  <c r="BQ88" i="38" s="1"/>
  <c r="DW125" i="14"/>
  <c r="AH111" i="15" s="1"/>
  <c r="AT111" i="15" s="1"/>
  <c r="DX100" i="14"/>
  <c r="AI86" i="15" s="1"/>
  <c r="BM84" i="38" s="1"/>
  <c r="BQ84" i="38" s="1"/>
  <c r="DW103" i="14"/>
  <c r="Z87" i="38" s="1"/>
  <c r="DU105" i="14"/>
  <c r="AF91" i="15" s="1"/>
  <c r="AS91" i="15" s="1"/>
  <c r="DU108" i="14"/>
  <c r="AF94" i="15" s="1"/>
  <c r="AS94" i="15" s="1"/>
  <c r="DU103" i="14"/>
  <c r="AF89" i="15" s="1"/>
  <c r="AS89" i="15" s="1"/>
  <c r="DU107" i="14"/>
  <c r="AF93" i="15" s="1"/>
  <c r="AS93" i="15" s="1"/>
  <c r="DU100" i="14"/>
  <c r="X84" i="38" s="1"/>
  <c r="DU102" i="14"/>
  <c r="AF88" i="15" s="1"/>
  <c r="AS88" i="15" s="1"/>
  <c r="DU101" i="14"/>
  <c r="X85" i="38" s="1"/>
  <c r="DU104" i="14"/>
  <c r="AF90" i="15" s="1"/>
  <c r="AS90" i="15" s="1"/>
  <c r="DW64" i="14"/>
  <c r="AH50" i="15" s="1"/>
  <c r="AT50" i="15" s="1"/>
  <c r="DW69" i="14"/>
  <c r="Z53" i="38" s="1"/>
  <c r="DV90" i="14"/>
  <c r="Y74" i="38" s="1"/>
  <c r="DU93" i="14"/>
  <c r="AF79" i="15" s="1"/>
  <c r="AS79" i="15" s="1"/>
  <c r="DW63" i="14"/>
  <c r="AH49" i="15" s="1"/>
  <c r="AT49" i="15" s="1"/>
  <c r="DV95" i="14"/>
  <c r="Y79" i="38" s="1"/>
  <c r="DU92" i="14"/>
  <c r="AF78" i="15" s="1"/>
  <c r="AS78" i="15" s="1"/>
  <c r="DU85" i="14"/>
  <c r="DW65" i="14"/>
  <c r="AH51" i="15" s="1"/>
  <c r="AT51" i="15" s="1"/>
  <c r="DU96" i="14"/>
  <c r="X80" i="38" s="1"/>
  <c r="DU98" i="14"/>
  <c r="AF84" i="15" s="1"/>
  <c r="AS84" i="15" s="1"/>
  <c r="DV137" i="14"/>
  <c r="Y121" i="38" s="1"/>
  <c r="DW66" i="14"/>
  <c r="AH52" i="15" s="1"/>
  <c r="AT52" i="15" s="1"/>
  <c r="DV99" i="14"/>
  <c r="Y83" i="38" s="1"/>
  <c r="DV96" i="14"/>
  <c r="Y80" i="38" s="1"/>
  <c r="DU94" i="14"/>
  <c r="AF80" i="15" s="1"/>
  <c r="AS80" i="15" s="1"/>
  <c r="DU95" i="14"/>
  <c r="AF81" i="15" s="1"/>
  <c r="AS81" i="15" s="1"/>
  <c r="DW134" i="14"/>
  <c r="Z118" i="38" s="1"/>
  <c r="DV91" i="14"/>
  <c r="Y75" i="38" s="1"/>
  <c r="DW67" i="14"/>
  <c r="AH53" i="15" s="1"/>
  <c r="AT53" i="15" s="1"/>
  <c r="DV97" i="14"/>
  <c r="Y81" i="38" s="1"/>
  <c r="DV98" i="14"/>
  <c r="Y82" i="38" s="1"/>
  <c r="DU97" i="14"/>
  <c r="AF83" i="15" s="1"/>
  <c r="AS83" i="15" s="1"/>
  <c r="DU99" i="14"/>
  <c r="AF85" i="15" s="1"/>
  <c r="AS85" i="15" s="1"/>
  <c r="DU90" i="14"/>
  <c r="AF76" i="15" s="1"/>
  <c r="AS76" i="15" s="1"/>
  <c r="DW132" i="14"/>
  <c r="AH118" i="15" s="1"/>
  <c r="AT118" i="15" s="1"/>
  <c r="DW60" i="14"/>
  <c r="AH46" i="15" s="1"/>
  <c r="AT46" i="15" s="1"/>
  <c r="DV93" i="14"/>
  <c r="Y77" i="38" s="1"/>
  <c r="DW133" i="14"/>
  <c r="AH119" i="15" s="1"/>
  <c r="AT119" i="15" s="1"/>
  <c r="DW130" i="14"/>
  <c r="AH116" i="15" s="1"/>
  <c r="AT116" i="15" s="1"/>
  <c r="DW138" i="14"/>
  <c r="AH124" i="15" s="1"/>
  <c r="AT124" i="15" s="1"/>
  <c r="DW68" i="14"/>
  <c r="AH54" i="15" s="1"/>
  <c r="AT54" i="15" s="1"/>
  <c r="DV130" i="14"/>
  <c r="Y114" i="38" s="1"/>
  <c r="DU79" i="14"/>
  <c r="X63" i="38" s="1"/>
  <c r="DU70" i="14"/>
  <c r="DX87" i="14"/>
  <c r="AI73" i="15" s="1"/>
  <c r="BM71" i="38" s="1"/>
  <c r="BQ71" i="38" s="1"/>
  <c r="DU60" i="14"/>
  <c r="AF46" i="15" s="1"/>
  <c r="AS46" i="15" s="1"/>
  <c r="DX83" i="14"/>
  <c r="AA67" i="38" s="1"/>
  <c r="DX85" i="14"/>
  <c r="AA69" i="38" s="1"/>
  <c r="DW87" i="14"/>
  <c r="AH73" i="15" s="1"/>
  <c r="AT73" i="15" s="1"/>
  <c r="DW82" i="14"/>
  <c r="AH68" i="15" s="1"/>
  <c r="AT68" i="15" s="1"/>
  <c r="DW80" i="14"/>
  <c r="AH66" i="15" s="1"/>
  <c r="AT66" i="15" s="1"/>
  <c r="DW89" i="14"/>
  <c r="Z73" i="38" s="1"/>
  <c r="DW81" i="14"/>
  <c r="AH67" i="15" s="1"/>
  <c r="AT67" i="15" s="1"/>
  <c r="DV138" i="14"/>
  <c r="Y122" i="38" s="1"/>
  <c r="DV139" i="14"/>
  <c r="Y123" i="38" s="1"/>
  <c r="DQ148" i="14"/>
  <c r="DR148" i="14" s="1"/>
  <c r="DU135" i="14"/>
  <c r="AF121" i="15" s="1"/>
  <c r="AS121" i="15" s="1"/>
  <c r="DV133" i="14"/>
  <c r="Y117" i="38" s="1"/>
  <c r="DV136" i="14"/>
  <c r="Y120" i="38" s="1"/>
  <c r="DU132" i="14"/>
  <c r="X116" i="38" s="1"/>
  <c r="DU130" i="14"/>
  <c r="AF116" i="15" s="1"/>
  <c r="AS116" i="15" s="1"/>
  <c r="DV134" i="14"/>
  <c r="Y118" i="38" s="1"/>
  <c r="DU134" i="14"/>
  <c r="AF120" i="15" s="1"/>
  <c r="AS120" i="15" s="1"/>
  <c r="DU137" i="14"/>
  <c r="AF123" i="15" s="1"/>
  <c r="AS123" i="15" s="1"/>
  <c r="DV131" i="14"/>
  <c r="Y115" i="38" s="1"/>
  <c r="DU139" i="14"/>
  <c r="AF125" i="15" s="1"/>
  <c r="AS125" i="15" s="1"/>
  <c r="DV135" i="14"/>
  <c r="Y119" i="38" s="1"/>
  <c r="DU136" i="14"/>
  <c r="AF122" i="15" s="1"/>
  <c r="AS122" i="15" s="1"/>
  <c r="DV132" i="14"/>
  <c r="Y116" i="38" s="1"/>
  <c r="DU138" i="14"/>
  <c r="X122" i="38" s="1"/>
  <c r="DU133" i="14"/>
  <c r="X117" i="38" s="1"/>
  <c r="DU131" i="14"/>
  <c r="AF117" i="15" s="1"/>
  <c r="AS117" i="15" s="1"/>
  <c r="DS155" i="14"/>
  <c r="DT155" i="14" s="1"/>
  <c r="AF47" i="15"/>
  <c r="AS47" i="15" s="1"/>
  <c r="X45" i="38"/>
  <c r="Z97" i="38"/>
  <c r="AI122" i="15"/>
  <c r="BM120" i="38" s="1"/>
  <c r="BQ120" i="38" s="1"/>
  <c r="AA120" i="38"/>
  <c r="DV78" i="14"/>
  <c r="Y62" i="38" s="1"/>
  <c r="DV79" i="14"/>
  <c r="Y63" i="38" s="1"/>
  <c r="DV72" i="14"/>
  <c r="AG58" i="15" s="1"/>
  <c r="BL56" i="38" s="1"/>
  <c r="BP56" i="38" s="1"/>
  <c r="DV75" i="14"/>
  <c r="DV73" i="14"/>
  <c r="DV76" i="14"/>
  <c r="Y60" i="38" s="1"/>
  <c r="DV74" i="14"/>
  <c r="DV77" i="14"/>
  <c r="DV70" i="14"/>
  <c r="AG87" i="15"/>
  <c r="BL85" i="38" s="1"/>
  <c r="BP85" i="38" s="1"/>
  <c r="DT150" i="14"/>
  <c r="DX116" i="14"/>
  <c r="DX111" i="14"/>
  <c r="DX115" i="14"/>
  <c r="DX118" i="14"/>
  <c r="DX117" i="14"/>
  <c r="DX112" i="14"/>
  <c r="DX113" i="14"/>
  <c r="DX110" i="14"/>
  <c r="DX119" i="14"/>
  <c r="DX114" i="14"/>
  <c r="DV119" i="14"/>
  <c r="Y103" i="38" s="1"/>
  <c r="DV111" i="14"/>
  <c r="Y95" i="38" s="1"/>
  <c r="DV118" i="14"/>
  <c r="Y102" i="38" s="1"/>
  <c r="DV110" i="14"/>
  <c r="Y94" i="38" s="1"/>
  <c r="DV116" i="14"/>
  <c r="Y100" i="38" s="1"/>
  <c r="DV114" i="14"/>
  <c r="Y98" i="38" s="1"/>
  <c r="DV117" i="14"/>
  <c r="Y101" i="38" s="1"/>
  <c r="DV113" i="14"/>
  <c r="Y97" i="38" s="1"/>
  <c r="DV115" i="14"/>
  <c r="Y99" i="38" s="1"/>
  <c r="DV112" i="14"/>
  <c r="Y96" i="38" s="1"/>
  <c r="DV66" i="14"/>
  <c r="Y50" i="38" s="1"/>
  <c r="DV65" i="14"/>
  <c r="Y49" i="38" s="1"/>
  <c r="DV68" i="14"/>
  <c r="Y52" i="38" s="1"/>
  <c r="DV64" i="14"/>
  <c r="Y48" i="38" s="1"/>
  <c r="DV63" i="14"/>
  <c r="Y47" i="38" s="1"/>
  <c r="DV62" i="14"/>
  <c r="Y46" i="38" s="1"/>
  <c r="DV60" i="14"/>
  <c r="DV69" i="14"/>
  <c r="Y53" i="38" s="1"/>
  <c r="DV61" i="14"/>
  <c r="Y45" i="38" s="1"/>
  <c r="DV67" i="14"/>
  <c r="Y51" i="38" s="1"/>
  <c r="DX64" i="14"/>
  <c r="DX66" i="14"/>
  <c r="DX63" i="14"/>
  <c r="DX62" i="14"/>
  <c r="DX69" i="14"/>
  <c r="DX61" i="14"/>
  <c r="DX68" i="14"/>
  <c r="DX60" i="14"/>
  <c r="DX67" i="14"/>
  <c r="DX65" i="14"/>
  <c r="AI56" i="15" l="1"/>
  <c r="BM54" i="38" s="1"/>
  <c r="BQ54" i="38" s="1"/>
  <c r="AI78" i="15"/>
  <c r="BM76" i="38" s="1"/>
  <c r="BQ76" i="38" s="1"/>
  <c r="F46" i="16"/>
  <c r="G46" i="16" s="1"/>
  <c r="H46" i="16" s="1"/>
  <c r="AA122" i="38"/>
  <c r="AB122" i="38" s="1"/>
  <c r="AI117" i="15"/>
  <c r="BM115" i="38" s="1"/>
  <c r="BQ115" i="38" s="1"/>
  <c r="Z80" i="38"/>
  <c r="AR80" i="38" s="1"/>
  <c r="AT80" i="38" s="1"/>
  <c r="DX125" i="14"/>
  <c r="AA109" i="38" s="1"/>
  <c r="DY71" i="14"/>
  <c r="AG57" i="15"/>
  <c r="BL55" i="38" s="1"/>
  <c r="BP55" i="38" s="1"/>
  <c r="Z83" i="38"/>
  <c r="F44" i="16"/>
  <c r="G44" i="16" s="1"/>
  <c r="H44" i="16" s="1"/>
  <c r="AH95" i="15"/>
  <c r="AT95" i="15" s="1"/>
  <c r="AF77" i="15"/>
  <c r="AS77" i="15" s="1"/>
  <c r="X90" i="38"/>
  <c r="AI120" i="15"/>
  <c r="BM118" i="38" s="1"/>
  <c r="BQ118" i="38" s="1"/>
  <c r="X114" i="38"/>
  <c r="AA78" i="38"/>
  <c r="AB78" i="38" s="1"/>
  <c r="AA91" i="38"/>
  <c r="AB91" i="38" s="1"/>
  <c r="AA80" i="38"/>
  <c r="AB80" i="38" s="1"/>
  <c r="AF97" i="15"/>
  <c r="AS97" i="15" s="1"/>
  <c r="AG124" i="15"/>
  <c r="BL122" i="38" s="1"/>
  <c r="BP122" i="38" s="1"/>
  <c r="AG88" i="15"/>
  <c r="BL86" i="38" s="1"/>
  <c r="BP86" i="38" s="1"/>
  <c r="DW144" i="14"/>
  <c r="AH130" i="15" s="1"/>
  <c r="AT130" i="15" s="1"/>
  <c r="DW148" i="14"/>
  <c r="AH134" i="15" s="1"/>
  <c r="AT134" i="15" s="1"/>
  <c r="AA116" i="38"/>
  <c r="AB116" i="38" s="1"/>
  <c r="AF86" i="15"/>
  <c r="AS86" i="15" s="1"/>
  <c r="Z47" i="38"/>
  <c r="AA88" i="38"/>
  <c r="AB88" i="38" s="1"/>
  <c r="EC138" i="14"/>
  <c r="ED138" i="14" s="1"/>
  <c r="EF138" i="14" s="1"/>
  <c r="FK138" i="14" s="1"/>
  <c r="DW143" i="14"/>
  <c r="AH129" i="15" s="1"/>
  <c r="AT129" i="15" s="1"/>
  <c r="Z81" i="38"/>
  <c r="X97" i="38"/>
  <c r="AR97" i="38" s="1"/>
  <c r="AT97" i="38" s="1"/>
  <c r="Z117" i="38"/>
  <c r="AR117" i="38" s="1"/>
  <c r="AT117" i="38" s="1"/>
  <c r="AA85" i="38"/>
  <c r="AB85" i="38" s="1"/>
  <c r="Z62" i="38"/>
  <c r="DW141" i="14"/>
  <c r="AH127" i="15" s="1"/>
  <c r="AT127" i="15" s="1"/>
  <c r="EC73" i="14"/>
  <c r="ED73" i="14" s="1"/>
  <c r="EE73" i="14" s="1"/>
  <c r="AI87" i="15"/>
  <c r="BM85" i="38" s="1"/>
  <c r="BQ85" i="38" s="1"/>
  <c r="BR85" i="38" s="1"/>
  <c r="BV85" i="38" s="1"/>
  <c r="Z108" i="38"/>
  <c r="X96" i="38"/>
  <c r="AA57" i="38"/>
  <c r="DW147" i="14"/>
  <c r="AH133" i="15" s="1"/>
  <c r="AT133" i="15" s="1"/>
  <c r="DW145" i="14"/>
  <c r="AH131" i="15" s="1"/>
  <c r="AT131" i="15" s="1"/>
  <c r="DT144" i="14"/>
  <c r="DX142" i="14" s="1"/>
  <c r="X51" i="38"/>
  <c r="Z86" i="38"/>
  <c r="DY97" i="14"/>
  <c r="AG86" i="15"/>
  <c r="BL84" i="38" s="1"/>
  <c r="BP84" i="38" s="1"/>
  <c r="AG83" i="15"/>
  <c r="BL81" i="38" s="1"/>
  <c r="BP81" i="38" s="1"/>
  <c r="DW149" i="14"/>
  <c r="Z133" i="38" s="1"/>
  <c r="DW142" i="14"/>
  <c r="Z126" i="38" s="1"/>
  <c r="Z50" i="38"/>
  <c r="Z110" i="38"/>
  <c r="X46" i="38"/>
  <c r="DY132" i="14"/>
  <c r="AG118" i="15"/>
  <c r="BL116" i="38" s="1"/>
  <c r="BP116" i="38" s="1"/>
  <c r="DY101" i="14"/>
  <c r="DW146" i="14"/>
  <c r="AH132" i="15" s="1"/>
  <c r="AT132" i="15" s="1"/>
  <c r="Z98" i="38"/>
  <c r="AA66" i="38"/>
  <c r="AB66" i="38" s="1"/>
  <c r="AA77" i="38"/>
  <c r="AB77" i="38" s="1"/>
  <c r="Z96" i="38"/>
  <c r="Z59" i="38"/>
  <c r="AR59" i="38" s="1"/>
  <c r="AT59" i="38" s="1"/>
  <c r="DY102" i="14"/>
  <c r="EC132" i="14"/>
  <c r="ED132" i="14" s="1"/>
  <c r="EF132" i="14" s="1"/>
  <c r="FK132" i="14" s="1"/>
  <c r="AA81" i="38"/>
  <c r="AB81" i="38" s="1"/>
  <c r="DX126" i="14"/>
  <c r="AA110" i="38" s="1"/>
  <c r="DX128" i="14"/>
  <c r="AI114" i="15" s="1"/>
  <c r="BM112" i="38" s="1"/>
  <c r="BQ112" i="38" s="1"/>
  <c r="AI83" i="15"/>
  <c r="BM81" i="38" s="1"/>
  <c r="BQ81" i="38" s="1"/>
  <c r="F41" i="16"/>
  <c r="V27" i="46" s="1"/>
  <c r="AF65" i="15"/>
  <c r="AS65" i="15" s="1"/>
  <c r="DX129" i="14"/>
  <c r="AI115" i="15" s="1"/>
  <c r="BM113" i="38" s="1"/>
  <c r="BQ113" i="38" s="1"/>
  <c r="Z68" i="38"/>
  <c r="AA90" i="38"/>
  <c r="AB90" i="38" s="1"/>
  <c r="AA93" i="38"/>
  <c r="AB93" i="38" s="1"/>
  <c r="DX122" i="14"/>
  <c r="AA106" i="38" s="1"/>
  <c r="X60" i="38"/>
  <c r="Z78" i="38"/>
  <c r="AH105" i="15"/>
  <c r="AT105" i="15" s="1"/>
  <c r="DX123" i="14"/>
  <c r="AI109" i="15" s="1"/>
  <c r="BM107" i="38" s="1"/>
  <c r="BQ107" i="38" s="1"/>
  <c r="X100" i="38"/>
  <c r="DX120" i="14"/>
  <c r="AI106" i="15" s="1"/>
  <c r="BM104" i="38" s="1"/>
  <c r="BQ104" i="38" s="1"/>
  <c r="Z112" i="38"/>
  <c r="Z101" i="38"/>
  <c r="AG93" i="15"/>
  <c r="BL91" i="38" s="1"/>
  <c r="BP91" i="38" s="1"/>
  <c r="AI116" i="15"/>
  <c r="BM114" i="38" s="1"/>
  <c r="BQ114" i="38" s="1"/>
  <c r="AH72" i="15"/>
  <c r="AT72" i="15" s="1"/>
  <c r="AG94" i="15"/>
  <c r="BL92" i="38" s="1"/>
  <c r="BP92" i="38" s="1"/>
  <c r="AG84" i="15"/>
  <c r="BL82" i="38" s="1"/>
  <c r="BP82" i="38" s="1"/>
  <c r="AF61" i="15"/>
  <c r="AS61" i="15" s="1"/>
  <c r="AA56" i="38"/>
  <c r="AI74" i="15"/>
  <c r="BM72" i="38" s="1"/>
  <c r="BQ72" i="38" s="1"/>
  <c r="Z69" i="38"/>
  <c r="DU151" i="14"/>
  <c r="AF137" i="15" s="1"/>
  <c r="AS137" i="15" s="1"/>
  <c r="AR53" i="38"/>
  <c r="AT53" i="38" s="1"/>
  <c r="AG64" i="15"/>
  <c r="BL62" i="38" s="1"/>
  <c r="BP62" i="38" s="1"/>
  <c r="AG89" i="15"/>
  <c r="BL87" i="38" s="1"/>
  <c r="BP87" i="38" s="1"/>
  <c r="Z91" i="38"/>
  <c r="Z61" i="38"/>
  <c r="AH86" i="15"/>
  <c r="AT86" i="15" s="1"/>
  <c r="Z67" i="38"/>
  <c r="X99" i="38"/>
  <c r="DU146" i="14"/>
  <c r="AF132" i="15" s="1"/>
  <c r="AS132" i="15" s="1"/>
  <c r="X93" i="38"/>
  <c r="X49" i="38"/>
  <c r="X58" i="38"/>
  <c r="AH75" i="15"/>
  <c r="AT75" i="15" s="1"/>
  <c r="DY107" i="14"/>
  <c r="Z75" i="38"/>
  <c r="AR75" i="38" s="1"/>
  <c r="AT75" i="38" s="1"/>
  <c r="Z82" i="38"/>
  <c r="F43" i="16"/>
  <c r="G43" i="16" s="1"/>
  <c r="EC107" i="14"/>
  <c r="ED107" i="14" s="1"/>
  <c r="EE107" i="14" s="1"/>
  <c r="X56" i="38"/>
  <c r="AF119" i="15"/>
  <c r="AS119" i="15" s="1"/>
  <c r="DY92" i="14"/>
  <c r="X62" i="38"/>
  <c r="AA79" i="38"/>
  <c r="AB79" i="38" s="1"/>
  <c r="EC92" i="14"/>
  <c r="ED92" i="14" s="1"/>
  <c r="EF92" i="14" s="1"/>
  <c r="FK92" i="14" s="1"/>
  <c r="GD92" i="14" s="1"/>
  <c r="DY104" i="14"/>
  <c r="AA82" i="38"/>
  <c r="AB82" i="38" s="1"/>
  <c r="Z115" i="38"/>
  <c r="Z72" i="38"/>
  <c r="DY98" i="14"/>
  <c r="EC104" i="14"/>
  <c r="ED104" i="14" s="1"/>
  <c r="EE104" i="14" s="1"/>
  <c r="EC103" i="14"/>
  <c r="ED103" i="14" s="1"/>
  <c r="EE103" i="14" s="1"/>
  <c r="AG78" i="15"/>
  <c r="BL76" i="38" s="1"/>
  <c r="BP76" i="38" s="1"/>
  <c r="AG90" i="15"/>
  <c r="BL88" i="38" s="1"/>
  <c r="BP88" i="38" s="1"/>
  <c r="AA62" i="38"/>
  <c r="AB62" i="38" s="1"/>
  <c r="AA121" i="38"/>
  <c r="AB121" i="38" s="1"/>
  <c r="DU140" i="14"/>
  <c r="AF126" i="15" s="1"/>
  <c r="AS126" i="15" s="1"/>
  <c r="AF87" i="15"/>
  <c r="AS87" i="15" s="1"/>
  <c r="AH81" i="15"/>
  <c r="AT81" i="15" s="1"/>
  <c r="X118" i="38"/>
  <c r="AR118" i="38" s="1"/>
  <c r="AT118" i="38" s="1"/>
  <c r="X55" i="38"/>
  <c r="DW154" i="14"/>
  <c r="Z138" i="38" s="1"/>
  <c r="DY109" i="14"/>
  <c r="DW155" i="14"/>
  <c r="AH141" i="15" s="1"/>
  <c r="AT141" i="15" s="1"/>
  <c r="AH94" i="15"/>
  <c r="AT94" i="15" s="1"/>
  <c r="EC109" i="14"/>
  <c r="ED109" i="14" s="1"/>
  <c r="EE109" i="14" s="1"/>
  <c r="DW158" i="14"/>
  <c r="AH144" i="15" s="1"/>
  <c r="AT144" i="15" s="1"/>
  <c r="AG95" i="15"/>
  <c r="BL93" i="38" s="1"/>
  <c r="BP93" i="38" s="1"/>
  <c r="DW150" i="14"/>
  <c r="Z134" i="38" s="1"/>
  <c r="X57" i="38"/>
  <c r="X61" i="38"/>
  <c r="Z107" i="38"/>
  <c r="AA86" i="38"/>
  <c r="AB86" i="38" s="1"/>
  <c r="EC97" i="14"/>
  <c r="ED97" i="14" s="1"/>
  <c r="EF97" i="14" s="1"/>
  <c r="FK97" i="14" s="1"/>
  <c r="GD97" i="14" s="1"/>
  <c r="DY138" i="14"/>
  <c r="AA83" i="38"/>
  <c r="AB83" i="38" s="1"/>
  <c r="DY105" i="14"/>
  <c r="AG77" i="15"/>
  <c r="BL75" i="38" s="1"/>
  <c r="BP75" i="38" s="1"/>
  <c r="Z111" i="38"/>
  <c r="DW152" i="14"/>
  <c r="AH138" i="15" s="1"/>
  <c r="AT138" i="15" s="1"/>
  <c r="AG119" i="15"/>
  <c r="BL117" i="38" s="1"/>
  <c r="BP117" i="38" s="1"/>
  <c r="Z44" i="38"/>
  <c r="X87" i="38"/>
  <c r="AR87" i="38" s="1"/>
  <c r="AT87" i="38" s="1"/>
  <c r="EC90" i="14"/>
  <c r="ED90" i="14" s="1"/>
  <c r="EE90" i="14" s="1"/>
  <c r="DY106" i="14"/>
  <c r="EC106" i="14"/>
  <c r="ED106" i="14" s="1"/>
  <c r="EF106" i="14" s="1"/>
  <c r="FK106" i="14" s="1"/>
  <c r="GD106" i="14" s="1"/>
  <c r="AG91" i="15"/>
  <c r="BL89" i="38" s="1"/>
  <c r="BP89" i="38" s="1"/>
  <c r="DW157" i="14"/>
  <c r="AH143" i="15" s="1"/>
  <c r="AT143" i="15" s="1"/>
  <c r="AG117" i="15"/>
  <c r="BL115" i="38" s="1"/>
  <c r="BP115" i="38" s="1"/>
  <c r="Z121" i="38"/>
  <c r="AA89" i="38"/>
  <c r="AB89" i="38" s="1"/>
  <c r="AA58" i="38"/>
  <c r="Z90" i="38"/>
  <c r="AR90" i="38" s="1"/>
  <c r="AT90" i="38" s="1"/>
  <c r="AA64" i="38"/>
  <c r="AH120" i="15"/>
  <c r="AT120" i="15" s="1"/>
  <c r="EC133" i="14"/>
  <c r="ED133" i="14" s="1"/>
  <c r="EE133" i="14" s="1"/>
  <c r="AR103" i="38"/>
  <c r="AT103" i="38" s="1"/>
  <c r="EC105" i="14"/>
  <c r="ED105" i="14" s="1"/>
  <c r="EE105" i="14" s="1"/>
  <c r="AG92" i="15"/>
  <c r="BL90" i="38" s="1"/>
  <c r="BP90" i="38" s="1"/>
  <c r="DW160" i="14"/>
  <c r="Z144" i="38" s="1"/>
  <c r="AH115" i="15"/>
  <c r="AT115" i="15" s="1"/>
  <c r="AA87" i="38"/>
  <c r="AB87" i="38" s="1"/>
  <c r="Z116" i="38"/>
  <c r="AR116" i="38" s="1"/>
  <c r="AT116" i="38" s="1"/>
  <c r="Z104" i="38"/>
  <c r="Z93" i="38"/>
  <c r="AI70" i="15"/>
  <c r="BM68" i="38" s="1"/>
  <c r="BQ68" i="38" s="1"/>
  <c r="F32" i="16"/>
  <c r="G32" i="16" s="1"/>
  <c r="H32" i="16" s="1"/>
  <c r="DX127" i="14"/>
  <c r="AI113" i="15" s="1"/>
  <c r="BM111" i="38" s="1"/>
  <c r="BQ111" i="38" s="1"/>
  <c r="DW151" i="14"/>
  <c r="AH137" i="15" s="1"/>
  <c r="AT137" i="15" s="1"/>
  <c r="F47" i="16"/>
  <c r="G47" i="16" s="1"/>
  <c r="H47" i="16" s="1"/>
  <c r="X92" i="38"/>
  <c r="AR92" i="38" s="1"/>
  <c r="AT92" i="38" s="1"/>
  <c r="Z76" i="38"/>
  <c r="X94" i="38"/>
  <c r="Z88" i="38"/>
  <c r="AI89" i="15"/>
  <c r="BM87" i="38" s="1"/>
  <c r="BQ87" i="38" s="1"/>
  <c r="AA63" i="38"/>
  <c r="AB63" i="38" s="1"/>
  <c r="AM63" i="38" s="1"/>
  <c r="AO63" i="38" s="1"/>
  <c r="AG76" i="15"/>
  <c r="BL74" i="38" s="1"/>
  <c r="BP74" i="38" s="1"/>
  <c r="AF55" i="15"/>
  <c r="AS55" i="15" s="1"/>
  <c r="F28" i="16"/>
  <c r="V26" i="46" s="1"/>
  <c r="DX121" i="14"/>
  <c r="AI107" i="15" s="1"/>
  <c r="BM105" i="38" s="1"/>
  <c r="BQ105" i="38" s="1"/>
  <c r="DW156" i="14"/>
  <c r="Z140" i="38" s="1"/>
  <c r="DY103" i="14"/>
  <c r="AA61" i="38"/>
  <c r="X82" i="38"/>
  <c r="Z57" i="38"/>
  <c r="F29" i="16"/>
  <c r="G29" i="16" s="1"/>
  <c r="AH55" i="15"/>
  <c r="AT55" i="15" s="1"/>
  <c r="DW159" i="14"/>
  <c r="AH145" i="15" s="1"/>
  <c r="AT145" i="15" s="1"/>
  <c r="DW153" i="14"/>
  <c r="AH139" i="15" s="1"/>
  <c r="AT139" i="15" s="1"/>
  <c r="AF82" i="15"/>
  <c r="AS82" i="15" s="1"/>
  <c r="X79" i="38"/>
  <c r="AR79" i="38" s="1"/>
  <c r="AT79" i="38" s="1"/>
  <c r="Z77" i="38"/>
  <c r="EC71" i="14"/>
  <c r="ED71" i="14" s="1"/>
  <c r="EE71" i="14" s="1"/>
  <c r="X89" i="38"/>
  <c r="AA55" i="38"/>
  <c r="AB55" i="38" s="1"/>
  <c r="X98" i="38"/>
  <c r="EC131" i="14"/>
  <c r="ED131" i="14" s="1"/>
  <c r="EF131" i="14" s="1"/>
  <c r="FK131" i="14" s="1"/>
  <c r="X119" i="38"/>
  <c r="Z95" i="38"/>
  <c r="AR95" i="38" s="1"/>
  <c r="AT95" i="38" s="1"/>
  <c r="AA65" i="38"/>
  <c r="X115" i="38"/>
  <c r="Z56" i="38"/>
  <c r="AI57" i="15"/>
  <c r="BM55" i="38" s="1"/>
  <c r="BQ55" i="38" s="1"/>
  <c r="Z54" i="38"/>
  <c r="Z85" i="38"/>
  <c r="AR85" i="38" s="1"/>
  <c r="AT85" i="38" s="1"/>
  <c r="Z45" i="38"/>
  <c r="AR45" i="38" s="1"/>
  <c r="AT45" i="38" s="1"/>
  <c r="Z120" i="38"/>
  <c r="AA74" i="38"/>
  <c r="AB74" i="38" s="1"/>
  <c r="Z49" i="38"/>
  <c r="X74" i="38"/>
  <c r="X102" i="38"/>
  <c r="X121" i="38"/>
  <c r="AI76" i="15"/>
  <c r="BM74" i="38" s="1"/>
  <c r="BQ74" i="38" s="1"/>
  <c r="DU143" i="14"/>
  <c r="AF129" i="15" s="1"/>
  <c r="AS129" i="15" s="1"/>
  <c r="DY131" i="14"/>
  <c r="Z48" i="38"/>
  <c r="AB114" i="38"/>
  <c r="Z100" i="38"/>
  <c r="DY130" i="14"/>
  <c r="DY90" i="14"/>
  <c r="AG116" i="15"/>
  <c r="BL114" i="38" s="1"/>
  <c r="BP114" i="38" s="1"/>
  <c r="EC130" i="14"/>
  <c r="ED130" i="14" s="1"/>
  <c r="EF130" i="14" s="1"/>
  <c r="FK130" i="14" s="1"/>
  <c r="AA117" i="38"/>
  <c r="AB117" i="38" s="1"/>
  <c r="AI119" i="15"/>
  <c r="BM117" i="38" s="1"/>
  <c r="BQ117" i="38" s="1"/>
  <c r="DY133" i="14"/>
  <c r="AA59" i="38"/>
  <c r="AI69" i="15"/>
  <c r="BM67" i="38" s="1"/>
  <c r="BQ67" i="38" s="1"/>
  <c r="AG68" i="15"/>
  <c r="BL66" i="38" s="1"/>
  <c r="BP66" i="38" s="1"/>
  <c r="DV81" i="14"/>
  <c r="AG67" i="15" s="1"/>
  <c r="BL65" i="38" s="1"/>
  <c r="BP65" i="38" s="1"/>
  <c r="F42" i="16"/>
  <c r="G42" i="16" s="1"/>
  <c r="AF105" i="15"/>
  <c r="AS105" i="15" s="1"/>
  <c r="F33" i="16"/>
  <c r="G33" i="16" s="1"/>
  <c r="H33" i="16" s="1"/>
  <c r="AA60" i="38"/>
  <c r="AB60" i="38" s="1"/>
  <c r="Z122" i="38"/>
  <c r="AR122" i="38" s="1"/>
  <c r="AT122" i="38" s="1"/>
  <c r="AH89" i="15"/>
  <c r="AT89" i="15" s="1"/>
  <c r="Z55" i="38"/>
  <c r="DY93" i="14"/>
  <c r="DU160" i="14"/>
  <c r="X144" i="38" s="1"/>
  <c r="DU150" i="14"/>
  <c r="AF136" i="15" s="1"/>
  <c r="AS136" i="15" s="1"/>
  <c r="DU148" i="14"/>
  <c r="AF134" i="15" s="1"/>
  <c r="AS134" i="15" s="1"/>
  <c r="DU145" i="14"/>
  <c r="AF131" i="15" s="1"/>
  <c r="AS131" i="15" s="1"/>
  <c r="Z64" i="38"/>
  <c r="Z58" i="38"/>
  <c r="EC93" i="14"/>
  <c r="ED93" i="14" s="1"/>
  <c r="EE93" i="14" s="1"/>
  <c r="DU156" i="14"/>
  <c r="AF142" i="15" s="1"/>
  <c r="AS142" i="15" s="1"/>
  <c r="DU154" i="14"/>
  <c r="AF140" i="15" s="1"/>
  <c r="AS140" i="15" s="1"/>
  <c r="DU144" i="14"/>
  <c r="AF130" i="15" s="1"/>
  <c r="AS130" i="15" s="1"/>
  <c r="DR143" i="14"/>
  <c r="DV142" i="14" s="1"/>
  <c r="Y126" i="38" s="1"/>
  <c r="AG79" i="15"/>
  <c r="BL77" i="38" s="1"/>
  <c r="BP77" i="38" s="1"/>
  <c r="DU159" i="14"/>
  <c r="AF145" i="15" s="1"/>
  <c r="AS145" i="15" s="1"/>
  <c r="DU155" i="14"/>
  <c r="X139" i="38" s="1"/>
  <c r="DU141" i="14"/>
  <c r="AF127" i="15" s="1"/>
  <c r="AS127" i="15" s="1"/>
  <c r="Z74" i="38"/>
  <c r="AA123" i="38"/>
  <c r="AB123" i="38" s="1"/>
  <c r="X52" i="38"/>
  <c r="X77" i="38"/>
  <c r="DU152" i="14"/>
  <c r="AF138" i="15" s="1"/>
  <c r="AS138" i="15" s="1"/>
  <c r="DR150" i="14"/>
  <c r="DV154" i="14" s="1"/>
  <c r="Y138" i="38" s="1"/>
  <c r="DU147" i="14"/>
  <c r="AF133" i="15" s="1"/>
  <c r="AS133" i="15" s="1"/>
  <c r="Z60" i="38"/>
  <c r="X91" i="38"/>
  <c r="AR63" i="38"/>
  <c r="AT63" i="38" s="1"/>
  <c r="DY137" i="14"/>
  <c r="DU157" i="14"/>
  <c r="AF143" i="15" s="1"/>
  <c r="AS143" i="15" s="1"/>
  <c r="DY136" i="14"/>
  <c r="DU142" i="14"/>
  <c r="AF128" i="15" s="1"/>
  <c r="AS128" i="15" s="1"/>
  <c r="X50" i="38"/>
  <c r="Z51" i="38"/>
  <c r="AA71" i="38"/>
  <c r="Z46" i="38"/>
  <c r="DU153" i="14"/>
  <c r="AF139" i="15" s="1"/>
  <c r="AS139" i="15" s="1"/>
  <c r="DU149" i="14"/>
  <c r="X133" i="38" s="1"/>
  <c r="Z119" i="38"/>
  <c r="AA119" i="38"/>
  <c r="AB119" i="38" s="1"/>
  <c r="AG123" i="15"/>
  <c r="BL121" i="38" s="1"/>
  <c r="BP121" i="38" s="1"/>
  <c r="EC137" i="14"/>
  <c r="ED137" i="14" s="1"/>
  <c r="EF137" i="14" s="1"/>
  <c r="FK137" i="14" s="1"/>
  <c r="AB76" i="38"/>
  <c r="DV88" i="14"/>
  <c r="Y72" i="38" s="1"/>
  <c r="AB72" i="38" s="1"/>
  <c r="AA73" i="38"/>
  <c r="X88" i="38"/>
  <c r="AI88" i="15"/>
  <c r="BM86" i="38" s="1"/>
  <c r="BQ86" i="38" s="1"/>
  <c r="BR86" i="38" s="1"/>
  <c r="DY134" i="14"/>
  <c r="DY91" i="14"/>
  <c r="DV80" i="14"/>
  <c r="DY80" i="14" s="1"/>
  <c r="AF124" i="15"/>
  <c r="AS124" i="15" s="1"/>
  <c r="DU82" i="14"/>
  <c r="AF68" i="15" s="1"/>
  <c r="AS68" i="15" s="1"/>
  <c r="EC102" i="14"/>
  <c r="ED102" i="14" s="1"/>
  <c r="EF102" i="14" s="1"/>
  <c r="FK102" i="14" s="1"/>
  <c r="GD102" i="14" s="1"/>
  <c r="AG120" i="15"/>
  <c r="BL118" i="38" s="1"/>
  <c r="BP118" i="38" s="1"/>
  <c r="DV84" i="14"/>
  <c r="Y68" i="38" s="1"/>
  <c r="AB68" i="38" s="1"/>
  <c r="X83" i="38"/>
  <c r="X101" i="38"/>
  <c r="Z66" i="38"/>
  <c r="Z94" i="38"/>
  <c r="DU87" i="14"/>
  <c r="AF73" i="15" s="1"/>
  <c r="AS73" i="15" s="1"/>
  <c r="DU81" i="14"/>
  <c r="X65" i="38" s="1"/>
  <c r="EC82" i="14"/>
  <c r="ED82" i="14" s="1"/>
  <c r="EE82" i="14" s="1"/>
  <c r="DY94" i="14"/>
  <c r="EC134" i="14"/>
  <c r="ED134" i="14" s="1"/>
  <c r="EF134" i="14" s="1"/>
  <c r="FK134" i="14" s="1"/>
  <c r="DY139" i="14"/>
  <c r="EC91" i="14"/>
  <c r="ED91" i="14" s="1"/>
  <c r="EF91" i="14" s="1"/>
  <c r="FK91" i="14" s="1"/>
  <c r="GD91" i="14" s="1"/>
  <c r="DV87" i="14"/>
  <c r="X78" i="38"/>
  <c r="DU83" i="14"/>
  <c r="AF69" i="15" s="1"/>
  <c r="AS69" i="15" s="1"/>
  <c r="AG80" i="15"/>
  <c r="BL78" i="38" s="1"/>
  <c r="BP78" i="38" s="1"/>
  <c r="AG125" i="15"/>
  <c r="BL123" i="38" s="1"/>
  <c r="BP123" i="38" s="1"/>
  <c r="DV85" i="14"/>
  <c r="Y69" i="38" s="1"/>
  <c r="AB69" i="38" s="1"/>
  <c r="DV86" i="14"/>
  <c r="AG72" i="15" s="1"/>
  <c r="BL70" i="38" s="1"/>
  <c r="BP70" i="38" s="1"/>
  <c r="AA75" i="38"/>
  <c r="AB75" i="38" s="1"/>
  <c r="Z102" i="38"/>
  <c r="EC94" i="14"/>
  <c r="ED94" i="14" s="1"/>
  <c r="EE94" i="14" s="1"/>
  <c r="EC139" i="14"/>
  <c r="ED139" i="14" s="1"/>
  <c r="EF139" i="14" s="1"/>
  <c r="FK139" i="14" s="1"/>
  <c r="DV89" i="14"/>
  <c r="AG75" i="15" s="1"/>
  <c r="BL73" i="38" s="1"/>
  <c r="BP73" i="38" s="1"/>
  <c r="Z89" i="38"/>
  <c r="DU84" i="14"/>
  <c r="AF70" i="15" s="1"/>
  <c r="AS70" i="15" s="1"/>
  <c r="AH65" i="15"/>
  <c r="AT65" i="15" s="1"/>
  <c r="DY82" i="14"/>
  <c r="DV83" i="14"/>
  <c r="AG69" i="15" s="1"/>
  <c r="BL67" i="38" s="1"/>
  <c r="BP67" i="38" s="1"/>
  <c r="DU88" i="14"/>
  <c r="AF74" i="15" s="1"/>
  <c r="AS74" i="15" s="1"/>
  <c r="DU86" i="14"/>
  <c r="AF72" i="15" s="1"/>
  <c r="AS72" i="15" s="1"/>
  <c r="DU80" i="14"/>
  <c r="AF66" i="15" s="1"/>
  <c r="AS66" i="15" s="1"/>
  <c r="DU89" i="14"/>
  <c r="F30" i="16" s="1"/>
  <c r="G30" i="16" s="1"/>
  <c r="X47" i="38"/>
  <c r="DU122" i="14"/>
  <c r="X106" i="38" s="1"/>
  <c r="Z99" i="38"/>
  <c r="X48" i="38"/>
  <c r="Z123" i="38"/>
  <c r="AH125" i="15"/>
  <c r="AT125" i="15" s="1"/>
  <c r="X123" i="38"/>
  <c r="EC96" i="14"/>
  <c r="ED96" i="14" s="1"/>
  <c r="EF96" i="14" s="1"/>
  <c r="FK96" i="14" s="1"/>
  <c r="GD96" i="14" s="1"/>
  <c r="DU127" i="14"/>
  <c r="X111" i="38" s="1"/>
  <c r="EC76" i="14"/>
  <c r="ED76" i="14" s="1"/>
  <c r="EF76" i="14" s="1"/>
  <c r="FK76" i="14" s="1"/>
  <c r="GC76" i="14" s="1"/>
  <c r="EC98" i="14"/>
  <c r="ED98" i="14" s="1"/>
  <c r="EF98" i="14" s="1"/>
  <c r="FK98" i="14" s="1"/>
  <c r="GD98" i="14" s="1"/>
  <c r="AG122" i="15"/>
  <c r="BL120" i="38" s="1"/>
  <c r="BP120" i="38" s="1"/>
  <c r="DY99" i="14"/>
  <c r="DR120" i="14"/>
  <c r="DV128" i="14" s="1"/>
  <c r="Y112" i="38" s="1"/>
  <c r="DU125" i="14"/>
  <c r="X109" i="38" s="1"/>
  <c r="F35" i="16"/>
  <c r="G35" i="16" s="1"/>
  <c r="H35" i="16" s="1"/>
  <c r="X86" i="38"/>
  <c r="EC136" i="14"/>
  <c r="ED136" i="14" s="1"/>
  <c r="EE136" i="14" s="1"/>
  <c r="AG85" i="15"/>
  <c r="BL83" i="38" s="1"/>
  <c r="BP83" i="38" s="1"/>
  <c r="DU128" i="14"/>
  <c r="AF114" i="15" s="1"/>
  <c r="AS114" i="15" s="1"/>
  <c r="AA92" i="38"/>
  <c r="AB92" i="38" s="1"/>
  <c r="X76" i="38"/>
  <c r="DY76" i="14"/>
  <c r="EC99" i="14"/>
  <c r="ED99" i="14" s="1"/>
  <c r="EF99" i="14" s="1"/>
  <c r="FK99" i="14" s="1"/>
  <c r="GD99" i="14" s="1"/>
  <c r="DU123" i="14"/>
  <c r="AF109" i="15" s="1"/>
  <c r="AS109" i="15" s="1"/>
  <c r="Z106" i="38"/>
  <c r="Z65" i="38"/>
  <c r="AI94" i="15"/>
  <c r="BM92" i="38" s="1"/>
  <c r="BQ92" i="38" s="1"/>
  <c r="Z109" i="38"/>
  <c r="X44" i="38"/>
  <c r="AG62" i="15"/>
  <c r="BL60" i="38" s="1"/>
  <c r="BP60" i="38" s="1"/>
  <c r="DY100" i="14"/>
  <c r="DY95" i="14"/>
  <c r="DY135" i="14"/>
  <c r="DU126" i="14"/>
  <c r="X110" i="38" s="1"/>
  <c r="AA84" i="38"/>
  <c r="AB84" i="38" s="1"/>
  <c r="AM84" i="38" s="1"/>
  <c r="AN84" i="38" s="1"/>
  <c r="DU121" i="14"/>
  <c r="AF107" i="15" s="1"/>
  <c r="AS107" i="15" s="1"/>
  <c r="EC100" i="14"/>
  <c r="ED100" i="14" s="1"/>
  <c r="EF100" i="14" s="1"/>
  <c r="FK100" i="14" s="1"/>
  <c r="GD100" i="14" s="1"/>
  <c r="EC95" i="14"/>
  <c r="ED95" i="14" s="1"/>
  <c r="EF95" i="14" s="1"/>
  <c r="FK95" i="14" s="1"/>
  <c r="GD95" i="14" s="1"/>
  <c r="DY108" i="14"/>
  <c r="AG121" i="15"/>
  <c r="BL119" i="38" s="1"/>
  <c r="BP119" i="38" s="1"/>
  <c r="DU129" i="14"/>
  <c r="F34" i="16" s="1"/>
  <c r="G34" i="16" s="1"/>
  <c r="H34" i="16" s="1"/>
  <c r="AA70" i="38"/>
  <c r="X81" i="38"/>
  <c r="Z105" i="38"/>
  <c r="Z114" i="38"/>
  <c r="X104" i="38"/>
  <c r="AG82" i="15"/>
  <c r="BL80" i="38" s="1"/>
  <c r="BP80" i="38" s="1"/>
  <c r="AG81" i="15"/>
  <c r="BL79" i="38" s="1"/>
  <c r="BP79" i="38" s="1"/>
  <c r="EC135" i="14"/>
  <c r="ED135" i="14" s="1"/>
  <c r="EE135" i="14" s="1"/>
  <c r="DY96" i="14"/>
  <c r="DU124" i="14"/>
  <c r="AF110" i="15" s="1"/>
  <c r="AS110" i="15" s="1"/>
  <c r="AI71" i="15"/>
  <c r="BM69" i="38" s="1"/>
  <c r="BQ69" i="38" s="1"/>
  <c r="DY60" i="14"/>
  <c r="F31" i="16"/>
  <c r="G31" i="16" s="1"/>
  <c r="H31" i="16" s="1"/>
  <c r="Z52" i="38"/>
  <c r="BR56" i="38"/>
  <c r="BV56" i="38" s="1"/>
  <c r="BW56" i="38" s="1"/>
  <c r="BX56" i="38" s="1"/>
  <c r="BY56" i="38" s="1"/>
  <c r="BZ56" i="38" s="1"/>
  <c r="CA56" i="38" s="1"/>
  <c r="CB56" i="38" s="1"/>
  <c r="CC56" i="38" s="1"/>
  <c r="CD56" i="38" s="1"/>
  <c r="AF118" i="15"/>
  <c r="AS118" i="15" s="1"/>
  <c r="AF56" i="15"/>
  <c r="AS56" i="15" s="1"/>
  <c r="X54" i="38"/>
  <c r="AB120" i="38"/>
  <c r="AB115" i="38"/>
  <c r="AB118" i="38"/>
  <c r="AR84" i="38"/>
  <c r="AT84" i="38" s="1"/>
  <c r="Z71" i="38"/>
  <c r="Y44" i="38"/>
  <c r="X120" i="38"/>
  <c r="EC78" i="14"/>
  <c r="ED78" i="14" s="1"/>
  <c r="EF78" i="14" s="1"/>
  <c r="FK78" i="14" s="1"/>
  <c r="GC78" i="14" s="1"/>
  <c r="DY78" i="14"/>
  <c r="AG59" i="15"/>
  <c r="BL57" i="38" s="1"/>
  <c r="BP57" i="38" s="1"/>
  <c r="DY79" i="14"/>
  <c r="EC79" i="14"/>
  <c r="ED79" i="14" s="1"/>
  <c r="EF79" i="14" s="1"/>
  <c r="FK79" i="14" s="1"/>
  <c r="GC79" i="14" s="1"/>
  <c r="AI103" i="15"/>
  <c r="BM101" i="38" s="1"/>
  <c r="BQ101" i="38" s="1"/>
  <c r="AA101" i="38"/>
  <c r="AB101" i="38" s="1"/>
  <c r="AH126" i="15"/>
  <c r="AT126" i="15" s="1"/>
  <c r="Z124" i="38"/>
  <c r="AI49" i="15"/>
  <c r="BM47" i="38" s="1"/>
  <c r="BQ47" i="38" s="1"/>
  <c r="AA47" i="38"/>
  <c r="AB47" i="38" s="1"/>
  <c r="AI104" i="15"/>
  <c r="BM102" i="38" s="1"/>
  <c r="BQ102" i="38" s="1"/>
  <c r="AA102" i="38"/>
  <c r="AB102" i="38" s="1"/>
  <c r="AG56" i="15"/>
  <c r="BL54" i="38" s="1"/>
  <c r="BP54" i="38" s="1"/>
  <c r="Y54" i="38"/>
  <c r="AB54" i="38" s="1"/>
  <c r="AI55" i="15"/>
  <c r="BM53" i="38" s="1"/>
  <c r="BQ53" i="38" s="1"/>
  <c r="AA53" i="38"/>
  <c r="AB53" i="38" s="1"/>
  <c r="AI51" i="15"/>
  <c r="BM49" i="38" s="1"/>
  <c r="BQ49" i="38" s="1"/>
  <c r="AA49" i="38"/>
  <c r="AB49" i="38" s="1"/>
  <c r="AI101" i="15"/>
  <c r="BM99" i="38" s="1"/>
  <c r="BQ99" i="38" s="1"/>
  <c r="AA99" i="38"/>
  <c r="AB99" i="38" s="1"/>
  <c r="AI110" i="15"/>
  <c r="BM108" i="38" s="1"/>
  <c r="BQ108" i="38" s="1"/>
  <c r="AA108" i="38"/>
  <c r="AG63" i="15"/>
  <c r="BL61" i="38" s="1"/>
  <c r="BP61" i="38" s="1"/>
  <c r="Y61" i="38"/>
  <c r="AI98" i="15"/>
  <c r="BM96" i="38" s="1"/>
  <c r="BQ96" i="38" s="1"/>
  <c r="AA96" i="38"/>
  <c r="AB96" i="38" s="1"/>
  <c r="AI52" i="15"/>
  <c r="BM50" i="38" s="1"/>
  <c r="BQ50" i="38" s="1"/>
  <c r="AA50" i="38"/>
  <c r="AB50" i="38" s="1"/>
  <c r="AI53" i="15"/>
  <c r="BM51" i="38" s="1"/>
  <c r="BQ51" i="38" s="1"/>
  <c r="AA51" i="38"/>
  <c r="AB51" i="38" s="1"/>
  <c r="AI50" i="15"/>
  <c r="BM48" i="38" s="1"/>
  <c r="BQ48" i="38" s="1"/>
  <c r="AA48" i="38"/>
  <c r="AB48" i="38" s="1"/>
  <c r="AG65" i="15"/>
  <c r="BL63" i="38" s="1"/>
  <c r="BP63" i="38" s="1"/>
  <c r="AI100" i="15"/>
  <c r="BM98" i="38" s="1"/>
  <c r="BQ98" i="38" s="1"/>
  <c r="AA98" i="38"/>
  <c r="AB98" i="38" s="1"/>
  <c r="AI97" i="15"/>
  <c r="BM95" i="38" s="1"/>
  <c r="BQ95" i="38" s="1"/>
  <c r="AA95" i="38"/>
  <c r="AB95" i="38" s="1"/>
  <c r="AF71" i="15"/>
  <c r="AS71" i="15" s="1"/>
  <c r="X69" i="38"/>
  <c r="EC74" i="14"/>
  <c r="ED74" i="14" s="1"/>
  <c r="EE74" i="14" s="1"/>
  <c r="Y58" i="38"/>
  <c r="AI46" i="15"/>
  <c r="BM44" i="38" s="1"/>
  <c r="BQ44" i="38" s="1"/>
  <c r="AA44" i="38"/>
  <c r="AI105" i="15"/>
  <c r="BM103" i="38" s="1"/>
  <c r="BQ103" i="38" s="1"/>
  <c r="AA103" i="38"/>
  <c r="AB103" i="38" s="1"/>
  <c r="AI102" i="15"/>
  <c r="BM100" i="38" s="1"/>
  <c r="BQ100" i="38" s="1"/>
  <c r="AA100" i="38"/>
  <c r="AB100" i="38" s="1"/>
  <c r="AI54" i="15"/>
  <c r="BM52" i="38" s="1"/>
  <c r="BQ52" i="38" s="1"/>
  <c r="AA52" i="38"/>
  <c r="AB52" i="38" s="1"/>
  <c r="AI96" i="15"/>
  <c r="BM94" i="38" s="1"/>
  <c r="BQ94" i="38" s="1"/>
  <c r="AA94" i="38"/>
  <c r="AB94" i="38" s="1"/>
  <c r="DY73" i="14"/>
  <c r="Y57" i="38"/>
  <c r="AF144" i="15"/>
  <c r="AS144" i="15" s="1"/>
  <c r="X142" i="38"/>
  <c r="AI48" i="15"/>
  <c r="BM46" i="38" s="1"/>
  <c r="BQ46" i="38" s="1"/>
  <c r="AA46" i="38"/>
  <c r="AB46" i="38" s="1"/>
  <c r="AI47" i="15"/>
  <c r="BM45" i="38" s="1"/>
  <c r="BQ45" i="38" s="1"/>
  <c r="AA45" i="38"/>
  <c r="AB45" i="38" s="1"/>
  <c r="AI99" i="15"/>
  <c r="BM97" i="38" s="1"/>
  <c r="BQ97" i="38" s="1"/>
  <c r="AA97" i="38"/>
  <c r="AB97" i="38" s="1"/>
  <c r="DY75" i="14"/>
  <c r="Y59" i="38"/>
  <c r="EC72" i="14"/>
  <c r="ED72" i="14" s="1"/>
  <c r="EF72" i="14" s="1"/>
  <c r="FK72" i="14" s="1"/>
  <c r="GC72" i="14" s="1"/>
  <c r="Y56" i="38"/>
  <c r="EC75" i="14"/>
  <c r="ED75" i="14" s="1"/>
  <c r="EF75" i="14" s="1"/>
  <c r="FK75" i="14" s="1"/>
  <c r="GC75" i="14" s="1"/>
  <c r="AG60" i="15"/>
  <c r="BL58" i="38" s="1"/>
  <c r="BP58" i="38" s="1"/>
  <c r="AG61" i="15"/>
  <c r="BL59" i="38" s="1"/>
  <c r="BP59" i="38" s="1"/>
  <c r="DY70" i="14"/>
  <c r="EC77" i="14"/>
  <c r="ED77" i="14" s="1"/>
  <c r="EF77" i="14" s="1"/>
  <c r="FK77" i="14" s="1"/>
  <c r="GC77" i="14" s="1"/>
  <c r="DY77" i="14"/>
  <c r="EC70" i="14"/>
  <c r="ED70" i="14" s="1"/>
  <c r="EE70" i="14" s="1"/>
  <c r="FJ70" i="14" s="1"/>
  <c r="FU70" i="14" s="1"/>
  <c r="DY74" i="14"/>
  <c r="DY72" i="14"/>
  <c r="AG99" i="15"/>
  <c r="BL97" i="38" s="1"/>
  <c r="BP97" i="38" s="1"/>
  <c r="EC113" i="14"/>
  <c r="ED113" i="14" s="1"/>
  <c r="DY113" i="14"/>
  <c r="AG103" i="15"/>
  <c r="BL101" i="38" s="1"/>
  <c r="BP101" i="38" s="1"/>
  <c r="EC117" i="14"/>
  <c r="ED117" i="14" s="1"/>
  <c r="DY117" i="14"/>
  <c r="DX153" i="14"/>
  <c r="DX151" i="14"/>
  <c r="DX160" i="14"/>
  <c r="DX152" i="14"/>
  <c r="DX156" i="14"/>
  <c r="DX155" i="14"/>
  <c r="DX154" i="14"/>
  <c r="DX150" i="14"/>
  <c r="DX158" i="14"/>
  <c r="DX157" i="14"/>
  <c r="DX159" i="14"/>
  <c r="AG100" i="15"/>
  <c r="BL98" i="38" s="1"/>
  <c r="BP98" i="38" s="1"/>
  <c r="EC114" i="14"/>
  <c r="ED114" i="14" s="1"/>
  <c r="DY114" i="14"/>
  <c r="EE108" i="14"/>
  <c r="EF108" i="14"/>
  <c r="FK108" i="14" s="1"/>
  <c r="GD108" i="14" s="1"/>
  <c r="AG102" i="15"/>
  <c r="BL100" i="38" s="1"/>
  <c r="BP100" i="38" s="1"/>
  <c r="EC116" i="14"/>
  <c r="ED116" i="14" s="1"/>
  <c r="DY116" i="14"/>
  <c r="AG96" i="15"/>
  <c r="BL94" i="38" s="1"/>
  <c r="BP94" i="38" s="1"/>
  <c r="EC110" i="14"/>
  <c r="ED110" i="14" s="1"/>
  <c r="DY110" i="14"/>
  <c r="AG104" i="15"/>
  <c r="BL102" i="38" s="1"/>
  <c r="BP102" i="38" s="1"/>
  <c r="EC118" i="14"/>
  <c r="ED118" i="14" s="1"/>
  <c r="DY118" i="14"/>
  <c r="AG98" i="15"/>
  <c r="BL96" i="38" s="1"/>
  <c r="BP96" i="38" s="1"/>
  <c r="EC112" i="14"/>
  <c r="ED112" i="14" s="1"/>
  <c r="DY112" i="14"/>
  <c r="AG97" i="15"/>
  <c r="BL95" i="38" s="1"/>
  <c r="BP95" i="38" s="1"/>
  <c r="EC111" i="14"/>
  <c r="ED111" i="14" s="1"/>
  <c r="DY111" i="14"/>
  <c r="EF101" i="14"/>
  <c r="FK101" i="14" s="1"/>
  <c r="GD101" i="14" s="1"/>
  <c r="EE101" i="14"/>
  <c r="AG101" i="15"/>
  <c r="BL99" i="38" s="1"/>
  <c r="BP99" i="38" s="1"/>
  <c r="EC115" i="14"/>
  <c r="ED115" i="14" s="1"/>
  <c r="DY115" i="14"/>
  <c r="AG105" i="15"/>
  <c r="BL103" i="38" s="1"/>
  <c r="BP103" i="38" s="1"/>
  <c r="EC119" i="14"/>
  <c r="ED119" i="14" s="1"/>
  <c r="DY119" i="14"/>
  <c r="EC61" i="14"/>
  <c r="ED61" i="14" s="1"/>
  <c r="EE61" i="14" s="1"/>
  <c r="EC63" i="14"/>
  <c r="ED63" i="14" s="1"/>
  <c r="EC64" i="14"/>
  <c r="ED64" i="14" s="1"/>
  <c r="EC67" i="14"/>
  <c r="ED67" i="14" s="1"/>
  <c r="EC62" i="14"/>
  <c r="ED62" i="14" s="1"/>
  <c r="EC68" i="14"/>
  <c r="ED68" i="14" s="1"/>
  <c r="EC65" i="14"/>
  <c r="ED65" i="14" s="1"/>
  <c r="EC66" i="14"/>
  <c r="ED66" i="14" s="1"/>
  <c r="EC69" i="14"/>
  <c r="ED69" i="14" s="1"/>
  <c r="EC60" i="14"/>
  <c r="ED60" i="14" s="1"/>
  <c r="AG52" i="15"/>
  <c r="BL50" i="38" s="1"/>
  <c r="BP50" i="38" s="1"/>
  <c r="DY66" i="14"/>
  <c r="AG47" i="15"/>
  <c r="BL45" i="38" s="1"/>
  <c r="BP45" i="38" s="1"/>
  <c r="DY61" i="14"/>
  <c r="AG46" i="15"/>
  <c r="BL44" i="38" s="1"/>
  <c r="BP44" i="38" s="1"/>
  <c r="AG48" i="15"/>
  <c r="BL46" i="38" s="1"/>
  <c r="BP46" i="38" s="1"/>
  <c r="DY62" i="14"/>
  <c r="AG50" i="15"/>
  <c r="BL48" i="38" s="1"/>
  <c r="BP48" i="38" s="1"/>
  <c r="DY64" i="14"/>
  <c r="AG55" i="15"/>
  <c r="BL53" i="38" s="1"/>
  <c r="BP53" i="38" s="1"/>
  <c r="DY69" i="14"/>
  <c r="AG49" i="15"/>
  <c r="BL47" i="38" s="1"/>
  <c r="BP47" i="38" s="1"/>
  <c r="DY63" i="14"/>
  <c r="AG54" i="15"/>
  <c r="BL52" i="38" s="1"/>
  <c r="BP52" i="38" s="1"/>
  <c r="DY68" i="14"/>
  <c r="AG53" i="15"/>
  <c r="BL51" i="38" s="1"/>
  <c r="BP51" i="38" s="1"/>
  <c r="DY67" i="14"/>
  <c r="AG51" i="15"/>
  <c r="BL49" i="38" s="1"/>
  <c r="BP49" i="38" s="1"/>
  <c r="DY65" i="14"/>
  <c r="AR46" i="38" l="1"/>
  <c r="AT46" i="38" s="1"/>
  <c r="G41" i="16"/>
  <c r="Z127" i="38"/>
  <c r="AA107" i="38"/>
  <c r="GE138" i="14"/>
  <c r="GD138" i="14"/>
  <c r="GE139" i="14"/>
  <c r="GD139" i="14"/>
  <c r="GE137" i="14"/>
  <c r="GD137" i="14"/>
  <c r="AH136" i="15"/>
  <c r="AT136" i="15" s="1"/>
  <c r="AR96" i="38"/>
  <c r="AT96" i="38" s="1"/>
  <c r="AR86" i="38"/>
  <c r="AT86" i="38" s="1"/>
  <c r="AI111" i="15"/>
  <c r="BM109" i="38" s="1"/>
  <c r="BQ109" i="38" s="1"/>
  <c r="AM80" i="38"/>
  <c r="AO80" i="38" s="1"/>
  <c r="AR114" i="38"/>
  <c r="AT114" i="38" s="1"/>
  <c r="AM97" i="38"/>
  <c r="AO97" i="38" s="1"/>
  <c r="AA113" i="38"/>
  <c r="Z132" i="38"/>
  <c r="V26" i="1"/>
  <c r="V27" i="1"/>
  <c r="CE56" i="38"/>
  <c r="CF56" i="38" s="1"/>
  <c r="CG56" i="38" s="1"/>
  <c r="CH56" i="38" s="1"/>
  <c r="BW85" i="38"/>
  <c r="BX85" i="38" s="1"/>
  <c r="BY85" i="38" s="1"/>
  <c r="BZ85" i="38" s="1"/>
  <c r="BV86" i="38"/>
  <c r="AH135" i="15"/>
  <c r="AT135" i="15" s="1"/>
  <c r="F49" i="16"/>
  <c r="G49" i="16" s="1"/>
  <c r="H49" i="16" s="1"/>
  <c r="X135" i="38"/>
  <c r="BR55" i="38"/>
  <c r="BV55" i="38" s="1"/>
  <c r="BR116" i="38"/>
  <c r="BV116" i="38" s="1"/>
  <c r="BR84" i="38"/>
  <c r="BV84" i="38" s="1"/>
  <c r="BR90" i="38"/>
  <c r="BV90" i="38" s="1"/>
  <c r="AR55" i="38"/>
  <c r="AT55" i="38" s="1"/>
  <c r="AM96" i="38"/>
  <c r="AO96" i="38" s="1"/>
  <c r="AB61" i="38"/>
  <c r="AM61" i="38" s="1"/>
  <c r="AO61" i="38" s="1"/>
  <c r="X134" i="38"/>
  <c r="AR134" i="38" s="1"/>
  <c r="AT134" i="38" s="1"/>
  <c r="AM95" i="38"/>
  <c r="AO95" i="38" s="1"/>
  <c r="BR91" i="38"/>
  <c r="BV91" i="38" s="1"/>
  <c r="BR122" i="38"/>
  <c r="BV122" i="38" s="1"/>
  <c r="BR114" i="38"/>
  <c r="BV114" i="38" s="1"/>
  <c r="BR115" i="38"/>
  <c r="BV115" i="38" s="1"/>
  <c r="BR83" i="38"/>
  <c r="BV83" i="38" s="1"/>
  <c r="BR66" i="38"/>
  <c r="BV66" i="38" s="1"/>
  <c r="BR82" i="38"/>
  <c r="BV82" i="38" s="1"/>
  <c r="BR93" i="38"/>
  <c r="BV93" i="38" s="1"/>
  <c r="BR89" i="38"/>
  <c r="BV89" i="38" s="1"/>
  <c r="BR62" i="38"/>
  <c r="BV62" i="38" s="1"/>
  <c r="BR75" i="38"/>
  <c r="BV75" i="38" s="1"/>
  <c r="BR88" i="38"/>
  <c r="BV88" i="38" s="1"/>
  <c r="BR123" i="38"/>
  <c r="BV123" i="38" s="1"/>
  <c r="BR77" i="38"/>
  <c r="BV77" i="38" s="1"/>
  <c r="BR76" i="38"/>
  <c r="BV76" i="38" s="1"/>
  <c r="X130" i="38"/>
  <c r="Z128" i="38"/>
  <c r="AS53" i="38"/>
  <c r="AU53" i="38" s="1"/>
  <c r="AV53" i="38" s="1"/>
  <c r="H54" i="40" s="1"/>
  <c r="AR81" i="38"/>
  <c r="AT81" i="38" s="1"/>
  <c r="AF108" i="15"/>
  <c r="AS108" i="15" s="1"/>
  <c r="AB57" i="38"/>
  <c r="AM57" i="38" s="1"/>
  <c r="AN57" i="38" s="1"/>
  <c r="EF103" i="14"/>
  <c r="FK103" i="14" s="1"/>
  <c r="EF90" i="14"/>
  <c r="FK90" i="14" s="1"/>
  <c r="GE90" i="14" s="1"/>
  <c r="DV145" i="14"/>
  <c r="Y129" i="38" s="1"/>
  <c r="AM83" i="38"/>
  <c r="AN83" i="38" s="1"/>
  <c r="DV140" i="14"/>
  <c r="Y124" i="38" s="1"/>
  <c r="DV147" i="14"/>
  <c r="Y131" i="38" s="1"/>
  <c r="AR48" i="38"/>
  <c r="AT48" i="38" s="1"/>
  <c r="AA111" i="38"/>
  <c r="AR98" i="38"/>
  <c r="AT98" i="38" s="1"/>
  <c r="AR47" i="38"/>
  <c r="AT47" i="38" s="1"/>
  <c r="AA104" i="38"/>
  <c r="AA105" i="38"/>
  <c r="EF93" i="14"/>
  <c r="FK93" i="14" s="1"/>
  <c r="AR115" i="38"/>
  <c r="AT115" i="38" s="1"/>
  <c r="Z131" i="38"/>
  <c r="AR133" i="38"/>
  <c r="AT133" i="38" s="1"/>
  <c r="Z130" i="38"/>
  <c r="AI112" i="15"/>
  <c r="BM110" i="38" s="1"/>
  <c r="BQ110" i="38" s="1"/>
  <c r="AF141" i="15"/>
  <c r="AS141" i="15" s="1"/>
  <c r="AR62" i="38"/>
  <c r="AT62" i="38" s="1"/>
  <c r="AH128" i="15"/>
  <c r="AT128" i="15" s="1"/>
  <c r="AR101" i="38"/>
  <c r="AT101" i="38" s="1"/>
  <c r="Y64" i="38"/>
  <c r="AB64" i="38" s="1"/>
  <c r="AS63" i="38"/>
  <c r="AU63" i="38" s="1"/>
  <c r="AV63" i="38" s="1"/>
  <c r="H64" i="40" s="1"/>
  <c r="EC80" i="14"/>
  <c r="ED80" i="14" s="1"/>
  <c r="EE80" i="14" s="1"/>
  <c r="FJ80" i="14" s="1"/>
  <c r="AG66" i="15"/>
  <c r="BL64" i="38" s="1"/>
  <c r="BP64" i="38" s="1"/>
  <c r="EE138" i="14"/>
  <c r="FJ138" i="14" s="1"/>
  <c r="AR51" i="38"/>
  <c r="AT51" i="38" s="1"/>
  <c r="EF73" i="14"/>
  <c r="FK73" i="14" s="1"/>
  <c r="AR60" i="38"/>
  <c r="AT60" i="38" s="1"/>
  <c r="EF104" i="14"/>
  <c r="FK104" i="14" s="1"/>
  <c r="BR81" i="38"/>
  <c r="BV81" i="38" s="1"/>
  <c r="BW81" i="38" s="1"/>
  <c r="BX81" i="38" s="1"/>
  <c r="BY81" i="38" s="1"/>
  <c r="BZ81" i="38" s="1"/>
  <c r="AR83" i="38"/>
  <c r="AT83" i="38" s="1"/>
  <c r="BR117" i="38"/>
  <c r="BV117" i="38" s="1"/>
  <c r="EE134" i="14"/>
  <c r="EG134" i="14" s="1"/>
  <c r="EF109" i="14"/>
  <c r="FK109" i="14" s="1"/>
  <c r="EF133" i="14"/>
  <c r="FK133" i="14" s="1"/>
  <c r="GD133" i="14" s="1"/>
  <c r="AR76" i="38"/>
  <c r="AT76" i="38" s="1"/>
  <c r="X131" i="38"/>
  <c r="AR131" i="38" s="1"/>
  <c r="AT131" i="38" s="1"/>
  <c r="Z141" i="38"/>
  <c r="AR54" i="38"/>
  <c r="AT54" i="38" s="1"/>
  <c r="EE99" i="14"/>
  <c r="EG99" i="14" s="1"/>
  <c r="DV155" i="14"/>
  <c r="Y139" i="38" s="1"/>
  <c r="EE100" i="14"/>
  <c r="EG100" i="14" s="1"/>
  <c r="DV151" i="14"/>
  <c r="Y135" i="38" s="1"/>
  <c r="Z143" i="38"/>
  <c r="DX144" i="14"/>
  <c r="AA128" i="38" s="1"/>
  <c r="AR104" i="38"/>
  <c r="AT104" i="38" s="1"/>
  <c r="BR92" i="38"/>
  <c r="BV92" i="38" s="1"/>
  <c r="EF107" i="14"/>
  <c r="FK107" i="14" s="1"/>
  <c r="GE107" i="14" s="1"/>
  <c r="AH140" i="15"/>
  <c r="AT140" i="15" s="1"/>
  <c r="AR52" i="38"/>
  <c r="AT52" i="38" s="1"/>
  <c r="AR93" i="38"/>
  <c r="AT93" i="38" s="1"/>
  <c r="EE132" i="14"/>
  <c r="FJ132" i="14" s="1"/>
  <c r="AR50" i="38"/>
  <c r="AT50" i="38" s="1"/>
  <c r="AM117" i="38"/>
  <c r="AO117" i="38" s="1"/>
  <c r="AM55" i="38"/>
  <c r="AN55" i="38" s="1"/>
  <c r="AR100" i="38"/>
  <c r="AT100" i="38" s="1"/>
  <c r="AI108" i="15"/>
  <c r="BM106" i="38" s="1"/>
  <c r="BQ106" i="38" s="1"/>
  <c r="X143" i="38"/>
  <c r="AM98" i="38"/>
  <c r="AO98" i="38" s="1"/>
  <c r="X126" i="38"/>
  <c r="AR126" i="38" s="1"/>
  <c r="AT126" i="38" s="1"/>
  <c r="AR102" i="38"/>
  <c r="AT102" i="38" s="1"/>
  <c r="DV157" i="14"/>
  <c r="Y141" i="38" s="1"/>
  <c r="DX140" i="14"/>
  <c r="AI126" i="15" s="1"/>
  <c r="BM124" i="38" s="1"/>
  <c r="BQ124" i="38" s="1"/>
  <c r="Z136" i="38"/>
  <c r="DV159" i="14"/>
  <c r="Y143" i="38" s="1"/>
  <c r="AM50" i="38"/>
  <c r="AO50" i="38" s="1"/>
  <c r="AM92" i="38"/>
  <c r="AN92" i="38" s="1"/>
  <c r="DV153" i="14"/>
  <c r="Y137" i="38" s="1"/>
  <c r="DX143" i="14"/>
  <c r="AI129" i="15" s="1"/>
  <c r="BM127" i="38" s="1"/>
  <c r="BQ127" i="38" s="1"/>
  <c r="G28" i="16"/>
  <c r="H28" i="16" s="1"/>
  <c r="DV152" i="14"/>
  <c r="Y136" i="38" s="1"/>
  <c r="DX145" i="14"/>
  <c r="Z125" i="38"/>
  <c r="EE106" i="14"/>
  <c r="FJ106" i="14" s="1"/>
  <c r="FV106" i="14" s="1"/>
  <c r="DV150" i="14"/>
  <c r="Y134" i="38" s="1"/>
  <c r="DX149" i="14"/>
  <c r="AI135" i="15" s="1"/>
  <c r="BM133" i="38" s="1"/>
  <c r="BQ133" i="38" s="1"/>
  <c r="DX146" i="14"/>
  <c r="AI132" i="15" s="1"/>
  <c r="BM130" i="38" s="1"/>
  <c r="BQ130" i="38" s="1"/>
  <c r="Z129" i="38"/>
  <c r="AA112" i="38"/>
  <c r="AB112" i="38" s="1"/>
  <c r="DX141" i="14"/>
  <c r="AA125" i="38" s="1"/>
  <c r="DV156" i="14"/>
  <c r="Y140" i="38" s="1"/>
  <c r="DV158" i="14"/>
  <c r="Y142" i="38" s="1"/>
  <c r="DX147" i="14"/>
  <c r="DX148" i="14"/>
  <c r="AI134" i="15" s="1"/>
  <c r="BM132" i="38" s="1"/>
  <c r="BQ132" i="38" s="1"/>
  <c r="X124" i="38"/>
  <c r="AR124" i="38" s="1"/>
  <c r="AT124" i="38" s="1"/>
  <c r="DV160" i="14"/>
  <c r="Y144" i="38" s="1"/>
  <c r="AB56" i="38"/>
  <c r="AM56" i="38" s="1"/>
  <c r="AN56" i="38" s="1"/>
  <c r="AM116" i="38"/>
  <c r="AN116" i="38" s="1"/>
  <c r="AM121" i="38"/>
  <c r="AO121" i="38" s="1"/>
  <c r="AR56" i="38"/>
  <c r="AT56" i="38" s="1"/>
  <c r="BR87" i="38"/>
  <c r="BV87" i="38" s="1"/>
  <c r="EF135" i="14"/>
  <c r="FK135" i="14" s="1"/>
  <c r="AG70" i="15"/>
  <c r="BL68" i="38" s="1"/>
  <c r="BP68" i="38" s="1"/>
  <c r="EC85" i="14"/>
  <c r="ED85" i="14" s="1"/>
  <c r="EE85" i="14" s="1"/>
  <c r="FJ85" i="14" s="1"/>
  <c r="AR57" i="38"/>
  <c r="AT57" i="38" s="1"/>
  <c r="AR49" i="38"/>
  <c r="AT49" i="38" s="1"/>
  <c r="AM52" i="38"/>
  <c r="AO52" i="38" s="1"/>
  <c r="Z135" i="38"/>
  <c r="X129" i="38"/>
  <c r="EF71" i="14"/>
  <c r="FK71" i="14" s="1"/>
  <c r="AM87" i="38"/>
  <c r="AO87" i="38" s="1"/>
  <c r="AR61" i="38"/>
  <c r="AT61" i="38" s="1"/>
  <c r="X137" i="38"/>
  <c r="AM100" i="38"/>
  <c r="AN100" i="38" s="1"/>
  <c r="X64" i="38"/>
  <c r="AR64" i="38" s="1"/>
  <c r="AT64" i="38" s="1"/>
  <c r="AM115" i="38"/>
  <c r="AN115" i="38" s="1"/>
  <c r="EC88" i="14"/>
  <c r="ED88" i="14" s="1"/>
  <c r="EE88" i="14" s="1"/>
  <c r="FJ88" i="14" s="1"/>
  <c r="F36" i="16"/>
  <c r="G36" i="16" s="1"/>
  <c r="H36" i="16" s="1"/>
  <c r="X141" i="38"/>
  <c r="AR89" i="38"/>
  <c r="AT89" i="38" s="1"/>
  <c r="AM91" i="38"/>
  <c r="AN91" i="38" s="1"/>
  <c r="AR74" i="38"/>
  <c r="AT74" i="38" s="1"/>
  <c r="BR74" i="38"/>
  <c r="BV74" i="38" s="1"/>
  <c r="AM90" i="38"/>
  <c r="AO90" i="38" s="1"/>
  <c r="AM79" i="38"/>
  <c r="AN79" i="38" s="1"/>
  <c r="AF135" i="15"/>
  <c r="AS135" i="15" s="1"/>
  <c r="EE76" i="14"/>
  <c r="EG76" i="14" s="1"/>
  <c r="EE91" i="14"/>
  <c r="EG91" i="14" s="1"/>
  <c r="AB59" i="38"/>
  <c r="AM59" i="38" s="1"/>
  <c r="AN59" i="38" s="1"/>
  <c r="Z139" i="38"/>
  <c r="AR139" i="38" s="1"/>
  <c r="AT139" i="38" s="1"/>
  <c r="AM122" i="38"/>
  <c r="AN122" i="38" s="1"/>
  <c r="AM78" i="38"/>
  <c r="AN78" i="38" s="1"/>
  <c r="AR58" i="38"/>
  <c r="AT58" i="38" s="1"/>
  <c r="AM75" i="38"/>
  <c r="AO75" i="38" s="1"/>
  <c r="Y73" i="38"/>
  <c r="AB73" i="38" s="1"/>
  <c r="EC89" i="14"/>
  <c r="ED89" i="14" s="1"/>
  <c r="EE89" i="14" s="1"/>
  <c r="FJ89" i="14" s="1"/>
  <c r="EF82" i="14"/>
  <c r="FK82" i="14" s="1"/>
  <c r="GD82" i="14" s="1"/>
  <c r="DY89" i="14"/>
  <c r="AH142" i="15"/>
  <c r="AT142" i="15" s="1"/>
  <c r="AM89" i="38"/>
  <c r="AN89" i="38" s="1"/>
  <c r="AM88" i="38"/>
  <c r="AO88" i="38" s="1"/>
  <c r="EE92" i="14"/>
  <c r="FJ92" i="14" s="1"/>
  <c r="FV92" i="14" s="1"/>
  <c r="AG114" i="15"/>
  <c r="BL112" i="38" s="1"/>
  <c r="BP112" i="38" s="1"/>
  <c r="X73" i="38"/>
  <c r="AR73" i="38" s="1"/>
  <c r="AT73" i="38" s="1"/>
  <c r="AR99" i="38"/>
  <c r="AT99" i="38" s="1"/>
  <c r="AF75" i="15"/>
  <c r="AS75" i="15" s="1"/>
  <c r="AM118" i="38"/>
  <c r="AN118" i="38" s="1"/>
  <c r="DV124" i="14"/>
  <c r="DY124" i="14" s="1"/>
  <c r="DY84" i="14"/>
  <c r="AR77" i="38"/>
  <c r="AT77" i="38" s="1"/>
  <c r="AR82" i="38"/>
  <c r="AT82" i="38" s="1"/>
  <c r="AM62" i="38"/>
  <c r="AO62" i="38" s="1"/>
  <c r="EC84" i="14"/>
  <c r="ED84" i="14" s="1"/>
  <c r="EF84" i="14" s="1"/>
  <c r="FK84" i="14" s="1"/>
  <c r="GD84" i="14" s="1"/>
  <c r="F50" i="16"/>
  <c r="G50" i="16" s="1"/>
  <c r="H50" i="16" s="1"/>
  <c r="DV141" i="14"/>
  <c r="Y125" i="38" s="1"/>
  <c r="DV143" i="14"/>
  <c r="Y127" i="38" s="1"/>
  <c r="X68" i="38"/>
  <c r="AR68" i="38" s="1"/>
  <c r="AT68" i="38" s="1"/>
  <c r="X132" i="38"/>
  <c r="AB58" i="38"/>
  <c r="AM58" i="38" s="1"/>
  <c r="AO58" i="38" s="1"/>
  <c r="DY85" i="14"/>
  <c r="AH146" i="15"/>
  <c r="AT146" i="15" s="1"/>
  <c r="DV144" i="14"/>
  <c r="Y128" i="38" s="1"/>
  <c r="DV146" i="14"/>
  <c r="Y130" i="38" s="1"/>
  <c r="AM47" i="38"/>
  <c r="AN47" i="38" s="1"/>
  <c r="AN63" i="38"/>
  <c r="AP63" i="38" s="1"/>
  <c r="AQ63" i="38" s="1"/>
  <c r="G64" i="40" s="1"/>
  <c r="X113" i="38"/>
  <c r="AR113" i="38" s="1"/>
  <c r="AT113" i="38" s="1"/>
  <c r="AM77" i="38"/>
  <c r="AO77" i="38" s="1"/>
  <c r="DV149" i="14"/>
  <c r="Y133" i="38" s="1"/>
  <c r="AF115" i="15"/>
  <c r="AS115" i="15" s="1"/>
  <c r="DV148" i="14"/>
  <c r="Y132" i="38" s="1"/>
  <c r="AF67" i="15"/>
  <c r="AS67" i="15" s="1"/>
  <c r="X67" i="38"/>
  <c r="AR67" i="38" s="1"/>
  <c r="AT67" i="38" s="1"/>
  <c r="AG71" i="15"/>
  <c r="BL69" i="38" s="1"/>
  <c r="BP69" i="38" s="1"/>
  <c r="AR144" i="38"/>
  <c r="AT144" i="38" s="1"/>
  <c r="AM82" i="38"/>
  <c r="AN82" i="38" s="1"/>
  <c r="EE139" i="14"/>
  <c r="EG139" i="14" s="1"/>
  <c r="X70" i="38"/>
  <c r="AR70" i="38" s="1"/>
  <c r="AT70" i="38" s="1"/>
  <c r="EE137" i="14"/>
  <c r="EG137" i="14" s="1"/>
  <c r="BR121" i="38"/>
  <c r="BV121" i="38" s="1"/>
  <c r="AR94" i="38"/>
  <c r="AT94" i="38" s="1"/>
  <c r="AM85" i="38"/>
  <c r="AO85" i="38" s="1"/>
  <c r="EC81" i="14"/>
  <c r="ED81" i="14" s="1"/>
  <c r="EE81" i="14" s="1"/>
  <c r="FJ81" i="14" s="1"/>
  <c r="X140" i="38"/>
  <c r="AR140" i="38" s="1"/>
  <c r="AT140" i="38" s="1"/>
  <c r="DY81" i="14"/>
  <c r="AS103" i="38"/>
  <c r="AU103" i="38" s="1"/>
  <c r="AV103" i="38" s="1"/>
  <c r="H104" i="40" s="1"/>
  <c r="EE97" i="14"/>
  <c r="EG97" i="14" s="1"/>
  <c r="Y65" i="38"/>
  <c r="AB65" i="38" s="1"/>
  <c r="AM65" i="38" s="1"/>
  <c r="AO65" i="38" s="1"/>
  <c r="Z137" i="38"/>
  <c r="EF136" i="14"/>
  <c r="FK136" i="14" s="1"/>
  <c r="EE131" i="14"/>
  <c r="EG131" i="14" s="1"/>
  <c r="Z142" i="38"/>
  <c r="AR142" i="38" s="1"/>
  <c r="AT142" i="38" s="1"/>
  <c r="AR119" i="38"/>
  <c r="AT119" i="38" s="1"/>
  <c r="AR121" i="38"/>
  <c r="AT121" i="38" s="1"/>
  <c r="AM93" i="38"/>
  <c r="AN93" i="38" s="1"/>
  <c r="AM114" i="38"/>
  <c r="AN114" i="38" s="1"/>
  <c r="EE130" i="14"/>
  <c r="FJ130" i="14" s="1"/>
  <c r="AG74" i="15"/>
  <c r="BL72" i="38" s="1"/>
  <c r="BP72" i="38" s="1"/>
  <c r="EF105" i="14"/>
  <c r="FK105" i="14" s="1"/>
  <c r="AR88" i="38"/>
  <c r="AT88" i="38" s="1"/>
  <c r="AR44" i="38"/>
  <c r="AT44" i="38" s="1"/>
  <c r="AF113" i="15"/>
  <c r="AS113" i="15" s="1"/>
  <c r="EF94" i="14"/>
  <c r="FK94" i="14" s="1"/>
  <c r="GE94" i="14" s="1"/>
  <c r="X127" i="38"/>
  <c r="AR78" i="38"/>
  <c r="AT78" i="38" s="1"/>
  <c r="AR91" i="38"/>
  <c r="AT91" i="38" s="1"/>
  <c r="EE102" i="14"/>
  <c r="FJ102" i="14" s="1"/>
  <c r="FV102" i="14" s="1"/>
  <c r="AM45" i="38"/>
  <c r="AO45" i="38" s="1"/>
  <c r="X72" i="38"/>
  <c r="AR72" i="38" s="1"/>
  <c r="AT72" i="38" s="1"/>
  <c r="X107" i="38"/>
  <c r="AR107" i="38" s="1"/>
  <c r="AT107" i="38" s="1"/>
  <c r="X71" i="38"/>
  <c r="AR71" i="38" s="1"/>
  <c r="AT71" i="38" s="1"/>
  <c r="AM74" i="38"/>
  <c r="AN74" i="38" s="1"/>
  <c r="AM119" i="38"/>
  <c r="AN119" i="38" s="1"/>
  <c r="AM99" i="38"/>
  <c r="AN99" i="38" s="1"/>
  <c r="EE95" i="14"/>
  <c r="EG95" i="14" s="1"/>
  <c r="EC128" i="14"/>
  <c r="ED128" i="14" s="1"/>
  <c r="EE128" i="14" s="1"/>
  <c r="DV127" i="14"/>
  <c r="EC127" i="14" s="1"/>
  <c r="ED127" i="14" s="1"/>
  <c r="EE127" i="14" s="1"/>
  <c r="AM60" i="38"/>
  <c r="AN60" i="38" s="1"/>
  <c r="DV121" i="14"/>
  <c r="EC121" i="14" s="1"/>
  <c r="ED121" i="14" s="1"/>
  <c r="EE121" i="14" s="1"/>
  <c r="DV129" i="14"/>
  <c r="EC129" i="14" s="1"/>
  <c r="ED129" i="14" s="1"/>
  <c r="EF129" i="14" s="1"/>
  <c r="FK129" i="14" s="1"/>
  <c r="AM51" i="38"/>
  <c r="AN51" i="38" s="1"/>
  <c r="F37" i="16"/>
  <c r="G37" i="16" s="1"/>
  <c r="H37" i="16" s="1"/>
  <c r="DV120" i="14"/>
  <c r="Y104" i="38" s="1"/>
  <c r="AF146" i="15"/>
  <c r="AS146" i="15" s="1"/>
  <c r="DV125" i="14"/>
  <c r="EC125" i="14" s="1"/>
  <c r="ED125" i="14" s="1"/>
  <c r="EE125" i="14" s="1"/>
  <c r="DV126" i="14"/>
  <c r="DY126" i="14" s="1"/>
  <c r="X138" i="38"/>
  <c r="AR138" i="38" s="1"/>
  <c r="AT138" i="38" s="1"/>
  <c r="DV123" i="14"/>
  <c r="DY123" i="14" s="1"/>
  <c r="DY128" i="14"/>
  <c r="DV122" i="14"/>
  <c r="Y106" i="38" s="1"/>
  <c r="AB106" i="38" s="1"/>
  <c r="AM106" i="38" s="1"/>
  <c r="AO106" i="38" s="1"/>
  <c r="DY83" i="14"/>
  <c r="X125" i="38"/>
  <c r="EC83" i="14"/>
  <c r="ED83" i="14" s="1"/>
  <c r="X136" i="38"/>
  <c r="X105" i="38"/>
  <c r="AR105" i="38" s="1"/>
  <c r="AT105" i="38" s="1"/>
  <c r="EE96" i="14"/>
  <c r="FJ96" i="14" s="1"/>
  <c r="FV96" i="14" s="1"/>
  <c r="Y67" i="38"/>
  <c r="AB67" i="38" s="1"/>
  <c r="X66" i="38"/>
  <c r="AR66" i="38" s="1"/>
  <c r="AT66" i="38" s="1"/>
  <c r="BR120" i="38"/>
  <c r="BV120" i="38" s="1"/>
  <c r="AM102" i="38"/>
  <c r="AO102" i="38" s="1"/>
  <c r="BR79" i="38"/>
  <c r="BV79" i="38" s="1"/>
  <c r="BR119" i="38"/>
  <c r="BV119" i="38" s="1"/>
  <c r="BR47" i="38"/>
  <c r="BV47" i="38" s="1"/>
  <c r="X128" i="38"/>
  <c r="AF111" i="15"/>
  <c r="AS111" i="15" s="1"/>
  <c r="BR60" i="38"/>
  <c r="BV60" i="38" s="1"/>
  <c r="BW60" i="38" s="1"/>
  <c r="BX60" i="38" s="1"/>
  <c r="BY60" i="38" s="1"/>
  <c r="BZ60" i="38" s="1"/>
  <c r="BR80" i="38"/>
  <c r="BV80" i="38" s="1"/>
  <c r="BW80" i="38" s="1"/>
  <c r="BX80" i="38" s="1"/>
  <c r="BY80" i="38" s="1"/>
  <c r="BZ80" i="38" s="1"/>
  <c r="CA80" i="38" s="1"/>
  <c r="CB80" i="38" s="1"/>
  <c r="CC80" i="38" s="1"/>
  <c r="CD80" i="38" s="1"/>
  <c r="CE80" i="38" s="1"/>
  <c r="CF80" i="38" s="1"/>
  <c r="CG80" i="38" s="1"/>
  <c r="CH80" i="38" s="1"/>
  <c r="CI80" i="38" s="1"/>
  <c r="CJ80" i="38" s="1"/>
  <c r="CK80" i="38" s="1"/>
  <c r="CL80" i="38" s="1"/>
  <c r="DY88" i="14"/>
  <c r="BR78" i="38"/>
  <c r="BV78" i="38" s="1"/>
  <c r="BR73" i="38"/>
  <c r="BV73" i="38" s="1"/>
  <c r="BR118" i="38"/>
  <c r="BV118" i="38" s="1"/>
  <c r="BW118" i="38" s="1"/>
  <c r="BX118" i="38" s="1"/>
  <c r="BY118" i="38" s="1"/>
  <c r="BZ118" i="38" s="1"/>
  <c r="CA118" i="38" s="1"/>
  <c r="CB118" i="38" s="1"/>
  <c r="CC118" i="38" s="1"/>
  <c r="CD118" i="38" s="1"/>
  <c r="AM94" i="38"/>
  <c r="AO94" i="38" s="1"/>
  <c r="AM86" i="38"/>
  <c r="AO86" i="38" s="1"/>
  <c r="AM48" i="38"/>
  <c r="AO48" i="38" s="1"/>
  <c r="AF112" i="15"/>
  <c r="AS112" i="15" s="1"/>
  <c r="DY86" i="14"/>
  <c r="Y70" i="38"/>
  <c r="AB70" i="38" s="1"/>
  <c r="EC86" i="14"/>
  <c r="ED86" i="14" s="1"/>
  <c r="EE86" i="14" s="1"/>
  <c r="FJ86" i="14" s="1"/>
  <c r="X112" i="38"/>
  <c r="AR112" i="38" s="1"/>
  <c r="AT112" i="38" s="1"/>
  <c r="AM101" i="38"/>
  <c r="AN101" i="38" s="1"/>
  <c r="Y71" i="38"/>
  <c r="AB71" i="38" s="1"/>
  <c r="AG73" i="15"/>
  <c r="BL71" i="38" s="1"/>
  <c r="BP71" i="38" s="1"/>
  <c r="DY87" i="14"/>
  <c r="EC87" i="14"/>
  <c r="ED87" i="14" s="1"/>
  <c r="EE79" i="14"/>
  <c r="FJ79" i="14" s="1"/>
  <c r="FU79" i="14" s="1"/>
  <c r="AR123" i="38"/>
  <c r="AT123" i="38" s="1"/>
  <c r="AM123" i="38"/>
  <c r="AO123" i="38" s="1"/>
  <c r="AS46" i="38"/>
  <c r="AU46" i="38" s="1"/>
  <c r="AV46" i="38" s="1"/>
  <c r="H47" i="40" s="1"/>
  <c r="EF74" i="14"/>
  <c r="FK74" i="14" s="1"/>
  <c r="EE98" i="14"/>
  <c r="EG98" i="14" s="1"/>
  <c r="X108" i="38"/>
  <c r="AR108" i="38" s="1"/>
  <c r="AT108" i="38" s="1"/>
  <c r="AM81" i="38"/>
  <c r="AN81" i="38" s="1"/>
  <c r="EE78" i="14"/>
  <c r="FJ78" i="14" s="1"/>
  <c r="FU78" i="14" s="1"/>
  <c r="AM54" i="38"/>
  <c r="AN54" i="38" s="1"/>
  <c r="AM76" i="38"/>
  <c r="AN76" i="38" s="1"/>
  <c r="EE72" i="14"/>
  <c r="EG72" i="14" s="1"/>
  <c r="AS90" i="38"/>
  <c r="AU90" i="38" s="1"/>
  <c r="AV90" i="38" s="1"/>
  <c r="H91" i="40" s="1"/>
  <c r="BR94" i="38"/>
  <c r="BV94" i="38" s="1"/>
  <c r="BW94" i="38" s="1"/>
  <c r="BX94" i="38" s="1"/>
  <c r="BY94" i="38" s="1"/>
  <c r="BZ94" i="38" s="1"/>
  <c r="CA94" i="38" s="1"/>
  <c r="CB94" i="38" s="1"/>
  <c r="CC94" i="38" s="1"/>
  <c r="CD94" i="38" s="1"/>
  <c r="CE94" i="38" s="1"/>
  <c r="CF94" i="38" s="1"/>
  <c r="CG94" i="38" s="1"/>
  <c r="CH94" i="38" s="1"/>
  <c r="BR65" i="38"/>
  <c r="BV65" i="38" s="1"/>
  <c r="BR48" i="38"/>
  <c r="BV48" i="38" s="1"/>
  <c r="BW48" i="38" s="1"/>
  <c r="BX48" i="38" s="1"/>
  <c r="BY48" i="38" s="1"/>
  <c r="BZ48" i="38" s="1"/>
  <c r="BR103" i="38"/>
  <c r="BV103" i="38" s="1"/>
  <c r="BR98" i="38"/>
  <c r="BV98" i="38" s="1"/>
  <c r="BR102" i="38"/>
  <c r="BV102" i="38" s="1"/>
  <c r="BR101" i="38"/>
  <c r="BV101" i="38" s="1"/>
  <c r="BR52" i="38"/>
  <c r="BV52" i="38" s="1"/>
  <c r="BW52" i="38" s="1"/>
  <c r="BX52" i="38" s="1"/>
  <c r="BY52" i="38" s="1"/>
  <c r="BZ52" i="38" s="1"/>
  <c r="CA52" i="38" s="1"/>
  <c r="CB52" i="38" s="1"/>
  <c r="CC52" i="38" s="1"/>
  <c r="CD52" i="38" s="1"/>
  <c r="BR95" i="38"/>
  <c r="BV95" i="38" s="1"/>
  <c r="BR44" i="38"/>
  <c r="BV44" i="38" s="1"/>
  <c r="BR99" i="38"/>
  <c r="BV99" i="38" s="1"/>
  <c r="BR100" i="38"/>
  <c r="BV100" i="38" s="1"/>
  <c r="BR63" i="38"/>
  <c r="BV63" i="38" s="1"/>
  <c r="BR51" i="38"/>
  <c r="BV51" i="38" s="1"/>
  <c r="BR46" i="38"/>
  <c r="BV46" i="38" s="1"/>
  <c r="BR57" i="38"/>
  <c r="BV57" i="38" s="1"/>
  <c r="BR45" i="38"/>
  <c r="BV45" i="38" s="1"/>
  <c r="BR96" i="38"/>
  <c r="BV96" i="38" s="1"/>
  <c r="BR61" i="38"/>
  <c r="BV61" i="38" s="1"/>
  <c r="BR97" i="38"/>
  <c r="BV97" i="38" s="1"/>
  <c r="BR49" i="38"/>
  <c r="BV49" i="38" s="1"/>
  <c r="EE77" i="14"/>
  <c r="EG77" i="14" s="1"/>
  <c r="BR59" i="38"/>
  <c r="BV59" i="38" s="1"/>
  <c r="BR53" i="38"/>
  <c r="BV53" i="38" s="1"/>
  <c r="BR67" i="38"/>
  <c r="BV67" i="38" s="1"/>
  <c r="BR50" i="38"/>
  <c r="BV50" i="38" s="1"/>
  <c r="BW50" i="38" s="1"/>
  <c r="BX50" i="38" s="1"/>
  <c r="BY50" i="38" s="1"/>
  <c r="BZ50" i="38" s="1"/>
  <c r="CA50" i="38" s="1"/>
  <c r="CB50" i="38" s="1"/>
  <c r="CC50" i="38" s="1"/>
  <c r="CD50" i="38" s="1"/>
  <c r="BR70" i="38"/>
  <c r="BV70" i="38" s="1"/>
  <c r="BR58" i="38"/>
  <c r="BV58" i="38" s="1"/>
  <c r="BW58" i="38" s="1"/>
  <c r="BX58" i="38" s="1"/>
  <c r="BY58" i="38" s="1"/>
  <c r="BZ58" i="38" s="1"/>
  <c r="BR54" i="38"/>
  <c r="BV54" i="38" s="1"/>
  <c r="BW54" i="38" s="1"/>
  <c r="BX54" i="38" s="1"/>
  <c r="BY54" i="38" s="1"/>
  <c r="BZ54" i="38" s="1"/>
  <c r="CA54" i="38" s="1"/>
  <c r="CB54" i="38" s="1"/>
  <c r="CC54" i="38" s="1"/>
  <c r="CD54" i="38" s="1"/>
  <c r="AS84" i="38"/>
  <c r="AU84" i="38" s="1"/>
  <c r="AV84" i="38" s="1"/>
  <c r="H85" i="40" s="1"/>
  <c r="AS117" i="38"/>
  <c r="AU117" i="38" s="1"/>
  <c r="AV117" i="38" s="1"/>
  <c r="H118" i="40" s="1"/>
  <c r="AS97" i="38"/>
  <c r="AU97" i="38" s="1"/>
  <c r="AV97" i="38" s="1"/>
  <c r="H98" i="40" s="1"/>
  <c r="AS116" i="38"/>
  <c r="AU116" i="38" s="1"/>
  <c r="AV116" i="38" s="1"/>
  <c r="H117" i="40" s="1"/>
  <c r="AM53" i="38"/>
  <c r="AN53" i="38" s="1"/>
  <c r="AM103" i="38"/>
  <c r="AN103" i="38" s="1"/>
  <c r="AM49" i="38"/>
  <c r="AN49" i="38" s="1"/>
  <c r="AM46" i="38"/>
  <c r="AN46" i="38" s="1"/>
  <c r="AR106" i="38"/>
  <c r="AT106" i="38" s="1"/>
  <c r="AR120" i="38"/>
  <c r="AT120" i="38" s="1"/>
  <c r="AS59" i="38"/>
  <c r="AU59" i="38" s="1"/>
  <c r="AV59" i="38" s="1"/>
  <c r="H60" i="40" s="1"/>
  <c r="AS75" i="38"/>
  <c r="AU75" i="38" s="1"/>
  <c r="AV75" i="38" s="1"/>
  <c r="H76" i="40" s="1"/>
  <c r="AB44" i="38"/>
  <c r="AM44" i="38" s="1"/>
  <c r="AO44" i="38" s="1"/>
  <c r="AS79" i="38"/>
  <c r="AU79" i="38" s="1"/>
  <c r="AV79" i="38" s="1"/>
  <c r="H80" i="40" s="1"/>
  <c r="AS45" i="38"/>
  <c r="AU45" i="38" s="1"/>
  <c r="AV45" i="38" s="1"/>
  <c r="H46" i="40" s="1"/>
  <c r="AR110" i="38"/>
  <c r="AT110" i="38" s="1"/>
  <c r="AS80" i="38"/>
  <c r="AU80" i="38" s="1"/>
  <c r="AV80" i="38" s="1"/>
  <c r="H81" i="40" s="1"/>
  <c r="AS85" i="38"/>
  <c r="AU85" i="38" s="1"/>
  <c r="AV85" i="38" s="1"/>
  <c r="H86" i="40" s="1"/>
  <c r="AS95" i="38"/>
  <c r="AU95" i="38" s="1"/>
  <c r="AV95" i="38" s="1"/>
  <c r="H96" i="40" s="1"/>
  <c r="AR109" i="38"/>
  <c r="AT109" i="38" s="1"/>
  <c r="AR111" i="38"/>
  <c r="AT111" i="38" s="1"/>
  <c r="AS87" i="38"/>
  <c r="AU87" i="38" s="1"/>
  <c r="AV87" i="38" s="1"/>
  <c r="H88" i="40" s="1"/>
  <c r="AS118" i="38"/>
  <c r="AU118" i="38" s="1"/>
  <c r="AV118" i="38" s="1"/>
  <c r="H119" i="40" s="1"/>
  <c r="AS122" i="38"/>
  <c r="AU122" i="38" s="1"/>
  <c r="AV122" i="38" s="1"/>
  <c r="H123" i="40" s="1"/>
  <c r="AS92" i="38"/>
  <c r="AU92" i="38" s="1"/>
  <c r="AV92" i="38" s="1"/>
  <c r="H93" i="40" s="1"/>
  <c r="AR65" i="38"/>
  <c r="AT65" i="38" s="1"/>
  <c r="AR69" i="38"/>
  <c r="AT69" i="38" s="1"/>
  <c r="AO84" i="38"/>
  <c r="AP84" i="38" s="1"/>
  <c r="AQ84" i="38" s="1"/>
  <c r="G85" i="40" s="1"/>
  <c r="AM69" i="38"/>
  <c r="AO69" i="38" s="1"/>
  <c r="AM120" i="38"/>
  <c r="AO120" i="38" s="1"/>
  <c r="AI140" i="15"/>
  <c r="BM138" i="38" s="1"/>
  <c r="BQ138" i="38" s="1"/>
  <c r="AA138" i="38"/>
  <c r="AB138" i="38" s="1"/>
  <c r="AI136" i="15"/>
  <c r="BM134" i="38" s="1"/>
  <c r="BQ134" i="38" s="1"/>
  <c r="AA134" i="38"/>
  <c r="AI141" i="15"/>
  <c r="BM139" i="38" s="1"/>
  <c r="BQ139" i="38" s="1"/>
  <c r="AA139" i="38"/>
  <c r="EE75" i="14"/>
  <c r="FJ75" i="14" s="1"/>
  <c r="FU75" i="14" s="1"/>
  <c r="AI142" i="15"/>
  <c r="BM140" i="38" s="1"/>
  <c r="BQ140" i="38" s="1"/>
  <c r="AA140" i="38"/>
  <c r="AI138" i="15"/>
  <c r="BM136" i="38" s="1"/>
  <c r="BQ136" i="38" s="1"/>
  <c r="AA136" i="38"/>
  <c r="AI145" i="15"/>
  <c r="BM143" i="38" s="1"/>
  <c r="BQ143" i="38" s="1"/>
  <c r="AA143" i="38"/>
  <c r="AI146" i="15"/>
  <c r="BM144" i="38" s="1"/>
  <c r="BQ144" i="38" s="1"/>
  <c r="AA144" i="38"/>
  <c r="AI128" i="15"/>
  <c r="BM126" i="38" s="1"/>
  <c r="BQ126" i="38" s="1"/>
  <c r="AA126" i="38"/>
  <c r="AB126" i="38" s="1"/>
  <c r="AI143" i="15"/>
  <c r="BM141" i="38" s="1"/>
  <c r="BQ141" i="38" s="1"/>
  <c r="AA141" i="38"/>
  <c r="AI137" i="15"/>
  <c r="BM135" i="38" s="1"/>
  <c r="BQ135" i="38" s="1"/>
  <c r="AA135" i="38"/>
  <c r="AI144" i="15"/>
  <c r="BM142" i="38" s="1"/>
  <c r="BQ142" i="38" s="1"/>
  <c r="AA142" i="38"/>
  <c r="AI139" i="15"/>
  <c r="BM137" i="38" s="1"/>
  <c r="BQ137" i="38" s="1"/>
  <c r="AA137" i="38"/>
  <c r="EF70" i="14"/>
  <c r="FK70" i="14" s="1"/>
  <c r="GB75" i="14"/>
  <c r="GE75" i="14"/>
  <c r="GE80" i="14"/>
  <c r="GB79" i="14"/>
  <c r="GE79" i="14"/>
  <c r="GB72" i="14"/>
  <c r="GE72" i="14"/>
  <c r="GE109" i="14"/>
  <c r="GC102" i="14"/>
  <c r="GE102" i="14"/>
  <c r="FT70" i="14"/>
  <c r="FW70" i="14"/>
  <c r="GE74" i="14"/>
  <c r="GC101" i="14"/>
  <c r="GE101" i="14"/>
  <c r="GC108" i="14"/>
  <c r="GE108" i="14"/>
  <c r="GC98" i="14"/>
  <c r="GE98" i="14"/>
  <c r="GD132" i="14"/>
  <c r="GE132" i="14"/>
  <c r="GE71" i="14"/>
  <c r="GE89" i="14"/>
  <c r="GE86" i="14"/>
  <c r="GD134" i="14"/>
  <c r="GE134" i="14"/>
  <c r="GC97" i="14"/>
  <c r="GE97" i="14"/>
  <c r="GC100" i="14"/>
  <c r="GE100" i="14"/>
  <c r="GE87" i="14"/>
  <c r="GE70" i="14"/>
  <c r="GE103" i="14"/>
  <c r="GE104" i="14"/>
  <c r="GE81" i="14"/>
  <c r="GE83" i="14"/>
  <c r="GE88" i="14"/>
  <c r="GE93" i="14"/>
  <c r="GD131" i="14"/>
  <c r="GE131" i="14"/>
  <c r="GC95" i="14"/>
  <c r="GE95" i="14"/>
  <c r="GB76" i="14"/>
  <c r="GE76" i="14"/>
  <c r="GE84" i="14"/>
  <c r="GC91" i="14"/>
  <c r="GE91" i="14"/>
  <c r="GB78" i="14"/>
  <c r="GE78" i="14"/>
  <c r="GE73" i="14"/>
  <c r="GE85" i="14"/>
  <c r="GE82" i="14"/>
  <c r="GB77" i="14"/>
  <c r="GE77" i="14"/>
  <c r="GC99" i="14"/>
  <c r="GE99" i="14"/>
  <c r="GE105" i="14"/>
  <c r="GD130" i="14"/>
  <c r="GE130" i="14"/>
  <c r="GC96" i="14"/>
  <c r="GE96" i="14"/>
  <c r="GC106" i="14"/>
  <c r="GE106" i="14"/>
  <c r="GC92" i="14"/>
  <c r="GE92" i="14"/>
  <c r="AG128" i="15"/>
  <c r="BL126" i="38" s="1"/>
  <c r="BP126" i="38" s="1"/>
  <c r="EC142" i="14"/>
  <c r="ED142" i="14" s="1"/>
  <c r="DY142" i="14"/>
  <c r="FJ93" i="14"/>
  <c r="FV93" i="14" s="1"/>
  <c r="FJ108" i="14"/>
  <c r="FV108" i="14" s="1"/>
  <c r="EG108" i="14"/>
  <c r="EF112" i="14"/>
  <c r="FK112" i="14" s="1"/>
  <c r="GC112" i="14" s="1"/>
  <c r="EE112" i="14"/>
  <c r="FJ136" i="14"/>
  <c r="FJ90" i="14"/>
  <c r="FV90" i="14" s="1"/>
  <c r="FJ107" i="14"/>
  <c r="FV107" i="14" s="1"/>
  <c r="FJ135" i="14"/>
  <c r="EF115" i="14"/>
  <c r="FK115" i="14" s="1"/>
  <c r="GC115" i="14" s="1"/>
  <c r="EE115" i="14"/>
  <c r="FJ105" i="14"/>
  <c r="FV105" i="14" s="1"/>
  <c r="EE116" i="14"/>
  <c r="EF116" i="14"/>
  <c r="FK116" i="14" s="1"/>
  <c r="GC116" i="14" s="1"/>
  <c r="EE114" i="14"/>
  <c r="EF114" i="14"/>
  <c r="FK114" i="14" s="1"/>
  <c r="GC114" i="14" s="1"/>
  <c r="FJ101" i="14"/>
  <c r="FV101" i="14" s="1"/>
  <c r="EG101" i="14"/>
  <c r="AG140" i="15"/>
  <c r="BL138" i="38" s="1"/>
  <c r="BP138" i="38" s="1"/>
  <c r="EC154" i="14"/>
  <c r="ED154" i="14" s="1"/>
  <c r="DY154" i="14"/>
  <c r="EF117" i="14"/>
  <c r="FK117" i="14" s="1"/>
  <c r="GC117" i="14" s="1"/>
  <c r="EE117" i="14"/>
  <c r="FJ109" i="14"/>
  <c r="FV109" i="14" s="1"/>
  <c r="EE118" i="14"/>
  <c r="EF118" i="14"/>
  <c r="FK118" i="14" s="1"/>
  <c r="GC118" i="14" s="1"/>
  <c r="EE110" i="14"/>
  <c r="EF110" i="14"/>
  <c r="FK110" i="14" s="1"/>
  <c r="GC110" i="14" s="1"/>
  <c r="FJ103" i="14"/>
  <c r="FV103" i="14" s="1"/>
  <c r="EE111" i="14"/>
  <c r="EF111" i="14"/>
  <c r="FK111" i="14" s="1"/>
  <c r="GC111" i="14" s="1"/>
  <c r="FJ133" i="14"/>
  <c r="EF113" i="14"/>
  <c r="FK113" i="14" s="1"/>
  <c r="GC113" i="14" s="1"/>
  <c r="EE113" i="14"/>
  <c r="EE119" i="14"/>
  <c r="EF119" i="14"/>
  <c r="FK119" i="14" s="1"/>
  <c r="GC119" i="14" s="1"/>
  <c r="FJ94" i="14"/>
  <c r="FV94" i="14" s="1"/>
  <c r="FJ104" i="14"/>
  <c r="FV104" i="14" s="1"/>
  <c r="EF61" i="14"/>
  <c r="FK61" i="14" s="1"/>
  <c r="EE68" i="14"/>
  <c r="EF68" i="14"/>
  <c r="FK68" i="14" s="1"/>
  <c r="GC68" i="14" s="1"/>
  <c r="EE62" i="14"/>
  <c r="EF62" i="14"/>
  <c r="FK62" i="14" s="1"/>
  <c r="FJ71" i="14"/>
  <c r="FU71" i="14" s="1"/>
  <c r="EF67" i="14"/>
  <c r="FK67" i="14" s="1"/>
  <c r="GC67" i="14" s="1"/>
  <c r="EE67" i="14"/>
  <c r="EF64" i="14"/>
  <c r="FK64" i="14" s="1"/>
  <c r="EE64" i="14"/>
  <c r="FJ82" i="14"/>
  <c r="EE60" i="14"/>
  <c r="EF60" i="14"/>
  <c r="FK60" i="14" s="1"/>
  <c r="EE69" i="14"/>
  <c r="EF69" i="14"/>
  <c r="FK69" i="14" s="1"/>
  <c r="GC69" i="14" s="1"/>
  <c r="FJ73" i="14"/>
  <c r="FU73" i="14" s="1"/>
  <c r="EF66" i="14"/>
  <c r="FK66" i="14" s="1"/>
  <c r="GC66" i="14" s="1"/>
  <c r="EE66" i="14"/>
  <c r="FJ74" i="14"/>
  <c r="FU74" i="14" s="1"/>
  <c r="EE65" i="14"/>
  <c r="EF65" i="14"/>
  <c r="FK65" i="14" s="1"/>
  <c r="GC65" i="14" s="1"/>
  <c r="FJ61" i="14"/>
  <c r="EE63" i="14"/>
  <c r="EF63" i="14"/>
  <c r="FK63" i="14" s="1"/>
  <c r="H41" i="16"/>
  <c r="H43" i="16"/>
  <c r="H29" i="16"/>
  <c r="H42" i="16"/>
  <c r="H30" i="16"/>
  <c r="AR127" i="38" l="1"/>
  <c r="AT127" i="38" s="1"/>
  <c r="FU82" i="14"/>
  <c r="FV82" i="14"/>
  <c r="FT86" i="14"/>
  <c r="FV86" i="14"/>
  <c r="FU80" i="14"/>
  <c r="FV80" i="14"/>
  <c r="FT89" i="14"/>
  <c r="FV89" i="14"/>
  <c r="FT85" i="14"/>
  <c r="FV85" i="14"/>
  <c r="FU81" i="14"/>
  <c r="FV81" i="14"/>
  <c r="FT88" i="14"/>
  <c r="FV88" i="14"/>
  <c r="FW135" i="14"/>
  <c r="FV135" i="14"/>
  <c r="FW138" i="14"/>
  <c r="FV138" i="14"/>
  <c r="GE135" i="14"/>
  <c r="GD135" i="14"/>
  <c r="FW136" i="14"/>
  <c r="FV136" i="14"/>
  <c r="GE136" i="14"/>
  <c r="GD136" i="14"/>
  <c r="GE133" i="14"/>
  <c r="GC93" i="14"/>
  <c r="GD93" i="14"/>
  <c r="GC94" i="14"/>
  <c r="GD94" i="14"/>
  <c r="GC90" i="14"/>
  <c r="GD90" i="14"/>
  <c r="GC104" i="14"/>
  <c r="GD104" i="14"/>
  <c r="GC103" i="14"/>
  <c r="GD103" i="14"/>
  <c r="AS86" i="38"/>
  <c r="AU86" i="38" s="1"/>
  <c r="AV86" i="38" s="1"/>
  <c r="H87" i="40" s="1"/>
  <c r="BB59" i="43" s="1"/>
  <c r="BB59" i="45" s="1"/>
  <c r="AR128" i="38"/>
  <c r="AT128" i="38" s="1"/>
  <c r="GB71" i="14"/>
  <c r="GC71" i="14"/>
  <c r="GB73" i="14"/>
  <c r="GC73" i="14"/>
  <c r="GB74" i="14"/>
  <c r="GC74" i="14"/>
  <c r="GB70" i="14"/>
  <c r="GC70" i="14"/>
  <c r="GC105" i="14"/>
  <c r="GD105" i="14"/>
  <c r="GC109" i="14"/>
  <c r="GD109" i="14"/>
  <c r="GC107" i="14"/>
  <c r="GD107" i="14"/>
  <c r="GB84" i="14"/>
  <c r="GC84" i="14"/>
  <c r="GB82" i="14"/>
  <c r="GC82" i="14"/>
  <c r="AS96" i="38"/>
  <c r="AU96" i="38" s="1"/>
  <c r="AV96" i="38" s="1"/>
  <c r="H97" i="40" s="1"/>
  <c r="BB61" i="43" s="1"/>
  <c r="BB61" i="45" s="1"/>
  <c r="AN97" i="38"/>
  <c r="AP97" i="38" s="1"/>
  <c r="AQ97" i="38" s="1"/>
  <c r="G98" i="40" s="1"/>
  <c r="AS98" i="38"/>
  <c r="AU98" i="38" s="1"/>
  <c r="AV98" i="38" s="1"/>
  <c r="H99" i="40" s="1"/>
  <c r="AR132" i="38"/>
  <c r="AT132" i="38" s="1"/>
  <c r="AN80" i="38"/>
  <c r="AP80" i="38" s="1"/>
  <c r="AQ80" i="38" s="1"/>
  <c r="G81" i="40" s="1"/>
  <c r="AS114" i="38"/>
  <c r="AU114" i="38" s="1"/>
  <c r="AV114" i="38" s="1"/>
  <c r="H115" i="40" s="1"/>
  <c r="EC155" i="14"/>
  <c r="ED155" i="14" s="1"/>
  <c r="EE155" i="14" s="1"/>
  <c r="AG145" i="15"/>
  <c r="BL143" i="38" s="1"/>
  <c r="BP143" i="38" s="1"/>
  <c r="BR143" i="38" s="1"/>
  <c r="BV143" i="38" s="1"/>
  <c r="BB54" i="43"/>
  <c r="BB54" i="45" s="1"/>
  <c r="BA54" i="43"/>
  <c r="BA54" i="45" s="1"/>
  <c r="BB52" i="43"/>
  <c r="BB52" i="45" s="1"/>
  <c r="CM80" i="38"/>
  <c r="CN80" i="38" s="1"/>
  <c r="CO80" i="38" s="1"/>
  <c r="CP80" i="38" s="1"/>
  <c r="BW88" i="38"/>
  <c r="BX88" i="38" s="1"/>
  <c r="BY88" i="38" s="1"/>
  <c r="BZ88" i="38" s="1"/>
  <c r="CA88" i="38" s="1"/>
  <c r="CB88" i="38" s="1"/>
  <c r="CC88" i="38" s="1"/>
  <c r="CD88" i="38" s="1"/>
  <c r="CE88" i="38" s="1"/>
  <c r="CF88" i="38" s="1"/>
  <c r="CG88" i="38" s="1"/>
  <c r="CH88" i="38" s="1"/>
  <c r="BW83" i="38"/>
  <c r="BX83" i="38" s="1"/>
  <c r="BY83" i="38" s="1"/>
  <c r="BZ83" i="38" s="1"/>
  <c r="CA83" i="38" s="1"/>
  <c r="CB83" i="38" s="1"/>
  <c r="CC83" i="38" s="1"/>
  <c r="CD83" i="38" s="1"/>
  <c r="CE52" i="38"/>
  <c r="CF52" i="38" s="1"/>
  <c r="CG52" i="38" s="1"/>
  <c r="CH52" i="38" s="1"/>
  <c r="CI52" i="38" s="1"/>
  <c r="CJ52" i="38" s="1"/>
  <c r="CK52" i="38" s="1"/>
  <c r="CL52" i="38" s="1"/>
  <c r="CM52" i="38" s="1"/>
  <c r="CN52" i="38" s="1"/>
  <c r="CO52" i="38" s="1"/>
  <c r="CP52" i="38" s="1"/>
  <c r="CA60" i="38"/>
  <c r="CB60" i="38" s="1"/>
  <c r="CC60" i="38" s="1"/>
  <c r="CD60" i="38" s="1"/>
  <c r="CA81" i="38"/>
  <c r="CB81" i="38" s="1"/>
  <c r="CC81" i="38" s="1"/>
  <c r="CD81" i="38" s="1"/>
  <c r="BW95" i="38"/>
  <c r="BX95" i="38" s="1"/>
  <c r="BY95" i="38" s="1"/>
  <c r="BZ95" i="38" s="1"/>
  <c r="BW59" i="38"/>
  <c r="BX59" i="38" s="1"/>
  <c r="BY59" i="38" s="1"/>
  <c r="BZ59" i="38" s="1"/>
  <c r="BW46" i="38"/>
  <c r="BX46" i="38" s="1"/>
  <c r="BY46" i="38" s="1"/>
  <c r="BZ46" i="38" s="1"/>
  <c r="BW101" i="38"/>
  <c r="BX101" i="38" s="1"/>
  <c r="BY101" i="38" s="1"/>
  <c r="BZ101" i="38" s="1"/>
  <c r="CA101" i="38" s="1"/>
  <c r="CB101" i="38" s="1"/>
  <c r="CC101" i="38" s="1"/>
  <c r="CD101" i="38" s="1"/>
  <c r="CE101" i="38" s="1"/>
  <c r="CF101" i="38" s="1"/>
  <c r="CG101" i="38" s="1"/>
  <c r="CH101" i="38" s="1"/>
  <c r="BW87" i="38"/>
  <c r="BX87" i="38" s="1"/>
  <c r="BY87" i="38" s="1"/>
  <c r="BZ87" i="38" s="1"/>
  <c r="CA87" i="38" s="1"/>
  <c r="CB87" i="38" s="1"/>
  <c r="CC87" i="38" s="1"/>
  <c r="CD87" i="38" s="1"/>
  <c r="CE87" i="38" s="1"/>
  <c r="CF87" i="38" s="1"/>
  <c r="CG87" i="38" s="1"/>
  <c r="CH87" i="38" s="1"/>
  <c r="BW62" i="38"/>
  <c r="BX62" i="38" s="1"/>
  <c r="BY62" i="38" s="1"/>
  <c r="BZ62" i="38" s="1"/>
  <c r="BW122" i="38"/>
  <c r="BX122" i="38" s="1"/>
  <c r="BY122" i="38" s="1"/>
  <c r="BZ122" i="38" s="1"/>
  <c r="CA122" i="38" s="1"/>
  <c r="CB122" i="38" s="1"/>
  <c r="CC122" i="38" s="1"/>
  <c r="CD122" i="38" s="1"/>
  <c r="CE122" i="38" s="1"/>
  <c r="CF122" i="38" s="1"/>
  <c r="CG122" i="38" s="1"/>
  <c r="CH122" i="38" s="1"/>
  <c r="CI122" i="38" s="1"/>
  <c r="CJ122" i="38" s="1"/>
  <c r="CK122" i="38" s="1"/>
  <c r="CL122" i="38" s="1"/>
  <c r="BW84" i="38"/>
  <c r="BX84" i="38" s="1"/>
  <c r="BY84" i="38" s="1"/>
  <c r="BZ84" i="38" s="1"/>
  <c r="CA84" i="38" s="1"/>
  <c r="CB84" i="38" s="1"/>
  <c r="CC84" i="38" s="1"/>
  <c r="CD84" i="38" s="1"/>
  <c r="BW96" i="38"/>
  <c r="BX96" i="38" s="1"/>
  <c r="BY96" i="38" s="1"/>
  <c r="BZ96" i="38" s="1"/>
  <c r="CI94" i="38"/>
  <c r="CJ94" i="38" s="1"/>
  <c r="CK94" i="38" s="1"/>
  <c r="CL94" i="38" s="1"/>
  <c r="CM94" i="38" s="1"/>
  <c r="CN94" i="38" s="1"/>
  <c r="CO94" i="38" s="1"/>
  <c r="CP94" i="38" s="1"/>
  <c r="CQ94" i="38" s="1"/>
  <c r="CR94" i="38" s="1"/>
  <c r="CS94" i="38" s="1"/>
  <c r="CT94" i="38" s="1"/>
  <c r="BW57" i="38"/>
  <c r="BX57" i="38" s="1"/>
  <c r="BY57" i="38" s="1"/>
  <c r="BZ57" i="38" s="1"/>
  <c r="BW51" i="38"/>
  <c r="BX51" i="38" s="1"/>
  <c r="BY51" i="38" s="1"/>
  <c r="BZ51" i="38" s="1"/>
  <c r="BW102" i="38"/>
  <c r="BX102" i="38" s="1"/>
  <c r="BY102" i="38" s="1"/>
  <c r="BZ102" i="38" s="1"/>
  <c r="CA102" i="38" s="1"/>
  <c r="CB102" i="38" s="1"/>
  <c r="CC102" i="38" s="1"/>
  <c r="CD102" i="38" s="1"/>
  <c r="BW121" i="38"/>
  <c r="BX121" i="38" s="1"/>
  <c r="BY121" i="38" s="1"/>
  <c r="BZ121" i="38" s="1"/>
  <c r="BW74" i="38"/>
  <c r="BX74" i="38" s="1"/>
  <c r="BY74" i="38" s="1"/>
  <c r="BZ74" i="38" s="1"/>
  <c r="BW89" i="38"/>
  <c r="BX89" i="38" s="1"/>
  <c r="BY89" i="38" s="1"/>
  <c r="BZ89" i="38" s="1"/>
  <c r="CA89" i="38" s="1"/>
  <c r="CB89" i="38" s="1"/>
  <c r="CC89" i="38" s="1"/>
  <c r="CD89" i="38" s="1"/>
  <c r="BW91" i="38"/>
  <c r="BX91" i="38" s="1"/>
  <c r="BY91" i="38" s="1"/>
  <c r="BZ91" i="38" s="1"/>
  <c r="BW116" i="38"/>
  <c r="BX116" i="38" s="1"/>
  <c r="BY116" i="38" s="1"/>
  <c r="BZ116" i="38" s="1"/>
  <c r="CA116" i="38" s="1"/>
  <c r="CB116" i="38" s="1"/>
  <c r="CC116" i="38" s="1"/>
  <c r="CD116" i="38" s="1"/>
  <c r="CE54" i="38"/>
  <c r="CF54" i="38" s="1"/>
  <c r="CG54" i="38" s="1"/>
  <c r="CH54" i="38" s="1"/>
  <c r="CI54" i="38" s="1"/>
  <c r="CJ54" i="38" s="1"/>
  <c r="CK54" i="38" s="1"/>
  <c r="CL54" i="38" s="1"/>
  <c r="CM54" i="38" s="1"/>
  <c r="CN54" i="38" s="1"/>
  <c r="CO54" i="38" s="1"/>
  <c r="CP54" i="38" s="1"/>
  <c r="CQ54" i="38" s="1"/>
  <c r="CR54" i="38" s="1"/>
  <c r="CS54" i="38" s="1"/>
  <c r="CT54" i="38" s="1"/>
  <c r="CU54" i="38" s="1"/>
  <c r="CV54" i="38" s="1"/>
  <c r="BW49" i="38"/>
  <c r="BX49" i="38" s="1"/>
  <c r="BY49" i="38" s="1"/>
  <c r="BZ49" i="38" s="1"/>
  <c r="BW63" i="38"/>
  <c r="BX63" i="38" s="1"/>
  <c r="BY63" i="38" s="1"/>
  <c r="BZ63" i="38" s="1"/>
  <c r="BW98" i="38"/>
  <c r="BX98" i="38" s="1"/>
  <c r="BY98" i="38" s="1"/>
  <c r="BZ98" i="38" s="1"/>
  <c r="CA98" i="38" s="1"/>
  <c r="CB98" i="38" s="1"/>
  <c r="CC98" i="38" s="1"/>
  <c r="CD98" i="38" s="1"/>
  <c r="CE98" i="38" s="1"/>
  <c r="CF98" i="38" s="1"/>
  <c r="CG98" i="38" s="1"/>
  <c r="CH98" i="38" s="1"/>
  <c r="CI98" i="38" s="1"/>
  <c r="CJ98" i="38" s="1"/>
  <c r="CK98" i="38" s="1"/>
  <c r="CL98" i="38" s="1"/>
  <c r="CM98" i="38" s="1"/>
  <c r="CN98" i="38" s="1"/>
  <c r="CO98" i="38" s="1"/>
  <c r="CP98" i="38" s="1"/>
  <c r="CQ98" i="38" s="1"/>
  <c r="CR98" i="38" s="1"/>
  <c r="CS98" i="38" s="1"/>
  <c r="CT98" i="38" s="1"/>
  <c r="CE118" i="38"/>
  <c r="CF118" i="38" s="1"/>
  <c r="CG118" i="38" s="1"/>
  <c r="CH118" i="38" s="1"/>
  <c r="CI118" i="38" s="1"/>
  <c r="CJ118" i="38" s="1"/>
  <c r="CK118" i="38" s="1"/>
  <c r="CL118" i="38" s="1"/>
  <c r="CM118" i="38" s="1"/>
  <c r="CN118" i="38" s="1"/>
  <c r="CO118" i="38" s="1"/>
  <c r="CP118" i="38" s="1"/>
  <c r="CQ118" i="38" s="1"/>
  <c r="CR118" i="38" s="1"/>
  <c r="CS118" i="38" s="1"/>
  <c r="CT118" i="38" s="1"/>
  <c r="BW47" i="38"/>
  <c r="BX47" i="38" s="1"/>
  <c r="BY47" i="38" s="1"/>
  <c r="BZ47" i="38" s="1"/>
  <c r="BW93" i="38"/>
  <c r="BX93" i="38" s="1"/>
  <c r="BY93" i="38" s="1"/>
  <c r="BZ93" i="38" s="1"/>
  <c r="CA93" i="38" s="1"/>
  <c r="CB93" i="38" s="1"/>
  <c r="CC93" i="38" s="1"/>
  <c r="CD93" i="38" s="1"/>
  <c r="BW55" i="38"/>
  <c r="BX55" i="38" s="1"/>
  <c r="BY55" i="38" s="1"/>
  <c r="BZ55" i="38" s="1"/>
  <c r="CE50" i="38"/>
  <c r="CF50" i="38" s="1"/>
  <c r="CG50" i="38" s="1"/>
  <c r="CH50" i="38" s="1"/>
  <c r="CI50" i="38" s="1"/>
  <c r="CJ50" i="38" s="1"/>
  <c r="CK50" i="38" s="1"/>
  <c r="CL50" i="38" s="1"/>
  <c r="CM50" i="38" s="1"/>
  <c r="CN50" i="38" s="1"/>
  <c r="CO50" i="38" s="1"/>
  <c r="CP50" i="38" s="1"/>
  <c r="CQ50" i="38" s="1"/>
  <c r="CR50" i="38" s="1"/>
  <c r="CS50" i="38" s="1"/>
  <c r="CT50" i="38" s="1"/>
  <c r="CU50" i="38" s="1"/>
  <c r="CV50" i="38" s="1"/>
  <c r="BW123" i="38"/>
  <c r="BX123" i="38" s="1"/>
  <c r="BY123" i="38" s="1"/>
  <c r="BZ123" i="38" s="1"/>
  <c r="CA123" i="38" s="1"/>
  <c r="CB123" i="38" s="1"/>
  <c r="CC123" i="38" s="1"/>
  <c r="CD123" i="38" s="1"/>
  <c r="CE123" i="38" s="1"/>
  <c r="CF123" i="38" s="1"/>
  <c r="CG123" i="38" s="1"/>
  <c r="CH123" i="38" s="1"/>
  <c r="BW67" i="38"/>
  <c r="BX67" i="38" s="1"/>
  <c r="BY67" i="38" s="1"/>
  <c r="BZ67" i="38" s="1"/>
  <c r="BW53" i="38"/>
  <c r="BX53" i="38" s="1"/>
  <c r="BY53" i="38" s="1"/>
  <c r="BZ53" i="38" s="1"/>
  <c r="CA53" i="38" s="1"/>
  <c r="CB53" i="38" s="1"/>
  <c r="CC53" i="38" s="1"/>
  <c r="CD53" i="38" s="1"/>
  <c r="CA58" i="38"/>
  <c r="CB58" i="38" s="1"/>
  <c r="CC58" i="38" s="1"/>
  <c r="CD58" i="38" s="1"/>
  <c r="BW100" i="38"/>
  <c r="BX100" i="38" s="1"/>
  <c r="BY100" i="38" s="1"/>
  <c r="BZ100" i="38" s="1"/>
  <c r="CA100" i="38" s="1"/>
  <c r="CB100" i="38" s="1"/>
  <c r="CC100" i="38" s="1"/>
  <c r="CD100" i="38" s="1"/>
  <c r="CE100" i="38" s="1"/>
  <c r="CF100" i="38" s="1"/>
  <c r="CG100" i="38" s="1"/>
  <c r="CH100" i="38" s="1"/>
  <c r="CI100" i="38" s="1"/>
  <c r="CJ100" i="38" s="1"/>
  <c r="CK100" i="38" s="1"/>
  <c r="CL100" i="38" s="1"/>
  <c r="CM100" i="38" s="1"/>
  <c r="CN100" i="38" s="1"/>
  <c r="CO100" i="38" s="1"/>
  <c r="CP100" i="38" s="1"/>
  <c r="CQ100" i="38" s="1"/>
  <c r="CR100" i="38" s="1"/>
  <c r="CS100" i="38" s="1"/>
  <c r="CT100" i="38" s="1"/>
  <c r="BW119" i="38"/>
  <c r="BX119" i="38" s="1"/>
  <c r="BY119" i="38" s="1"/>
  <c r="BZ119" i="38" s="1"/>
  <c r="CA119" i="38" s="1"/>
  <c r="CB119" i="38" s="1"/>
  <c r="CC119" i="38" s="1"/>
  <c r="CD119" i="38" s="1"/>
  <c r="BW117" i="38"/>
  <c r="BX117" i="38" s="1"/>
  <c r="BY117" i="38" s="1"/>
  <c r="BZ117" i="38" s="1"/>
  <c r="BW76" i="38"/>
  <c r="BX76" i="38" s="1"/>
  <c r="BY76" i="38" s="1"/>
  <c r="BZ76" i="38" s="1"/>
  <c r="BW82" i="38"/>
  <c r="BX82" i="38" s="1"/>
  <c r="BY82" i="38" s="1"/>
  <c r="BZ82" i="38" s="1"/>
  <c r="BW65" i="38"/>
  <c r="BX65" i="38" s="1"/>
  <c r="BY65" i="38" s="1"/>
  <c r="BZ65" i="38" s="1"/>
  <c r="BW45" i="38"/>
  <c r="BX45" i="38" s="1"/>
  <c r="BY45" i="38" s="1"/>
  <c r="BZ45" i="38" s="1"/>
  <c r="BW61" i="38"/>
  <c r="BX61" i="38" s="1"/>
  <c r="BY61" i="38" s="1"/>
  <c r="BZ61" i="38" s="1"/>
  <c r="CA61" i="38" s="1"/>
  <c r="CB61" i="38" s="1"/>
  <c r="CC61" i="38" s="1"/>
  <c r="CD61" i="38" s="1"/>
  <c r="CE61" i="38" s="1"/>
  <c r="CF61" i="38" s="1"/>
  <c r="CG61" i="38" s="1"/>
  <c r="CH61" i="38" s="1"/>
  <c r="CA48" i="38"/>
  <c r="CB48" i="38" s="1"/>
  <c r="CC48" i="38" s="1"/>
  <c r="CD48" i="38" s="1"/>
  <c r="BW78" i="38"/>
  <c r="BX78" i="38" s="1"/>
  <c r="BY78" i="38" s="1"/>
  <c r="BZ78" i="38" s="1"/>
  <c r="BW79" i="38"/>
  <c r="BX79" i="38" s="1"/>
  <c r="BY79" i="38" s="1"/>
  <c r="BZ79" i="38" s="1"/>
  <c r="CA79" i="38" s="1"/>
  <c r="CB79" i="38" s="1"/>
  <c r="CC79" i="38" s="1"/>
  <c r="CD79" i="38" s="1"/>
  <c r="CE79" i="38" s="1"/>
  <c r="CF79" i="38" s="1"/>
  <c r="CG79" i="38" s="1"/>
  <c r="CH79" i="38" s="1"/>
  <c r="BW92" i="38"/>
  <c r="BX92" i="38" s="1"/>
  <c r="BY92" i="38" s="1"/>
  <c r="BZ92" i="38" s="1"/>
  <c r="CA92" i="38" s="1"/>
  <c r="CB92" i="38" s="1"/>
  <c r="CC92" i="38" s="1"/>
  <c r="CD92" i="38" s="1"/>
  <c r="BW77" i="38"/>
  <c r="BX77" i="38" s="1"/>
  <c r="BY77" i="38" s="1"/>
  <c r="BZ77" i="38" s="1"/>
  <c r="BW66" i="38"/>
  <c r="BX66" i="38" s="1"/>
  <c r="BY66" i="38" s="1"/>
  <c r="BZ66" i="38" s="1"/>
  <c r="BW99" i="38"/>
  <c r="BX99" i="38" s="1"/>
  <c r="BY99" i="38" s="1"/>
  <c r="BZ99" i="38" s="1"/>
  <c r="BW70" i="38"/>
  <c r="BX70" i="38" s="1"/>
  <c r="BY70" i="38" s="1"/>
  <c r="BZ70" i="38" s="1"/>
  <c r="BW115" i="38"/>
  <c r="BX115" i="38" s="1"/>
  <c r="BY115" i="38" s="1"/>
  <c r="BZ115" i="38" s="1"/>
  <c r="BW103" i="38"/>
  <c r="BX103" i="38" s="1"/>
  <c r="BY103" i="38" s="1"/>
  <c r="BZ103" i="38" s="1"/>
  <c r="BW114" i="38"/>
  <c r="BX114" i="38" s="1"/>
  <c r="BY114" i="38" s="1"/>
  <c r="BZ114" i="38" s="1"/>
  <c r="CA114" i="38" s="1"/>
  <c r="CB114" i="38" s="1"/>
  <c r="CC114" i="38" s="1"/>
  <c r="CD114" i="38" s="1"/>
  <c r="BW75" i="38"/>
  <c r="BX75" i="38" s="1"/>
  <c r="BY75" i="38" s="1"/>
  <c r="BZ75" i="38" s="1"/>
  <c r="CA75" i="38" s="1"/>
  <c r="CB75" i="38" s="1"/>
  <c r="CC75" i="38" s="1"/>
  <c r="CD75" i="38" s="1"/>
  <c r="BW120" i="38"/>
  <c r="BX120" i="38" s="1"/>
  <c r="BY120" i="38" s="1"/>
  <c r="BZ120" i="38" s="1"/>
  <c r="CA120" i="38" s="1"/>
  <c r="CB120" i="38" s="1"/>
  <c r="CC120" i="38" s="1"/>
  <c r="CD120" i="38" s="1"/>
  <c r="CA85" i="38"/>
  <c r="CB85" i="38" s="1"/>
  <c r="CC85" i="38" s="1"/>
  <c r="CD85" i="38" s="1"/>
  <c r="BW73" i="38"/>
  <c r="BX73" i="38" s="1"/>
  <c r="BY73" i="38" s="1"/>
  <c r="BZ73" i="38" s="1"/>
  <c r="BW86" i="38"/>
  <c r="BX86" i="38" s="1"/>
  <c r="BY86" i="38" s="1"/>
  <c r="BZ86" i="38" s="1"/>
  <c r="CA86" i="38" s="1"/>
  <c r="CB86" i="38" s="1"/>
  <c r="CC86" i="38" s="1"/>
  <c r="CD86" i="38" s="1"/>
  <c r="CE86" i="38" s="1"/>
  <c r="CF86" i="38" s="1"/>
  <c r="CG86" i="38" s="1"/>
  <c r="CH86" i="38" s="1"/>
  <c r="CI86" i="38" s="1"/>
  <c r="CJ86" i="38" s="1"/>
  <c r="CK86" i="38" s="1"/>
  <c r="CL86" i="38" s="1"/>
  <c r="BW90" i="38"/>
  <c r="BX90" i="38" s="1"/>
  <c r="BY90" i="38" s="1"/>
  <c r="BZ90" i="38" s="1"/>
  <c r="CI56" i="38"/>
  <c r="CJ56" i="38" s="1"/>
  <c r="CK56" i="38" s="1"/>
  <c r="CL56" i="38" s="1"/>
  <c r="CM56" i="38" s="1"/>
  <c r="CN56" i="38" s="1"/>
  <c r="CO56" i="38" s="1"/>
  <c r="CP56" i="38" s="1"/>
  <c r="BW97" i="38"/>
  <c r="BX97" i="38" s="1"/>
  <c r="BY97" i="38" s="1"/>
  <c r="BZ97" i="38" s="1"/>
  <c r="AB140" i="38"/>
  <c r="AM140" i="38" s="1"/>
  <c r="AO140" i="38" s="1"/>
  <c r="AN121" i="38"/>
  <c r="AP121" i="38" s="1"/>
  <c r="AQ121" i="38" s="1"/>
  <c r="G122" i="40" s="1"/>
  <c r="AN95" i="38"/>
  <c r="AP95" i="38" s="1"/>
  <c r="AQ95" i="38" s="1"/>
  <c r="G96" i="40" s="1"/>
  <c r="FJ134" i="14"/>
  <c r="FV134" i="14" s="1"/>
  <c r="DY156" i="14"/>
  <c r="AR125" i="38"/>
  <c r="AT125" i="38" s="1"/>
  <c r="AG141" i="15"/>
  <c r="BL139" i="38" s="1"/>
  <c r="BP139" i="38" s="1"/>
  <c r="BR139" i="38" s="1"/>
  <c r="EC156" i="14"/>
  <c r="ED156" i="14" s="1"/>
  <c r="EF156" i="14" s="1"/>
  <c r="FK156" i="14" s="1"/>
  <c r="AB139" i="38"/>
  <c r="AM139" i="38" s="1"/>
  <c r="AN139" i="38" s="1"/>
  <c r="AB104" i="38"/>
  <c r="AM104" i="38" s="1"/>
  <c r="AO104" i="38" s="1"/>
  <c r="AG142" i="15"/>
  <c r="BL140" i="38" s="1"/>
  <c r="BP140" i="38" s="1"/>
  <c r="AN52" i="38"/>
  <c r="AP52" i="38" s="1"/>
  <c r="AQ52" i="38" s="1"/>
  <c r="G53" i="40" s="1"/>
  <c r="DY159" i="14"/>
  <c r="EG138" i="14"/>
  <c r="EU138" i="14" s="1"/>
  <c r="AG131" i="15"/>
  <c r="BL129" i="38" s="1"/>
  <c r="BP129" i="38" s="1"/>
  <c r="AB143" i="38"/>
  <c r="AM143" i="38" s="1"/>
  <c r="AO143" i="38" s="1"/>
  <c r="EC159" i="14"/>
  <c r="ED159" i="14" s="1"/>
  <c r="EE159" i="14" s="1"/>
  <c r="DY155" i="14"/>
  <c r="AR135" i="38"/>
  <c r="AT135" i="38" s="1"/>
  <c r="AS50" i="38"/>
  <c r="AU50" i="38" s="1"/>
  <c r="AV50" i="38" s="1"/>
  <c r="H51" i="40" s="1"/>
  <c r="AI130" i="15"/>
  <c r="BM128" i="38" s="1"/>
  <c r="BQ128" i="38" s="1"/>
  <c r="DY145" i="14"/>
  <c r="AN96" i="38"/>
  <c r="AP96" i="38" s="1"/>
  <c r="AQ96" i="38" s="1"/>
  <c r="G97" i="40" s="1"/>
  <c r="AS55" i="38"/>
  <c r="AU55" i="38" s="1"/>
  <c r="AV55" i="38" s="1"/>
  <c r="H56" i="40" s="1"/>
  <c r="AS81" i="38"/>
  <c r="AU81" i="38" s="1"/>
  <c r="AV81" i="38" s="1"/>
  <c r="H82" i="40" s="1"/>
  <c r="AO79" i="38"/>
  <c r="AP79" i="38" s="1"/>
  <c r="AQ79" i="38" s="1"/>
  <c r="G80" i="40" s="1"/>
  <c r="EG103" i="14"/>
  <c r="FC103" i="14" s="1"/>
  <c r="AB135" i="38"/>
  <c r="AM135" i="38" s="1"/>
  <c r="AN135" i="38" s="1"/>
  <c r="DY151" i="14"/>
  <c r="EG93" i="14"/>
  <c r="GW93" i="14" s="1"/>
  <c r="GZ93" i="14" s="1"/>
  <c r="HA93" i="14" s="1"/>
  <c r="HB93" i="14" s="1"/>
  <c r="HC93" i="14" s="1"/>
  <c r="AG126" i="15"/>
  <c r="BL124" i="38" s="1"/>
  <c r="BP124" i="38" s="1"/>
  <c r="EG104" i="14"/>
  <c r="EU104" i="14" s="1"/>
  <c r="BR69" i="38"/>
  <c r="BV69" i="38" s="1"/>
  <c r="AA127" i="38"/>
  <c r="AB127" i="38" s="1"/>
  <c r="BR68" i="38"/>
  <c r="BV68" i="38" s="1"/>
  <c r="BW68" i="38" s="1"/>
  <c r="BX68" i="38" s="1"/>
  <c r="BY68" i="38" s="1"/>
  <c r="BZ68" i="38" s="1"/>
  <c r="AA130" i="38"/>
  <c r="AB130" i="38" s="1"/>
  <c r="AM130" i="38" s="1"/>
  <c r="AN130" i="38" s="1"/>
  <c r="AS93" i="38"/>
  <c r="AU93" i="38" s="1"/>
  <c r="AV93" i="38" s="1"/>
  <c r="H94" i="40" s="1"/>
  <c r="AS102" i="38"/>
  <c r="AU102" i="38" s="1"/>
  <c r="AV102" i="38" s="1"/>
  <c r="H103" i="40" s="1"/>
  <c r="BR64" i="38"/>
  <c r="BV64" i="38" s="1"/>
  <c r="BW64" i="38" s="1"/>
  <c r="BX64" i="38" s="1"/>
  <c r="BY64" i="38" s="1"/>
  <c r="BZ64" i="38" s="1"/>
  <c r="AN87" i="38"/>
  <c r="AP87" i="38" s="1"/>
  <c r="AQ87" i="38" s="1"/>
  <c r="G88" i="40" s="1"/>
  <c r="AS48" i="38"/>
  <c r="AU48" i="38" s="1"/>
  <c r="AV48" i="38" s="1"/>
  <c r="H49" i="40" s="1"/>
  <c r="AR130" i="38"/>
  <c r="AT130" i="38" s="1"/>
  <c r="BR112" i="38"/>
  <c r="BV112" i="38" s="1"/>
  <c r="EG90" i="14"/>
  <c r="HE90" i="14" s="1"/>
  <c r="FJ99" i="14"/>
  <c r="EG82" i="14"/>
  <c r="HM82" i="14" s="1"/>
  <c r="AO100" i="38"/>
  <c r="AP100" i="38" s="1"/>
  <c r="AQ100" i="38" s="1"/>
  <c r="G101" i="40" s="1"/>
  <c r="AS47" i="38"/>
  <c r="AU47" i="38" s="1"/>
  <c r="AV47" i="38" s="1"/>
  <c r="H48" i="40" s="1"/>
  <c r="EG109" i="14"/>
  <c r="GW109" i="14" s="1"/>
  <c r="GZ109" i="14" s="1"/>
  <c r="HA109" i="14" s="1"/>
  <c r="HB109" i="14" s="1"/>
  <c r="HC109" i="14" s="1"/>
  <c r="EG106" i="14"/>
  <c r="FC106" i="14" s="1"/>
  <c r="EC158" i="14"/>
  <c r="ED158" i="14" s="1"/>
  <c r="EF158" i="14" s="1"/>
  <c r="FK158" i="14" s="1"/>
  <c r="AS62" i="38"/>
  <c r="AU62" i="38" s="1"/>
  <c r="AV62" i="38" s="1"/>
  <c r="H63" i="40" s="1"/>
  <c r="AO83" i="38"/>
  <c r="AP83" i="38" s="1"/>
  <c r="AQ83" i="38" s="1"/>
  <c r="G84" i="40" s="1"/>
  <c r="AR141" i="38"/>
  <c r="AT141" i="38" s="1"/>
  <c r="AA132" i="38"/>
  <c r="AB132" i="38" s="1"/>
  <c r="AM132" i="38" s="1"/>
  <c r="AN132" i="38" s="1"/>
  <c r="AB137" i="38"/>
  <c r="AM137" i="38" s="1"/>
  <c r="AO137" i="38" s="1"/>
  <c r="Y108" i="38"/>
  <c r="AB108" i="38" s="1"/>
  <c r="AM108" i="38" s="1"/>
  <c r="AO108" i="38" s="1"/>
  <c r="AM126" i="38"/>
  <c r="AO126" i="38" s="1"/>
  <c r="EG135" i="14"/>
  <c r="EU135" i="14" s="1"/>
  <c r="EC143" i="14"/>
  <c r="ED143" i="14" s="1"/>
  <c r="EF143" i="14" s="1"/>
  <c r="FK143" i="14" s="1"/>
  <c r="EC124" i="14"/>
  <c r="ED124" i="14" s="1"/>
  <c r="EE124" i="14" s="1"/>
  <c r="FJ124" i="14" s="1"/>
  <c r="AG133" i="15"/>
  <c r="BL131" i="38" s="1"/>
  <c r="BP131" i="38" s="1"/>
  <c r="EG132" i="14"/>
  <c r="HM132" i="14" s="1"/>
  <c r="EG102" i="14"/>
  <c r="HE102" i="14" s="1"/>
  <c r="DY147" i="14"/>
  <c r="AN90" i="38"/>
  <c r="AP90" i="38" s="1"/>
  <c r="AQ90" i="38" s="1"/>
  <c r="G91" i="40" s="1"/>
  <c r="DY153" i="14"/>
  <c r="AA133" i="38"/>
  <c r="AB133" i="38" s="1"/>
  <c r="AM133" i="38" s="1"/>
  <c r="AN133" i="38" s="1"/>
  <c r="EC147" i="14"/>
  <c r="ED147" i="14" s="1"/>
  <c r="EF147" i="14" s="1"/>
  <c r="FK147" i="14" s="1"/>
  <c r="GD147" i="14" s="1"/>
  <c r="FJ95" i="14"/>
  <c r="AG139" i="15"/>
  <c r="BL137" i="38" s="1"/>
  <c r="BP137" i="38" s="1"/>
  <c r="AG110" i="15"/>
  <c r="BL108" i="38" s="1"/>
  <c r="BP108" i="38" s="1"/>
  <c r="AS115" i="38"/>
  <c r="AU115" i="38" s="1"/>
  <c r="AV115" i="38" s="1"/>
  <c r="H116" i="40" s="1"/>
  <c r="EG71" i="14"/>
  <c r="EU71" i="14" s="1"/>
  <c r="AO78" i="38"/>
  <c r="AP78" i="38" s="1"/>
  <c r="AQ78" i="38" s="1"/>
  <c r="G79" i="40" s="1"/>
  <c r="AS76" i="38"/>
  <c r="AU76" i="38" s="1"/>
  <c r="AV76" i="38" s="1"/>
  <c r="H77" i="40" s="1"/>
  <c r="EC153" i="14"/>
  <c r="ED153" i="14" s="1"/>
  <c r="EE153" i="14" s="1"/>
  <c r="AO89" i="38"/>
  <c r="AP89" i="38" s="1"/>
  <c r="AQ89" i="38" s="1"/>
  <c r="G90" i="40" s="1"/>
  <c r="AS60" i="38"/>
  <c r="AU60" i="38" s="1"/>
  <c r="AV60" i="38" s="1"/>
  <c r="H61" i="40" s="1"/>
  <c r="AS101" i="38"/>
  <c r="AU101" i="38" s="1"/>
  <c r="AV101" i="38" s="1"/>
  <c r="H102" i="40" s="1"/>
  <c r="EF88" i="14"/>
  <c r="FK88" i="14" s="1"/>
  <c r="GD88" i="14" s="1"/>
  <c r="AR143" i="38"/>
  <c r="AT143" i="38" s="1"/>
  <c r="FJ139" i="14"/>
  <c r="AN85" i="38"/>
  <c r="AP85" i="38" s="1"/>
  <c r="AQ85" i="38" s="1"/>
  <c r="G86" i="40" s="1"/>
  <c r="AN48" i="38"/>
  <c r="AP48" i="38" s="1"/>
  <c r="AQ48" i="38" s="1"/>
  <c r="G49" i="40" s="1"/>
  <c r="AS133" i="38"/>
  <c r="AU133" i="38" s="1"/>
  <c r="AV133" i="38" s="1"/>
  <c r="H134" i="40" s="1"/>
  <c r="EG107" i="14"/>
  <c r="EM107" i="14" s="1"/>
  <c r="EP107" i="14" s="1"/>
  <c r="EQ107" i="14" s="1"/>
  <c r="ER107" i="14" s="1"/>
  <c r="FJ91" i="14"/>
  <c r="EC149" i="14"/>
  <c r="ED149" i="14" s="1"/>
  <c r="EF149" i="14" s="1"/>
  <c r="FK149" i="14" s="1"/>
  <c r="GD149" i="14" s="1"/>
  <c r="EF80" i="14"/>
  <c r="FK80" i="14" s="1"/>
  <c r="GD80" i="14" s="1"/>
  <c r="AS94" i="38"/>
  <c r="AU94" i="38" s="1"/>
  <c r="AV94" i="38" s="1"/>
  <c r="H95" i="40" s="1"/>
  <c r="AG135" i="15"/>
  <c r="BL133" i="38" s="1"/>
  <c r="BP133" i="38" s="1"/>
  <c r="EE84" i="14"/>
  <c r="EG84" i="14" s="1"/>
  <c r="GW84" i="14" s="1"/>
  <c r="GZ84" i="14" s="1"/>
  <c r="HA84" i="14" s="1"/>
  <c r="HB84" i="14" s="1"/>
  <c r="HC84" i="14" s="1"/>
  <c r="AO91" i="38"/>
  <c r="AP91" i="38" s="1"/>
  <c r="AQ91" i="38" s="1"/>
  <c r="G92" i="40" s="1"/>
  <c r="AS88" i="38"/>
  <c r="AU88" i="38" s="1"/>
  <c r="AV88" i="38" s="1"/>
  <c r="H89" i="40" s="1"/>
  <c r="DY149" i="14"/>
  <c r="AG138" i="15"/>
  <c r="BL136" i="38" s="1"/>
  <c r="BP136" i="38" s="1"/>
  <c r="BR136" i="38" s="1"/>
  <c r="EF89" i="14"/>
  <c r="FK89" i="14" s="1"/>
  <c r="GD89" i="14" s="1"/>
  <c r="AN62" i="38"/>
  <c r="AP62" i="38" s="1"/>
  <c r="AQ62" i="38" s="1"/>
  <c r="G63" i="40" s="1"/>
  <c r="AS100" i="38"/>
  <c r="AU100" i="38" s="1"/>
  <c r="AV100" i="38" s="1"/>
  <c r="H101" i="40" s="1"/>
  <c r="O20" i="15"/>
  <c r="W13" i="46" s="1"/>
  <c r="AS83" i="38"/>
  <c r="AU83" i="38" s="1"/>
  <c r="AV83" i="38" s="1"/>
  <c r="H84" i="40" s="1"/>
  <c r="EF128" i="14"/>
  <c r="FK128" i="14" s="1"/>
  <c r="GD128" i="14" s="1"/>
  <c r="AN45" i="38"/>
  <c r="AP45" i="38" s="1"/>
  <c r="AQ45" i="38" s="1"/>
  <c r="G46" i="40" s="1"/>
  <c r="AS99" i="38"/>
  <c r="AU99" i="38" s="1"/>
  <c r="AV99" i="38" s="1"/>
  <c r="H100" i="40" s="1"/>
  <c r="AB125" i="38"/>
  <c r="AM125" i="38" s="1"/>
  <c r="AO125" i="38" s="1"/>
  <c r="AO122" i="38"/>
  <c r="AP122" i="38" s="1"/>
  <c r="AQ122" i="38" s="1"/>
  <c r="G123" i="40" s="1"/>
  <c r="EC151" i="14"/>
  <c r="ED151" i="14" s="1"/>
  <c r="EE151" i="14" s="1"/>
  <c r="AG132" i="15"/>
  <c r="BL130" i="38" s="1"/>
  <c r="BP130" i="38" s="1"/>
  <c r="EG73" i="14"/>
  <c r="EM73" i="14" s="1"/>
  <c r="EP73" i="14" s="1"/>
  <c r="EQ73" i="14" s="1"/>
  <c r="ER73" i="14" s="1"/>
  <c r="AG137" i="15"/>
  <c r="BL135" i="38" s="1"/>
  <c r="BP135" i="38" s="1"/>
  <c r="EC146" i="14"/>
  <c r="ED146" i="14" s="1"/>
  <c r="EE146" i="14" s="1"/>
  <c r="DY146" i="14"/>
  <c r="DY150" i="14"/>
  <c r="AA131" i="38"/>
  <c r="AB131" i="38" s="1"/>
  <c r="AM131" i="38" s="1"/>
  <c r="AO131" i="38" s="1"/>
  <c r="EC150" i="14"/>
  <c r="ED150" i="14" s="1"/>
  <c r="EF150" i="14" s="1"/>
  <c r="FK150" i="14" s="1"/>
  <c r="AG127" i="15"/>
  <c r="BL125" i="38" s="1"/>
  <c r="BP125" i="38" s="1"/>
  <c r="AI133" i="15"/>
  <c r="BM131" i="38" s="1"/>
  <c r="BQ131" i="38" s="1"/>
  <c r="AB134" i="38"/>
  <c r="AM134" i="38" s="1"/>
  <c r="AO134" i="38" s="1"/>
  <c r="AO118" i="38"/>
  <c r="AP118" i="38" s="1"/>
  <c r="AQ118" i="38" s="1"/>
  <c r="G119" i="40" s="1"/>
  <c r="EG133" i="14"/>
  <c r="EM133" i="14" s="1"/>
  <c r="EP133" i="14" s="1"/>
  <c r="EQ133" i="14" s="1"/>
  <c r="ER133" i="14" s="1"/>
  <c r="AG136" i="15"/>
  <c r="BL134" i="38" s="1"/>
  <c r="BP134" i="38" s="1"/>
  <c r="AO115" i="38"/>
  <c r="AP115" i="38" s="1"/>
  <c r="AQ115" i="38" s="1"/>
  <c r="G116" i="40" s="1"/>
  <c r="AO92" i="38"/>
  <c r="AP92" i="38" s="1"/>
  <c r="AQ92" i="38" s="1"/>
  <c r="G93" i="40" s="1"/>
  <c r="AN98" i="38"/>
  <c r="AP98" i="38" s="1"/>
  <c r="AQ98" i="38" s="1"/>
  <c r="G99" i="40" s="1"/>
  <c r="AS51" i="38"/>
  <c r="AU51" i="38" s="1"/>
  <c r="AV51" i="38" s="1"/>
  <c r="H52" i="40" s="1"/>
  <c r="AS74" i="38"/>
  <c r="AU74" i="38" s="1"/>
  <c r="AV74" i="38" s="1"/>
  <c r="H75" i="40" s="1"/>
  <c r="FJ131" i="14"/>
  <c r="FV131" i="14" s="1"/>
  <c r="AM73" i="38"/>
  <c r="AO73" i="38" s="1"/>
  <c r="EG105" i="14"/>
  <c r="GW105" i="14" s="1"/>
  <c r="GZ105" i="14" s="1"/>
  <c r="HA105" i="14" s="1"/>
  <c r="HB105" i="14" s="1"/>
  <c r="HC105" i="14" s="1"/>
  <c r="AG108" i="15"/>
  <c r="BL106" i="38" s="1"/>
  <c r="BP106" i="38" s="1"/>
  <c r="AS54" i="38"/>
  <c r="AU54" i="38" s="1"/>
  <c r="AV54" i="38" s="1"/>
  <c r="H55" i="40" s="1"/>
  <c r="AB136" i="38"/>
  <c r="AM136" i="38" s="1"/>
  <c r="AO136" i="38" s="1"/>
  <c r="AM66" i="38"/>
  <c r="AO66" i="38" s="1"/>
  <c r="AO82" i="38"/>
  <c r="AP82" i="38" s="1"/>
  <c r="AQ82" i="38" s="1"/>
  <c r="G83" i="40" s="1"/>
  <c r="AO55" i="38"/>
  <c r="AP55" i="38" s="1"/>
  <c r="AQ55" i="38" s="1"/>
  <c r="G56" i="40" s="1"/>
  <c r="AN58" i="38"/>
  <c r="AP58" i="38" s="1"/>
  <c r="AQ58" i="38" s="1"/>
  <c r="G59" i="40" s="1"/>
  <c r="AN77" i="38"/>
  <c r="AP77" i="38" s="1"/>
  <c r="AQ77" i="38" s="1"/>
  <c r="G78" i="40" s="1"/>
  <c r="AR129" i="38"/>
  <c r="AT129" i="38" s="1"/>
  <c r="EC160" i="14"/>
  <c r="ED160" i="14" s="1"/>
  <c r="EE160" i="14" s="1"/>
  <c r="AS104" i="38"/>
  <c r="AU104" i="38" s="1"/>
  <c r="AV104" i="38" s="1"/>
  <c r="H105" i="40" s="1"/>
  <c r="AS144" i="38"/>
  <c r="AU144" i="38" s="1"/>
  <c r="AV144" i="38" s="1"/>
  <c r="H145" i="40" s="1"/>
  <c r="AO60" i="38"/>
  <c r="AP60" i="38" s="1"/>
  <c r="AQ60" i="38" s="1"/>
  <c r="G61" i="40" s="1"/>
  <c r="Y110" i="38"/>
  <c r="AB110" i="38" s="1"/>
  <c r="AM110" i="38" s="1"/>
  <c r="AO110" i="38" s="1"/>
  <c r="AS56" i="38"/>
  <c r="AU56" i="38" s="1"/>
  <c r="AV56" i="38" s="1"/>
  <c r="H57" i="40" s="1"/>
  <c r="DY158" i="14"/>
  <c r="AG112" i="15"/>
  <c r="BL110" i="38" s="1"/>
  <c r="BP110" i="38" s="1"/>
  <c r="EC126" i="14"/>
  <c r="ED126" i="14" s="1"/>
  <c r="EE126" i="14" s="1"/>
  <c r="FJ126" i="14" s="1"/>
  <c r="AM64" i="38"/>
  <c r="AO64" i="38" s="1"/>
  <c r="FJ100" i="14"/>
  <c r="FW100" i="14" s="1"/>
  <c r="AG144" i="15"/>
  <c r="BL142" i="38" s="1"/>
  <c r="BP142" i="38" s="1"/>
  <c r="EC144" i="14"/>
  <c r="ED144" i="14" s="1"/>
  <c r="EF144" i="14" s="1"/>
  <c r="FK144" i="14" s="1"/>
  <c r="EC148" i="14"/>
  <c r="ED148" i="14" s="1"/>
  <c r="EF148" i="14" s="1"/>
  <c r="FK148" i="14" s="1"/>
  <c r="GD148" i="14" s="1"/>
  <c r="AB142" i="38"/>
  <c r="AM142" i="38" s="1"/>
  <c r="AN142" i="38" s="1"/>
  <c r="AN50" i="38"/>
  <c r="AP50" i="38" s="1"/>
  <c r="AQ50" i="38" s="1"/>
  <c r="G51" i="40" s="1"/>
  <c r="AS52" i="38"/>
  <c r="AU52" i="38" s="1"/>
  <c r="AV52" i="38" s="1"/>
  <c r="H53" i="40" s="1"/>
  <c r="AS121" i="38"/>
  <c r="AU121" i="38" s="1"/>
  <c r="AV121" i="38" s="1"/>
  <c r="H122" i="40" s="1"/>
  <c r="AG146" i="15"/>
  <c r="BL144" i="38" s="1"/>
  <c r="BP144" i="38" s="1"/>
  <c r="AN117" i="38"/>
  <c r="AP117" i="38" s="1"/>
  <c r="AQ117" i="38" s="1"/>
  <c r="G118" i="40" s="1"/>
  <c r="DY157" i="14"/>
  <c r="AN75" i="38"/>
  <c r="AP75" i="38" s="1"/>
  <c r="AQ75" i="38" s="1"/>
  <c r="G76" i="40" s="1"/>
  <c r="EC157" i="14"/>
  <c r="ED157" i="14" s="1"/>
  <c r="EF157" i="14" s="1"/>
  <c r="FK157" i="14" s="1"/>
  <c r="EF86" i="14"/>
  <c r="FK86" i="14" s="1"/>
  <c r="GD86" i="14" s="1"/>
  <c r="EF85" i="14"/>
  <c r="AG143" i="15"/>
  <c r="BL141" i="38" s="1"/>
  <c r="BP141" i="38" s="1"/>
  <c r="AB144" i="38"/>
  <c r="AM144" i="38" s="1"/>
  <c r="AN144" i="38" s="1"/>
  <c r="EC141" i="14"/>
  <c r="ED141" i="14" s="1"/>
  <c r="EE141" i="14" s="1"/>
  <c r="AB141" i="38"/>
  <c r="AM141" i="38" s="1"/>
  <c r="AO141" i="38" s="1"/>
  <c r="AS61" i="38"/>
  <c r="AU61" i="38" s="1"/>
  <c r="AV61" i="38" s="1"/>
  <c r="H62" i="40" s="1"/>
  <c r="DY160" i="14"/>
  <c r="AG109" i="15"/>
  <c r="BL107" i="38" s="1"/>
  <c r="BP107" i="38" s="1"/>
  <c r="AO81" i="38"/>
  <c r="AP81" i="38" s="1"/>
  <c r="AQ81" i="38" s="1"/>
  <c r="G82" i="40" s="1"/>
  <c r="AR137" i="38"/>
  <c r="AT137" i="38" s="1"/>
  <c r="AA129" i="38"/>
  <c r="AB129" i="38" s="1"/>
  <c r="AM129" i="38" s="1"/>
  <c r="AN129" i="38" s="1"/>
  <c r="AM68" i="38"/>
  <c r="AO68" i="38" s="1"/>
  <c r="AS77" i="38"/>
  <c r="AU77" i="38" s="1"/>
  <c r="AV77" i="38" s="1"/>
  <c r="H78" i="40" s="1"/>
  <c r="AR136" i="38"/>
  <c r="AT136" i="38" s="1"/>
  <c r="FJ97" i="14"/>
  <c r="EC145" i="14"/>
  <c r="ED145" i="14" s="1"/>
  <c r="EE145" i="14" s="1"/>
  <c r="EG130" i="14"/>
  <c r="HM130" i="14" s="1"/>
  <c r="DY140" i="14"/>
  <c r="AI131" i="15"/>
  <c r="BM129" i="38" s="1"/>
  <c r="BQ129" i="38" s="1"/>
  <c r="AO119" i="38"/>
  <c r="AP119" i="38" s="1"/>
  <c r="AQ119" i="38" s="1"/>
  <c r="G120" i="40" s="1"/>
  <c r="AN61" i="38"/>
  <c r="AP61" i="38" s="1"/>
  <c r="AQ61" i="38" s="1"/>
  <c r="G62" i="40" s="1"/>
  <c r="AO116" i="38"/>
  <c r="AP116" i="38" s="1"/>
  <c r="AQ116" i="38" s="1"/>
  <c r="G117" i="40" s="1"/>
  <c r="EG78" i="14"/>
  <c r="GW78" i="14" s="1"/>
  <c r="GZ78" i="14" s="1"/>
  <c r="HA78" i="14" s="1"/>
  <c r="HB78" i="14" s="1"/>
  <c r="HC78" i="14" s="1"/>
  <c r="EG92" i="14"/>
  <c r="GW92" i="14" s="1"/>
  <c r="GZ92" i="14" s="1"/>
  <c r="HA92" i="14" s="1"/>
  <c r="HB92" i="14" s="1"/>
  <c r="HC92" i="14" s="1"/>
  <c r="EC140" i="14"/>
  <c r="ED140" i="14" s="1"/>
  <c r="EF140" i="14" s="1"/>
  <c r="FK140" i="14" s="1"/>
  <c r="Y107" i="38"/>
  <c r="AB107" i="38" s="1"/>
  <c r="AM107" i="38" s="1"/>
  <c r="AO107" i="38" s="1"/>
  <c r="AO56" i="38"/>
  <c r="AP56" i="38" s="1"/>
  <c r="AQ56" i="38" s="1"/>
  <c r="G57" i="40" s="1"/>
  <c r="AO51" i="38"/>
  <c r="AP51" i="38" s="1"/>
  <c r="AQ51" i="38" s="1"/>
  <c r="G52" i="40" s="1"/>
  <c r="AS57" i="38"/>
  <c r="AU57" i="38" s="1"/>
  <c r="AV57" i="38" s="1"/>
  <c r="H58" i="40" s="1"/>
  <c r="AI127" i="15"/>
  <c r="BM125" i="38" s="1"/>
  <c r="BQ125" i="38" s="1"/>
  <c r="FJ76" i="14"/>
  <c r="DY141" i="14"/>
  <c r="EC123" i="14"/>
  <c r="ED123" i="14" s="1"/>
  <c r="EF123" i="14" s="1"/>
  <c r="FK123" i="14" s="1"/>
  <c r="GD123" i="14" s="1"/>
  <c r="AA124" i="38"/>
  <c r="AB124" i="38" s="1"/>
  <c r="AM124" i="38" s="1"/>
  <c r="AN124" i="38" s="1"/>
  <c r="EG96" i="14"/>
  <c r="EM96" i="14" s="1"/>
  <c r="EP96" i="14" s="1"/>
  <c r="EQ96" i="14" s="1"/>
  <c r="ER96" i="14" s="1"/>
  <c r="DY152" i="14"/>
  <c r="AO57" i="38"/>
  <c r="AP57" i="38" s="1"/>
  <c r="AQ57" i="38" s="1"/>
  <c r="G58" i="40" s="1"/>
  <c r="AS49" i="38"/>
  <c r="AU49" i="38" s="1"/>
  <c r="AV49" i="38" s="1"/>
  <c r="H50" i="40" s="1"/>
  <c r="AS82" i="38"/>
  <c r="AU82" i="38" s="1"/>
  <c r="AV82" i="38" s="1"/>
  <c r="H83" i="40" s="1"/>
  <c r="EC152" i="14"/>
  <c r="ED152" i="14" s="1"/>
  <c r="EE152" i="14" s="1"/>
  <c r="AG115" i="15"/>
  <c r="BL113" i="38" s="1"/>
  <c r="BP113" i="38" s="1"/>
  <c r="AS89" i="38"/>
  <c r="AU89" i="38" s="1"/>
  <c r="AV89" i="38" s="1"/>
  <c r="H90" i="40" s="1"/>
  <c r="AS58" i="38"/>
  <c r="AU58" i="38" s="1"/>
  <c r="AV58" i="38" s="1"/>
  <c r="H59" i="40" s="1"/>
  <c r="DY127" i="14"/>
  <c r="AM67" i="38"/>
  <c r="AO67" i="38" s="1"/>
  <c r="AG129" i="15"/>
  <c r="BL127" i="38" s="1"/>
  <c r="BP127" i="38" s="1"/>
  <c r="DY143" i="14"/>
  <c r="AN88" i="38"/>
  <c r="AP88" i="38" s="1"/>
  <c r="AQ88" i="38" s="1"/>
  <c r="G89" i="40" s="1"/>
  <c r="AO47" i="38"/>
  <c r="AP47" i="38" s="1"/>
  <c r="AQ47" i="38" s="1"/>
  <c r="G48" i="40" s="1"/>
  <c r="AG134" i="15"/>
  <c r="BL132" i="38" s="1"/>
  <c r="BP132" i="38" s="1"/>
  <c r="DY144" i="14"/>
  <c r="EF81" i="14"/>
  <c r="FK81" i="14" s="1"/>
  <c r="GD81" i="14" s="1"/>
  <c r="AO74" i="38"/>
  <c r="AP74" i="38" s="1"/>
  <c r="AQ74" i="38" s="1"/>
  <c r="G75" i="40" s="1"/>
  <c r="FJ137" i="14"/>
  <c r="AB128" i="38"/>
  <c r="AM128" i="38" s="1"/>
  <c r="AO128" i="38" s="1"/>
  <c r="AG130" i="15"/>
  <c r="BL128" i="38" s="1"/>
  <c r="BP128" i="38" s="1"/>
  <c r="EG79" i="14"/>
  <c r="EU79" i="14" s="1"/>
  <c r="DY129" i="14"/>
  <c r="Y113" i="38"/>
  <c r="AB113" i="38" s="1"/>
  <c r="AM113" i="38" s="1"/>
  <c r="AO113" i="38" s="1"/>
  <c r="AO114" i="38"/>
  <c r="AP114" i="38" s="1"/>
  <c r="AQ114" i="38" s="1"/>
  <c r="G115" i="40" s="1"/>
  <c r="DY148" i="14"/>
  <c r="Y109" i="38"/>
  <c r="AB109" i="38" s="1"/>
  <c r="AM109" i="38" s="1"/>
  <c r="AO109" i="38" s="1"/>
  <c r="Y111" i="38"/>
  <c r="AB111" i="38" s="1"/>
  <c r="AM111" i="38" s="1"/>
  <c r="AO111" i="38" s="1"/>
  <c r="AM72" i="38"/>
  <c r="AO72" i="38" s="1"/>
  <c r="AG111" i="15"/>
  <c r="BL109" i="38" s="1"/>
  <c r="BP109" i="38" s="1"/>
  <c r="EG136" i="14"/>
  <c r="HM136" i="14" s="1"/>
  <c r="DY125" i="14"/>
  <c r="AG113" i="15"/>
  <c r="BL111" i="38" s="1"/>
  <c r="BP111" i="38" s="1"/>
  <c r="AM70" i="38"/>
  <c r="AO70" i="38" s="1"/>
  <c r="AN102" i="38"/>
  <c r="AP102" i="38" s="1"/>
  <c r="AQ102" i="38" s="1"/>
  <c r="G103" i="40" s="1"/>
  <c r="AS119" i="38"/>
  <c r="AU119" i="38" s="1"/>
  <c r="AV119" i="38" s="1"/>
  <c r="H120" i="40" s="1"/>
  <c r="AS78" i="38"/>
  <c r="AU78" i="38" s="1"/>
  <c r="AV78" i="38" s="1"/>
  <c r="H79" i="40" s="1"/>
  <c r="EC120" i="14"/>
  <c r="ED120" i="14" s="1"/>
  <c r="EE120" i="14" s="1"/>
  <c r="FJ120" i="14" s="1"/>
  <c r="AS44" i="38"/>
  <c r="AU44" i="38" s="1"/>
  <c r="AV44" i="38" s="1"/>
  <c r="H45" i="40" s="1"/>
  <c r="FJ98" i="14"/>
  <c r="FW98" i="14" s="1"/>
  <c r="EG94" i="14"/>
  <c r="FC94" i="14" s="1"/>
  <c r="AM138" i="38"/>
  <c r="AO138" i="38" s="1"/>
  <c r="BR72" i="38"/>
  <c r="BV72" i="38" s="1"/>
  <c r="BW72" i="38" s="1"/>
  <c r="BX72" i="38" s="1"/>
  <c r="BY72" i="38" s="1"/>
  <c r="BZ72" i="38" s="1"/>
  <c r="CA72" i="38" s="1"/>
  <c r="CB72" i="38" s="1"/>
  <c r="CC72" i="38" s="1"/>
  <c r="CD72" i="38" s="1"/>
  <c r="AO93" i="38"/>
  <c r="AP93" i="38" s="1"/>
  <c r="AQ93" i="38" s="1"/>
  <c r="G94" i="40" s="1"/>
  <c r="EF127" i="14"/>
  <c r="FK127" i="14" s="1"/>
  <c r="GD127" i="14" s="1"/>
  <c r="EG70" i="14"/>
  <c r="EU70" i="14" s="1"/>
  <c r="AO76" i="38"/>
  <c r="AP76" i="38" s="1"/>
  <c r="AQ76" i="38" s="1"/>
  <c r="G77" i="40" s="1"/>
  <c r="AN123" i="38"/>
  <c r="AP123" i="38" s="1"/>
  <c r="AQ123" i="38" s="1"/>
  <c r="G124" i="40" s="1"/>
  <c r="AN94" i="38"/>
  <c r="AP94" i="38" s="1"/>
  <c r="AQ94" i="38" s="1"/>
  <c r="G95" i="40" s="1"/>
  <c r="AO101" i="38"/>
  <c r="AP101" i="38" s="1"/>
  <c r="AQ101" i="38" s="1"/>
  <c r="G102" i="40" s="1"/>
  <c r="AN86" i="38"/>
  <c r="AP86" i="38" s="1"/>
  <c r="AQ86" i="38" s="1"/>
  <c r="G87" i="40" s="1"/>
  <c r="O19" i="15"/>
  <c r="W12" i="46" s="1"/>
  <c r="AO99" i="38"/>
  <c r="AP99" i="38" s="1"/>
  <c r="AQ99" i="38" s="1"/>
  <c r="G100" i="40" s="1"/>
  <c r="AS91" i="38"/>
  <c r="AU91" i="38" s="1"/>
  <c r="AV91" i="38" s="1"/>
  <c r="H92" i="40" s="1"/>
  <c r="FJ72" i="14"/>
  <c r="Y105" i="38"/>
  <c r="AB105" i="38" s="1"/>
  <c r="AM105" i="38" s="1"/>
  <c r="AO105" i="38" s="1"/>
  <c r="AM71" i="38"/>
  <c r="AO71" i="38" s="1"/>
  <c r="EG74" i="14"/>
  <c r="FC74" i="14" s="1"/>
  <c r="AG107" i="15"/>
  <c r="BL105" i="38" s="1"/>
  <c r="BP105" i="38" s="1"/>
  <c r="DY121" i="14"/>
  <c r="AG106" i="15"/>
  <c r="BL104" i="38" s="1"/>
  <c r="BP104" i="38" s="1"/>
  <c r="EC122" i="14"/>
  <c r="ED122" i="14" s="1"/>
  <c r="EE122" i="14" s="1"/>
  <c r="FJ122" i="14" s="1"/>
  <c r="DY120" i="14"/>
  <c r="DY122" i="14"/>
  <c r="BW44" i="38"/>
  <c r="BR71" i="38"/>
  <c r="BV71" i="38" s="1"/>
  <c r="EF83" i="14"/>
  <c r="FK83" i="14" s="1"/>
  <c r="GD83" i="14" s="1"/>
  <c r="EE83" i="14"/>
  <c r="AM112" i="38"/>
  <c r="AO112" i="38" s="1"/>
  <c r="AS123" i="38"/>
  <c r="AU123" i="38" s="1"/>
  <c r="AV123" i="38" s="1"/>
  <c r="H124" i="40" s="1"/>
  <c r="AO54" i="38"/>
  <c r="AP54" i="38" s="1"/>
  <c r="AQ54" i="38" s="1"/>
  <c r="G55" i="40" s="1"/>
  <c r="FJ77" i="14"/>
  <c r="EE87" i="14"/>
  <c r="EF87" i="14"/>
  <c r="FK87" i="14" s="1"/>
  <c r="GD87" i="14" s="1"/>
  <c r="AN44" i="38"/>
  <c r="AP44" i="38" s="1"/>
  <c r="AQ44" i="38" s="1"/>
  <c r="G45" i="40" s="1"/>
  <c r="AS140" i="38"/>
  <c r="AU140" i="38" s="1"/>
  <c r="AV140" i="38" s="1"/>
  <c r="H141" i="40" s="1"/>
  <c r="AS112" i="38"/>
  <c r="AU112" i="38" s="1"/>
  <c r="AV112" i="38" s="1"/>
  <c r="H113" i="40" s="1"/>
  <c r="AS111" i="38"/>
  <c r="AU111" i="38" s="1"/>
  <c r="AV111" i="38" s="1"/>
  <c r="H112" i="40" s="1"/>
  <c r="EE129" i="14"/>
  <c r="FJ129" i="14" s="1"/>
  <c r="BR126" i="38"/>
  <c r="BV126" i="38" s="1"/>
  <c r="BR138" i="38"/>
  <c r="BV138" i="38" s="1"/>
  <c r="AS69" i="38"/>
  <c r="AU69" i="38" s="1"/>
  <c r="AV69" i="38" s="1"/>
  <c r="H70" i="40" s="1"/>
  <c r="AS124" i="38"/>
  <c r="AU124" i="38" s="1"/>
  <c r="AV124" i="38" s="1"/>
  <c r="H125" i="40" s="1"/>
  <c r="AS110" i="38"/>
  <c r="AU110" i="38" s="1"/>
  <c r="AV110" i="38" s="1"/>
  <c r="H111" i="40" s="1"/>
  <c r="AS107" i="38"/>
  <c r="AU107" i="38" s="1"/>
  <c r="AV107" i="38" s="1"/>
  <c r="H108" i="40" s="1"/>
  <c r="AS105" i="38"/>
  <c r="AU105" i="38" s="1"/>
  <c r="AV105" i="38" s="1"/>
  <c r="H106" i="40" s="1"/>
  <c r="AS132" i="38"/>
  <c r="AU132" i="38" s="1"/>
  <c r="AV132" i="38" s="1"/>
  <c r="H133" i="40" s="1"/>
  <c r="AS113" i="38"/>
  <c r="AU113" i="38" s="1"/>
  <c r="AV113" i="38" s="1"/>
  <c r="H114" i="40" s="1"/>
  <c r="AS126" i="38"/>
  <c r="AU126" i="38" s="1"/>
  <c r="AV126" i="38" s="1"/>
  <c r="H127" i="40" s="1"/>
  <c r="AO46" i="38"/>
  <c r="AP46" i="38" s="1"/>
  <c r="AQ46" i="38" s="1"/>
  <c r="G47" i="40" s="1"/>
  <c r="AO53" i="38"/>
  <c r="AP53" i="38" s="1"/>
  <c r="AQ53" i="38" s="1"/>
  <c r="G54" i="40" s="1"/>
  <c r="AS142" i="38"/>
  <c r="AU142" i="38" s="1"/>
  <c r="AV142" i="38" s="1"/>
  <c r="H143" i="40" s="1"/>
  <c r="AS131" i="38"/>
  <c r="AU131" i="38" s="1"/>
  <c r="AV131" i="38" s="1"/>
  <c r="H132" i="40" s="1"/>
  <c r="AS109" i="38"/>
  <c r="AU109" i="38" s="1"/>
  <c r="AV109" i="38" s="1"/>
  <c r="H110" i="40" s="1"/>
  <c r="AS120" i="38"/>
  <c r="AU120" i="38" s="1"/>
  <c r="AV120" i="38" s="1"/>
  <c r="H121" i="40" s="1"/>
  <c r="AS106" i="38"/>
  <c r="AU106" i="38" s="1"/>
  <c r="AV106" i="38" s="1"/>
  <c r="H107" i="40" s="1"/>
  <c r="AO49" i="38"/>
  <c r="AP49" i="38" s="1"/>
  <c r="AQ49" i="38" s="1"/>
  <c r="G50" i="40" s="1"/>
  <c r="AS127" i="38"/>
  <c r="AU127" i="38" s="1"/>
  <c r="AV127" i="38" s="1"/>
  <c r="H128" i="40" s="1"/>
  <c r="AS134" i="38"/>
  <c r="AU134" i="38" s="1"/>
  <c r="AV134" i="38" s="1"/>
  <c r="H135" i="40" s="1"/>
  <c r="AO103" i="38"/>
  <c r="AP103" i="38" s="1"/>
  <c r="AQ103" i="38" s="1"/>
  <c r="G104" i="40" s="1"/>
  <c r="AS139" i="38"/>
  <c r="AU139" i="38" s="1"/>
  <c r="AV139" i="38" s="1"/>
  <c r="H140" i="40" s="1"/>
  <c r="AO59" i="38"/>
  <c r="AP59" i="38" s="1"/>
  <c r="AQ59" i="38" s="1"/>
  <c r="G60" i="40" s="1"/>
  <c r="AS108" i="38"/>
  <c r="AU108" i="38" s="1"/>
  <c r="AV108" i="38" s="1"/>
  <c r="H109" i="40" s="1"/>
  <c r="AS138" i="38"/>
  <c r="AU138" i="38" s="1"/>
  <c r="AV138" i="38" s="1"/>
  <c r="H139" i="40" s="1"/>
  <c r="AS70" i="38"/>
  <c r="AU70" i="38" s="1"/>
  <c r="AV70" i="38" s="1"/>
  <c r="H71" i="40" s="1"/>
  <c r="AS66" i="38"/>
  <c r="AU66" i="38" s="1"/>
  <c r="AV66" i="38" s="1"/>
  <c r="H67" i="40" s="1"/>
  <c r="AS72" i="38"/>
  <c r="AU72" i="38" s="1"/>
  <c r="AV72" i="38" s="1"/>
  <c r="H73" i="40" s="1"/>
  <c r="AN69" i="38"/>
  <c r="AP69" i="38" s="1"/>
  <c r="AQ69" i="38" s="1"/>
  <c r="G70" i="40" s="1"/>
  <c r="AS71" i="38"/>
  <c r="AU71" i="38" s="1"/>
  <c r="AV71" i="38" s="1"/>
  <c r="H72" i="40" s="1"/>
  <c r="AS67" i="38"/>
  <c r="AU67" i="38" s="1"/>
  <c r="AV67" i="38" s="1"/>
  <c r="H68" i="40" s="1"/>
  <c r="AS65" i="38"/>
  <c r="AU65" i="38" s="1"/>
  <c r="AV65" i="38" s="1"/>
  <c r="H66" i="40" s="1"/>
  <c r="AS64" i="38"/>
  <c r="AU64" i="38" s="1"/>
  <c r="AV64" i="38" s="1"/>
  <c r="H65" i="40" s="1"/>
  <c r="AS73" i="38"/>
  <c r="AU73" i="38" s="1"/>
  <c r="AV73" i="38" s="1"/>
  <c r="H74" i="40" s="1"/>
  <c r="AS68" i="38"/>
  <c r="AU68" i="38" s="1"/>
  <c r="AV68" i="38" s="1"/>
  <c r="H69" i="40" s="1"/>
  <c r="AN120" i="38"/>
  <c r="AP120" i="38" s="1"/>
  <c r="AQ120" i="38" s="1"/>
  <c r="G121" i="40" s="1"/>
  <c r="AN106" i="38"/>
  <c r="AP106" i="38" s="1"/>
  <c r="AQ106" i="38" s="1"/>
  <c r="G107" i="40" s="1"/>
  <c r="AN65" i="38"/>
  <c r="AP65" i="38" s="1"/>
  <c r="AQ65" i="38" s="1"/>
  <c r="G66" i="40" s="1"/>
  <c r="EF125" i="14"/>
  <c r="FK125" i="14" s="1"/>
  <c r="GD125" i="14" s="1"/>
  <c r="EG75" i="14"/>
  <c r="GW75" i="14" s="1"/>
  <c r="GZ75" i="14" s="1"/>
  <c r="HA75" i="14" s="1"/>
  <c r="HB75" i="14" s="1"/>
  <c r="HC75" i="14" s="1"/>
  <c r="EF121" i="14"/>
  <c r="FK121" i="14" s="1"/>
  <c r="GD121" i="14" s="1"/>
  <c r="FW72" i="14"/>
  <c r="FW83" i="14"/>
  <c r="GB63" i="14"/>
  <c r="GE63" i="14"/>
  <c r="FT79" i="14"/>
  <c r="FW79" i="14"/>
  <c r="FT61" i="14"/>
  <c r="FW61" i="14"/>
  <c r="GB66" i="14"/>
  <c r="GE66" i="14"/>
  <c r="FU88" i="14"/>
  <c r="FW88" i="14"/>
  <c r="GB64" i="14"/>
  <c r="GE64" i="14"/>
  <c r="FU104" i="14"/>
  <c r="FW104" i="14"/>
  <c r="FU107" i="14"/>
  <c r="FW107" i="14"/>
  <c r="FW76" i="14"/>
  <c r="GB65" i="14"/>
  <c r="GE65" i="14"/>
  <c r="FW77" i="14"/>
  <c r="FT82" i="14"/>
  <c r="FW82" i="14"/>
  <c r="FW84" i="14"/>
  <c r="FT71" i="14"/>
  <c r="FW71" i="14"/>
  <c r="GB68" i="14"/>
  <c r="GE68" i="14"/>
  <c r="FV130" i="14"/>
  <c r="FW130" i="14"/>
  <c r="FU92" i="14"/>
  <c r="FW92" i="14"/>
  <c r="FU109" i="14"/>
  <c r="FW109" i="14"/>
  <c r="FU101" i="14"/>
  <c r="FW101" i="14"/>
  <c r="GD114" i="14"/>
  <c r="GE114" i="14"/>
  <c r="FW99" i="14"/>
  <c r="FT75" i="14"/>
  <c r="FW75" i="14"/>
  <c r="GD110" i="14"/>
  <c r="GE110" i="14"/>
  <c r="FU93" i="14"/>
  <c r="FW93" i="14"/>
  <c r="FT74" i="14"/>
  <c r="FW74" i="14"/>
  <c r="FW97" i="14"/>
  <c r="GD115" i="14"/>
  <c r="GE115" i="14"/>
  <c r="GB69" i="14"/>
  <c r="GE69" i="14"/>
  <c r="GB67" i="14"/>
  <c r="GE67" i="14"/>
  <c r="GD113" i="14"/>
  <c r="GE113" i="14"/>
  <c r="GD129" i="14"/>
  <c r="GE129" i="14"/>
  <c r="GE128" i="14"/>
  <c r="GB61" i="14"/>
  <c r="GE61" i="14"/>
  <c r="FU85" i="14"/>
  <c r="FW85" i="14"/>
  <c r="GB60" i="14"/>
  <c r="GE60" i="14"/>
  <c r="FU86" i="14"/>
  <c r="FW86" i="14"/>
  <c r="GB62" i="14"/>
  <c r="GE62" i="14"/>
  <c r="FU94" i="14"/>
  <c r="FW94" i="14"/>
  <c r="GD111" i="14"/>
  <c r="GE111" i="14"/>
  <c r="FU103" i="14"/>
  <c r="FW103" i="14"/>
  <c r="FU106" i="14"/>
  <c r="FW106" i="14"/>
  <c r="FU96" i="14"/>
  <c r="FW96" i="14"/>
  <c r="GD116" i="14"/>
  <c r="GE116" i="14"/>
  <c r="FW91" i="14"/>
  <c r="FU108" i="14"/>
  <c r="FW108" i="14"/>
  <c r="FW131" i="14"/>
  <c r="FW87" i="14"/>
  <c r="FT78" i="14"/>
  <c r="FW78" i="14"/>
  <c r="FV133" i="14"/>
  <c r="FW133" i="14"/>
  <c r="FV132" i="14"/>
  <c r="FW132" i="14"/>
  <c r="GD118" i="14"/>
  <c r="GE118" i="14"/>
  <c r="FU105" i="14"/>
  <c r="FW105" i="14"/>
  <c r="FU90" i="14"/>
  <c r="FW90" i="14"/>
  <c r="GD112" i="14"/>
  <c r="GE112" i="14"/>
  <c r="FW95" i="14"/>
  <c r="FT80" i="14"/>
  <c r="FW80" i="14"/>
  <c r="FT73" i="14"/>
  <c r="FW73" i="14"/>
  <c r="FU89" i="14"/>
  <c r="FW89" i="14"/>
  <c r="FT81" i="14"/>
  <c r="FW81" i="14"/>
  <c r="GD119" i="14"/>
  <c r="GE119" i="14"/>
  <c r="GD117" i="14"/>
  <c r="GE117" i="14"/>
  <c r="FU102" i="14"/>
  <c r="FW102" i="14"/>
  <c r="EF142" i="14"/>
  <c r="FK142" i="14" s="1"/>
  <c r="EE142" i="14"/>
  <c r="FJ127" i="14"/>
  <c r="EU100" i="14"/>
  <c r="FC100" i="14"/>
  <c r="HE100" i="14"/>
  <c r="GW100" i="14"/>
  <c r="GZ100" i="14" s="1"/>
  <c r="HA100" i="14" s="1"/>
  <c r="HB100" i="14" s="1"/>
  <c r="HC100" i="14" s="1"/>
  <c r="HM100" i="14"/>
  <c r="EM100" i="14"/>
  <c r="EP100" i="14" s="1"/>
  <c r="EQ100" i="14" s="1"/>
  <c r="ER100" i="14" s="1"/>
  <c r="EJ100" i="14"/>
  <c r="FJ117" i="14"/>
  <c r="FU117" i="14" s="1"/>
  <c r="EG117" i="14"/>
  <c r="HM91" i="14"/>
  <c r="EU91" i="14"/>
  <c r="HE91" i="14"/>
  <c r="FC91" i="14"/>
  <c r="EM91" i="14"/>
  <c r="EP91" i="14" s="1"/>
  <c r="EQ91" i="14" s="1"/>
  <c r="ER91" i="14" s="1"/>
  <c r="GW91" i="14"/>
  <c r="GZ91" i="14" s="1"/>
  <c r="HA91" i="14" s="1"/>
  <c r="HB91" i="14" s="1"/>
  <c r="HC91" i="14" s="1"/>
  <c r="EJ91" i="14"/>
  <c r="FC95" i="14"/>
  <c r="GW95" i="14"/>
  <c r="GZ95" i="14" s="1"/>
  <c r="HA95" i="14" s="1"/>
  <c r="HB95" i="14" s="1"/>
  <c r="HC95" i="14" s="1"/>
  <c r="HM95" i="14"/>
  <c r="EM95" i="14"/>
  <c r="EP95" i="14" s="1"/>
  <c r="EQ95" i="14" s="1"/>
  <c r="ER95" i="14" s="1"/>
  <c r="EU95" i="14"/>
  <c r="HE95" i="14"/>
  <c r="EJ95" i="14"/>
  <c r="EG111" i="14"/>
  <c r="FJ111" i="14"/>
  <c r="FU111" i="14" s="1"/>
  <c r="EE154" i="14"/>
  <c r="EF154" i="14"/>
  <c r="FK154" i="14" s="1"/>
  <c r="EG116" i="14"/>
  <c r="FJ116" i="14"/>
  <c r="FU116" i="14" s="1"/>
  <c r="EU134" i="14"/>
  <c r="FC134" i="14"/>
  <c r="EM134" i="14"/>
  <c r="EP134" i="14" s="1"/>
  <c r="EQ134" i="14" s="1"/>
  <c r="ER134" i="14" s="1"/>
  <c r="HM134" i="14"/>
  <c r="HE134" i="14"/>
  <c r="GW134" i="14"/>
  <c r="GZ134" i="14" s="1"/>
  <c r="HA134" i="14" s="1"/>
  <c r="HB134" i="14" s="1"/>
  <c r="HC134" i="14" s="1"/>
  <c r="EJ134" i="14"/>
  <c r="HM99" i="14"/>
  <c r="EM99" i="14"/>
  <c r="EP99" i="14" s="1"/>
  <c r="EQ99" i="14" s="1"/>
  <c r="ER99" i="14" s="1"/>
  <c r="EU99" i="14"/>
  <c r="GW99" i="14"/>
  <c r="GZ99" i="14" s="1"/>
  <c r="HA99" i="14" s="1"/>
  <c r="HB99" i="14" s="1"/>
  <c r="HC99" i="14" s="1"/>
  <c r="FC99" i="14"/>
  <c r="HE99" i="14"/>
  <c r="EJ99" i="14"/>
  <c r="EG113" i="14"/>
  <c r="FJ113" i="14"/>
  <c r="FU113" i="14" s="1"/>
  <c r="FJ118" i="14"/>
  <c r="FU118" i="14" s="1"/>
  <c r="EG118" i="14"/>
  <c r="FJ128" i="14"/>
  <c r="FJ121" i="14"/>
  <c r="GW139" i="14"/>
  <c r="GZ139" i="14" s="1"/>
  <c r="HA139" i="14" s="1"/>
  <c r="HB139" i="14" s="1"/>
  <c r="HC139" i="14" s="1"/>
  <c r="HE139" i="14"/>
  <c r="EM139" i="14"/>
  <c r="EP139" i="14" s="1"/>
  <c r="EQ139" i="14" s="1"/>
  <c r="ER139" i="14" s="1"/>
  <c r="EU139" i="14"/>
  <c r="FC139" i="14"/>
  <c r="HM139" i="14"/>
  <c r="EJ139" i="14"/>
  <c r="GW98" i="14"/>
  <c r="GZ98" i="14" s="1"/>
  <c r="HA98" i="14" s="1"/>
  <c r="HB98" i="14" s="1"/>
  <c r="HC98" i="14" s="1"/>
  <c r="FC98" i="14"/>
  <c r="EU98" i="14"/>
  <c r="EM98" i="14"/>
  <c r="EP98" i="14" s="1"/>
  <c r="EQ98" i="14" s="1"/>
  <c r="ER98" i="14" s="1"/>
  <c r="HM98" i="14"/>
  <c r="HE98" i="14"/>
  <c r="EJ98" i="14"/>
  <c r="EG115" i="14"/>
  <c r="FJ115" i="14"/>
  <c r="FU115" i="14" s="1"/>
  <c r="FJ114" i="14"/>
  <c r="FU114" i="14" s="1"/>
  <c r="EG114" i="14"/>
  <c r="FJ112" i="14"/>
  <c r="FU112" i="14" s="1"/>
  <c r="EG112" i="14"/>
  <c r="EM108" i="14"/>
  <c r="EP108" i="14" s="1"/>
  <c r="EQ108" i="14" s="1"/>
  <c r="ER108" i="14" s="1"/>
  <c r="GW108" i="14"/>
  <c r="GZ108" i="14" s="1"/>
  <c r="HA108" i="14" s="1"/>
  <c r="HB108" i="14" s="1"/>
  <c r="HC108" i="14" s="1"/>
  <c r="EU108" i="14"/>
  <c r="HM108" i="14"/>
  <c r="FC108" i="14"/>
  <c r="HE108" i="14"/>
  <c r="EJ108" i="14"/>
  <c r="FJ119" i="14"/>
  <c r="FU119" i="14" s="1"/>
  <c r="EG119" i="14"/>
  <c r="EG110" i="14"/>
  <c r="FJ110" i="14"/>
  <c r="FU110" i="14" s="1"/>
  <c r="GW101" i="14"/>
  <c r="GZ101" i="14" s="1"/>
  <c r="HA101" i="14" s="1"/>
  <c r="HB101" i="14" s="1"/>
  <c r="HC101" i="14" s="1"/>
  <c r="EM101" i="14"/>
  <c r="EP101" i="14" s="1"/>
  <c r="EQ101" i="14" s="1"/>
  <c r="ER101" i="14" s="1"/>
  <c r="FC101" i="14"/>
  <c r="HE101" i="14"/>
  <c r="HM101" i="14"/>
  <c r="EU101" i="14"/>
  <c r="EJ101" i="14"/>
  <c r="HE97" i="14"/>
  <c r="EU97" i="14"/>
  <c r="GW97" i="14"/>
  <c r="GZ97" i="14" s="1"/>
  <c r="HA97" i="14" s="1"/>
  <c r="HB97" i="14" s="1"/>
  <c r="HC97" i="14" s="1"/>
  <c r="EM97" i="14"/>
  <c r="EP97" i="14" s="1"/>
  <c r="EQ97" i="14" s="1"/>
  <c r="ER97" i="14" s="1"/>
  <c r="HM97" i="14"/>
  <c r="FC97" i="14"/>
  <c r="EJ97" i="14"/>
  <c r="FJ125" i="14"/>
  <c r="GW137" i="14"/>
  <c r="GZ137" i="14" s="1"/>
  <c r="HA137" i="14" s="1"/>
  <c r="HB137" i="14" s="1"/>
  <c r="HC137" i="14" s="1"/>
  <c r="HM137" i="14"/>
  <c r="EM137" i="14"/>
  <c r="EP137" i="14" s="1"/>
  <c r="EQ137" i="14" s="1"/>
  <c r="ER137" i="14" s="1"/>
  <c r="FC137" i="14"/>
  <c r="HE137" i="14"/>
  <c r="EU137" i="14"/>
  <c r="EJ137" i="14"/>
  <c r="GW131" i="14"/>
  <c r="GZ131" i="14" s="1"/>
  <c r="HA131" i="14" s="1"/>
  <c r="HB131" i="14" s="1"/>
  <c r="HC131" i="14" s="1"/>
  <c r="EM131" i="14"/>
  <c r="EP131" i="14" s="1"/>
  <c r="EQ131" i="14" s="1"/>
  <c r="ER131" i="14" s="1"/>
  <c r="HM131" i="14"/>
  <c r="HE131" i="14"/>
  <c r="FC131" i="14"/>
  <c r="EU131" i="14"/>
  <c r="EJ131" i="14"/>
  <c r="EG61" i="14"/>
  <c r="EU61" i="14" s="1"/>
  <c r="FJ63" i="14"/>
  <c r="EG63" i="14"/>
  <c r="FJ65" i="14"/>
  <c r="FU65" i="14" s="1"/>
  <c r="EG65" i="14"/>
  <c r="EG66" i="14"/>
  <c r="FJ66" i="14"/>
  <c r="FU66" i="14" s="1"/>
  <c r="EG67" i="14"/>
  <c r="FJ67" i="14"/>
  <c r="FU67" i="14" s="1"/>
  <c r="HM76" i="14"/>
  <c r="EU76" i="14"/>
  <c r="FC76" i="14"/>
  <c r="HE76" i="14"/>
  <c r="GW76" i="14"/>
  <c r="GZ76" i="14" s="1"/>
  <c r="HA76" i="14" s="1"/>
  <c r="HB76" i="14" s="1"/>
  <c r="HC76" i="14" s="1"/>
  <c r="EJ76" i="14"/>
  <c r="EM76" i="14"/>
  <c r="EP76" i="14" s="1"/>
  <c r="EQ76" i="14" s="1"/>
  <c r="ER76" i="14" s="1"/>
  <c r="FJ64" i="14"/>
  <c r="EG64" i="14"/>
  <c r="FJ62" i="14"/>
  <c r="EG62" i="14"/>
  <c r="HE77" i="14"/>
  <c r="EJ77" i="14"/>
  <c r="FC77" i="14"/>
  <c r="EM77" i="14"/>
  <c r="EP77" i="14" s="1"/>
  <c r="EQ77" i="14" s="1"/>
  <c r="ER77" i="14" s="1"/>
  <c r="HM77" i="14"/>
  <c r="GW77" i="14"/>
  <c r="GZ77" i="14" s="1"/>
  <c r="HA77" i="14" s="1"/>
  <c r="HB77" i="14" s="1"/>
  <c r="HC77" i="14" s="1"/>
  <c r="EU77" i="14"/>
  <c r="EU72" i="14"/>
  <c r="HM72" i="14"/>
  <c r="EJ72" i="14"/>
  <c r="EM72" i="14"/>
  <c r="EP72" i="14" s="1"/>
  <c r="EQ72" i="14" s="1"/>
  <c r="ER72" i="14" s="1"/>
  <c r="HE72" i="14"/>
  <c r="FC72" i="14"/>
  <c r="GW72" i="14"/>
  <c r="GZ72" i="14" s="1"/>
  <c r="HA72" i="14" s="1"/>
  <c r="HB72" i="14" s="1"/>
  <c r="HC72" i="14" s="1"/>
  <c r="FJ69" i="14"/>
  <c r="FU69" i="14" s="1"/>
  <c r="EG69" i="14"/>
  <c r="FJ60" i="14"/>
  <c r="EG60" i="14"/>
  <c r="FJ68" i="14"/>
  <c r="FU68" i="14" s="1"/>
  <c r="EG68" i="14"/>
  <c r="GE143" i="14" l="1"/>
  <c r="GD143" i="14"/>
  <c r="GE144" i="14"/>
  <c r="GD144" i="14"/>
  <c r="GE140" i="14"/>
  <c r="GD140" i="14"/>
  <c r="GE142" i="14"/>
  <c r="GD142" i="14"/>
  <c r="GE121" i="14"/>
  <c r="GE123" i="14"/>
  <c r="FW134" i="14"/>
  <c r="AS128" i="38"/>
  <c r="AU128" i="38" s="1"/>
  <c r="AV128" i="38" s="1"/>
  <c r="H129" i="40" s="1"/>
  <c r="EF155" i="14"/>
  <c r="FK155" i="14" s="1"/>
  <c r="GE127" i="14"/>
  <c r="FW139" i="14"/>
  <c r="FV139" i="14"/>
  <c r="FW137" i="14"/>
  <c r="FV137" i="14"/>
  <c r="GE125" i="14"/>
  <c r="FU91" i="14"/>
  <c r="FV91" i="14"/>
  <c r="FU97" i="14"/>
  <c r="FV97" i="14"/>
  <c r="FU98" i="14"/>
  <c r="FV98" i="14"/>
  <c r="FU95" i="14"/>
  <c r="FV95" i="14"/>
  <c r="FU99" i="14"/>
  <c r="FV99" i="14"/>
  <c r="FU100" i="14"/>
  <c r="FV100" i="14"/>
  <c r="GC86" i="14"/>
  <c r="GB86" i="14"/>
  <c r="GC89" i="14"/>
  <c r="GB89" i="14"/>
  <c r="GC88" i="14"/>
  <c r="GB88" i="14"/>
  <c r="GC87" i="14"/>
  <c r="GB87" i="14"/>
  <c r="FT72" i="14"/>
  <c r="FU72" i="14"/>
  <c r="FT76" i="14"/>
  <c r="FU76" i="14"/>
  <c r="GB80" i="14"/>
  <c r="GC80" i="14"/>
  <c r="GB83" i="14"/>
  <c r="GC83" i="14"/>
  <c r="GB81" i="14"/>
  <c r="GC81" i="14"/>
  <c r="FT77" i="14"/>
  <c r="FU77" i="14"/>
  <c r="CW50" i="38"/>
  <c r="Z51" i="40"/>
  <c r="CW54" i="38"/>
  <c r="Z55" i="40"/>
  <c r="V28" i="46"/>
  <c r="EJ138" i="14"/>
  <c r="GW138" i="14"/>
  <c r="GZ138" i="14" s="1"/>
  <c r="HA138" i="14" s="1"/>
  <c r="HB138" i="14" s="1"/>
  <c r="HC138" i="14" s="1"/>
  <c r="HM138" i="14"/>
  <c r="AS125" i="38"/>
  <c r="AU125" i="38" s="1"/>
  <c r="AV125" i="38" s="1"/>
  <c r="H126" i="40" s="1"/>
  <c r="FC109" i="14"/>
  <c r="EM109" i="14"/>
  <c r="EP109" i="14" s="1"/>
  <c r="EQ109" i="14" s="1"/>
  <c r="ER109" i="14" s="1"/>
  <c r="FC138" i="14"/>
  <c r="HE138" i="14"/>
  <c r="HE109" i="14"/>
  <c r="HH109" i="14" s="1"/>
  <c r="HI109" i="14" s="1"/>
  <c r="HJ109" i="14" s="1"/>
  <c r="HK109" i="14" s="1"/>
  <c r="EU109" i="14"/>
  <c r="EJ109" i="14"/>
  <c r="HM109" i="14"/>
  <c r="EF159" i="14"/>
  <c r="FK159" i="14" s="1"/>
  <c r="GE159" i="14" s="1"/>
  <c r="EM138" i="14"/>
  <c r="EP138" i="14" s="1"/>
  <c r="EQ138" i="14" s="1"/>
  <c r="ER138" i="14" s="1"/>
  <c r="EM106" i="14"/>
  <c r="EP106" i="14" s="1"/>
  <c r="EQ106" i="14" s="1"/>
  <c r="ER106" i="14" s="1"/>
  <c r="EU102" i="14"/>
  <c r="FC102" i="14"/>
  <c r="EJ104" i="14"/>
  <c r="EM104" i="14"/>
  <c r="EP104" i="14" s="1"/>
  <c r="EQ104" i="14" s="1"/>
  <c r="ER104" i="14" s="1"/>
  <c r="HM104" i="14"/>
  <c r="GW104" i="14"/>
  <c r="GZ104" i="14" s="1"/>
  <c r="HA104" i="14" s="1"/>
  <c r="HB104" i="14" s="1"/>
  <c r="HC104" i="14" s="1"/>
  <c r="FC104" i="14"/>
  <c r="EJ102" i="14"/>
  <c r="HE104" i="14"/>
  <c r="GW102" i="14"/>
  <c r="GZ102" i="14" s="1"/>
  <c r="HA102" i="14" s="1"/>
  <c r="HB102" i="14" s="1"/>
  <c r="HC102" i="14" s="1"/>
  <c r="HH102" i="14" s="1"/>
  <c r="HI102" i="14" s="1"/>
  <c r="HJ102" i="14" s="1"/>
  <c r="HK102" i="14" s="1"/>
  <c r="EM102" i="14"/>
  <c r="EP102" i="14" s="1"/>
  <c r="EQ102" i="14" s="1"/>
  <c r="ER102" i="14" s="1"/>
  <c r="BR129" i="38"/>
  <c r="BV129" i="38" s="1"/>
  <c r="AN104" i="38"/>
  <c r="AP104" i="38" s="1"/>
  <c r="AQ104" i="38" s="1"/>
  <c r="G105" i="40" s="1"/>
  <c r="BB55" i="43"/>
  <c r="BB55" i="45" s="1"/>
  <c r="BA65" i="43"/>
  <c r="BA65" i="45" s="1"/>
  <c r="BB66" i="43"/>
  <c r="BB66" i="45" s="1"/>
  <c r="BB58" i="43"/>
  <c r="BB58" i="45" s="1"/>
  <c r="BA57" i="43"/>
  <c r="BA57" i="45" s="1"/>
  <c r="BB70" i="43"/>
  <c r="BB70" i="45" s="1"/>
  <c r="BA50" i="43"/>
  <c r="BA50" i="45" s="1"/>
  <c r="F25" i="45" s="1"/>
  <c r="BA59" i="43"/>
  <c r="BA59" i="45" s="1"/>
  <c r="BA53" i="43"/>
  <c r="BA53" i="45" s="1"/>
  <c r="BB65" i="43"/>
  <c r="BB65" i="45" s="1"/>
  <c r="BB67" i="43"/>
  <c r="BB67" i="45" s="1"/>
  <c r="BA66" i="43"/>
  <c r="BA66" i="45" s="1"/>
  <c r="BB56" i="43"/>
  <c r="BB56" i="45" s="1"/>
  <c r="BA62" i="43"/>
  <c r="BA62" i="45" s="1"/>
  <c r="BB57" i="43"/>
  <c r="BB57" i="45" s="1"/>
  <c r="BB62" i="43"/>
  <c r="BB62" i="45" s="1"/>
  <c r="BB51" i="43"/>
  <c r="BB51" i="45" s="1"/>
  <c r="BB69" i="43"/>
  <c r="BB69" i="45" s="1"/>
  <c r="BB63" i="43"/>
  <c r="BB63" i="45" s="1"/>
  <c r="BA58" i="43"/>
  <c r="BA58" i="45" s="1"/>
  <c r="BA52" i="43"/>
  <c r="BA52" i="45" s="1"/>
  <c r="BB60" i="43"/>
  <c r="BB60" i="45" s="1"/>
  <c r="BB53" i="43"/>
  <c r="BB53" i="45" s="1"/>
  <c r="BB71" i="43"/>
  <c r="BB71" i="45" s="1"/>
  <c r="BA60" i="43"/>
  <c r="BA60" i="45" s="1"/>
  <c r="BA61" i="43"/>
  <c r="BA61" i="45" s="1"/>
  <c r="BB64" i="43"/>
  <c r="BB64" i="45" s="1"/>
  <c r="BB50" i="43"/>
  <c r="BB50" i="45" s="1"/>
  <c r="F24" i="45" s="1"/>
  <c r="BA51" i="43"/>
  <c r="BA51" i="45" s="1"/>
  <c r="W13" i="1"/>
  <c r="W12" i="1"/>
  <c r="CE72" i="38"/>
  <c r="CF72" i="38" s="1"/>
  <c r="CG72" i="38" s="1"/>
  <c r="CH72" i="38" s="1"/>
  <c r="CA103" i="38"/>
  <c r="CB103" i="38" s="1"/>
  <c r="CC103" i="38" s="1"/>
  <c r="CD103" i="38" s="1"/>
  <c r="CM122" i="38"/>
  <c r="CN122" i="38" s="1"/>
  <c r="CO122" i="38" s="1"/>
  <c r="CP122" i="38" s="1"/>
  <c r="CQ52" i="38"/>
  <c r="CR52" i="38" s="1"/>
  <c r="CS52" i="38" s="1"/>
  <c r="CT52" i="38" s="1"/>
  <c r="CU100" i="38"/>
  <c r="CV100" i="38" s="1"/>
  <c r="BW126" i="38"/>
  <c r="BX126" i="38" s="1"/>
  <c r="BY126" i="38" s="1"/>
  <c r="BZ126" i="38" s="1"/>
  <c r="CA126" i="38" s="1"/>
  <c r="CB126" i="38" s="1"/>
  <c r="CC126" i="38" s="1"/>
  <c r="CD126" i="38" s="1"/>
  <c r="CE120" i="38"/>
  <c r="CF120" i="38" s="1"/>
  <c r="CG120" i="38" s="1"/>
  <c r="CH120" i="38" s="1"/>
  <c r="CI120" i="38" s="1"/>
  <c r="CJ120" i="38" s="1"/>
  <c r="CK120" i="38" s="1"/>
  <c r="CL120" i="38" s="1"/>
  <c r="CE58" i="38"/>
  <c r="CF58" i="38" s="1"/>
  <c r="CG58" i="38" s="1"/>
  <c r="CH58" i="38" s="1"/>
  <c r="CA97" i="38"/>
  <c r="CB97" i="38" s="1"/>
  <c r="CC97" i="38" s="1"/>
  <c r="CD97" i="38" s="1"/>
  <c r="CE75" i="38"/>
  <c r="CF75" i="38" s="1"/>
  <c r="CG75" i="38" s="1"/>
  <c r="CH75" i="38" s="1"/>
  <c r="CE48" i="38"/>
  <c r="CF48" i="38" s="1"/>
  <c r="CG48" i="38" s="1"/>
  <c r="CH48" i="38" s="1"/>
  <c r="CU98" i="38"/>
  <c r="CV98" i="38" s="1"/>
  <c r="CE116" i="38"/>
  <c r="CF116" i="38" s="1"/>
  <c r="CG116" i="38" s="1"/>
  <c r="CH116" i="38" s="1"/>
  <c r="CI116" i="38" s="1"/>
  <c r="CJ116" i="38" s="1"/>
  <c r="CK116" i="38" s="1"/>
  <c r="CL116" i="38" s="1"/>
  <c r="CA95" i="38"/>
  <c r="CB95" i="38" s="1"/>
  <c r="CC95" i="38" s="1"/>
  <c r="CD95" i="38" s="1"/>
  <c r="CE95" i="38" s="1"/>
  <c r="CF95" i="38" s="1"/>
  <c r="CG95" i="38" s="1"/>
  <c r="CH95" i="38" s="1"/>
  <c r="CE85" i="38"/>
  <c r="CF85" i="38" s="1"/>
  <c r="CG85" i="38" s="1"/>
  <c r="CH85" i="38" s="1"/>
  <c r="CQ56" i="38"/>
  <c r="CR56" i="38" s="1"/>
  <c r="CS56" i="38" s="1"/>
  <c r="CT56" i="38" s="1"/>
  <c r="CE92" i="38"/>
  <c r="CF92" i="38" s="1"/>
  <c r="CG92" i="38" s="1"/>
  <c r="CH92" i="38" s="1"/>
  <c r="CI61" i="38"/>
  <c r="CJ61" i="38" s="1"/>
  <c r="CK61" i="38" s="1"/>
  <c r="CL61" i="38" s="1"/>
  <c r="CE53" i="38"/>
  <c r="CF53" i="38" s="1"/>
  <c r="CG53" i="38" s="1"/>
  <c r="CH53" i="38" s="1"/>
  <c r="CA91" i="38"/>
  <c r="CB91" i="38" s="1"/>
  <c r="CC91" i="38" s="1"/>
  <c r="CD91" i="38" s="1"/>
  <c r="CI87" i="38"/>
  <c r="CJ87" i="38" s="1"/>
  <c r="CK87" i="38" s="1"/>
  <c r="CL87" i="38" s="1"/>
  <c r="CI88" i="38"/>
  <c r="CJ88" i="38" s="1"/>
  <c r="CK88" i="38" s="1"/>
  <c r="CL88" i="38" s="1"/>
  <c r="BW71" i="38"/>
  <c r="BX71" i="38" s="1"/>
  <c r="BY71" i="38" s="1"/>
  <c r="BZ71" i="38" s="1"/>
  <c r="CA90" i="38"/>
  <c r="CB90" i="38" s="1"/>
  <c r="CC90" i="38" s="1"/>
  <c r="CD90" i="38" s="1"/>
  <c r="CE114" i="38"/>
  <c r="CF114" i="38" s="1"/>
  <c r="CG114" i="38" s="1"/>
  <c r="CH114" i="38" s="1"/>
  <c r="CI114" i="38" s="1"/>
  <c r="CJ114" i="38" s="1"/>
  <c r="CK114" i="38" s="1"/>
  <c r="CL114" i="38" s="1"/>
  <c r="CM114" i="38" s="1"/>
  <c r="CN114" i="38" s="1"/>
  <c r="CO114" i="38" s="1"/>
  <c r="CP114" i="38" s="1"/>
  <c r="CA63" i="38"/>
  <c r="CB63" i="38" s="1"/>
  <c r="CC63" i="38" s="1"/>
  <c r="CD63" i="38" s="1"/>
  <c r="CE63" i="38" s="1"/>
  <c r="CF63" i="38" s="1"/>
  <c r="CG63" i="38" s="1"/>
  <c r="CH63" i="38" s="1"/>
  <c r="CI63" i="38" s="1"/>
  <c r="CJ63" i="38" s="1"/>
  <c r="CK63" i="38" s="1"/>
  <c r="CL63" i="38" s="1"/>
  <c r="CM63" i="38" s="1"/>
  <c r="CN63" i="38" s="1"/>
  <c r="CO63" i="38" s="1"/>
  <c r="CP63" i="38" s="1"/>
  <c r="CQ63" i="38" s="1"/>
  <c r="CR63" i="38" s="1"/>
  <c r="CS63" i="38" s="1"/>
  <c r="CT63" i="38" s="1"/>
  <c r="CU63" i="38" s="1"/>
  <c r="CV63" i="38" s="1"/>
  <c r="CA51" i="38"/>
  <c r="CB51" i="38" s="1"/>
  <c r="CC51" i="38" s="1"/>
  <c r="CD51" i="38" s="1"/>
  <c r="CM86" i="38"/>
  <c r="CN86" i="38" s="1"/>
  <c r="CO86" i="38" s="1"/>
  <c r="CP86" i="38" s="1"/>
  <c r="CQ86" i="38" s="1"/>
  <c r="CR86" i="38" s="1"/>
  <c r="CS86" i="38" s="1"/>
  <c r="CT86" i="38" s="1"/>
  <c r="CA117" i="38"/>
  <c r="CB117" i="38" s="1"/>
  <c r="CC117" i="38" s="1"/>
  <c r="CD117" i="38" s="1"/>
  <c r="CE89" i="38"/>
  <c r="CF89" i="38" s="1"/>
  <c r="CG89" i="38" s="1"/>
  <c r="CH89" i="38" s="1"/>
  <c r="CI89" i="38" s="1"/>
  <c r="CJ89" i="38" s="1"/>
  <c r="CK89" i="38" s="1"/>
  <c r="CL89" i="38" s="1"/>
  <c r="BW143" i="38"/>
  <c r="BX143" i="38" s="1"/>
  <c r="BY143" i="38" s="1"/>
  <c r="BZ143" i="38" s="1"/>
  <c r="BW112" i="38"/>
  <c r="BX112" i="38" s="1"/>
  <c r="BY112" i="38" s="1"/>
  <c r="BZ112" i="38" s="1"/>
  <c r="CA112" i="38" s="1"/>
  <c r="CB112" i="38" s="1"/>
  <c r="CC112" i="38" s="1"/>
  <c r="CD112" i="38" s="1"/>
  <c r="CA68" i="38"/>
  <c r="CB68" i="38" s="1"/>
  <c r="CC68" i="38" s="1"/>
  <c r="CD68" i="38" s="1"/>
  <c r="CA65" i="38"/>
  <c r="CB65" i="38" s="1"/>
  <c r="CC65" i="38" s="1"/>
  <c r="CD65" i="38" s="1"/>
  <c r="CE65" i="38" s="1"/>
  <c r="CF65" i="38" s="1"/>
  <c r="CG65" i="38" s="1"/>
  <c r="CH65" i="38" s="1"/>
  <c r="CA47" i="38"/>
  <c r="CB47" i="38" s="1"/>
  <c r="CC47" i="38" s="1"/>
  <c r="CD47" i="38" s="1"/>
  <c r="CE47" i="38" s="1"/>
  <c r="CF47" i="38" s="1"/>
  <c r="CG47" i="38" s="1"/>
  <c r="CH47" i="38" s="1"/>
  <c r="CI47" i="38" s="1"/>
  <c r="CJ47" i="38" s="1"/>
  <c r="CK47" i="38" s="1"/>
  <c r="CL47" i="38" s="1"/>
  <c r="CA74" i="38"/>
  <c r="CB74" i="38" s="1"/>
  <c r="CC74" i="38" s="1"/>
  <c r="CD74" i="38" s="1"/>
  <c r="CE74" i="38" s="1"/>
  <c r="CF74" i="38" s="1"/>
  <c r="CG74" i="38" s="1"/>
  <c r="CH74" i="38" s="1"/>
  <c r="CI74" i="38" s="1"/>
  <c r="CJ74" i="38" s="1"/>
  <c r="CK74" i="38" s="1"/>
  <c r="CL74" i="38" s="1"/>
  <c r="CM74" i="38" s="1"/>
  <c r="CN74" i="38" s="1"/>
  <c r="CO74" i="38" s="1"/>
  <c r="CP74" i="38" s="1"/>
  <c r="CA64" i="38"/>
  <c r="CB64" i="38" s="1"/>
  <c r="CC64" i="38" s="1"/>
  <c r="CD64" i="38" s="1"/>
  <c r="CU118" i="38"/>
  <c r="CV118" i="38" s="1"/>
  <c r="CA49" i="38"/>
  <c r="CB49" i="38" s="1"/>
  <c r="CC49" i="38" s="1"/>
  <c r="CD49" i="38" s="1"/>
  <c r="CE49" i="38" s="1"/>
  <c r="CF49" i="38" s="1"/>
  <c r="CG49" i="38" s="1"/>
  <c r="CH49" i="38" s="1"/>
  <c r="CA57" i="38"/>
  <c r="CB57" i="38" s="1"/>
  <c r="CC57" i="38" s="1"/>
  <c r="CD57" i="38" s="1"/>
  <c r="CE57" i="38" s="1"/>
  <c r="CF57" i="38" s="1"/>
  <c r="CG57" i="38" s="1"/>
  <c r="CH57" i="38" s="1"/>
  <c r="CA96" i="38"/>
  <c r="CB96" i="38" s="1"/>
  <c r="CC96" i="38" s="1"/>
  <c r="CD96" i="38" s="1"/>
  <c r="CE96" i="38" s="1"/>
  <c r="CF96" i="38" s="1"/>
  <c r="CG96" i="38" s="1"/>
  <c r="CH96" i="38" s="1"/>
  <c r="CE119" i="38"/>
  <c r="CF119" i="38" s="1"/>
  <c r="CG119" i="38" s="1"/>
  <c r="CH119" i="38" s="1"/>
  <c r="CI119" i="38" s="1"/>
  <c r="CJ119" i="38" s="1"/>
  <c r="CK119" i="38" s="1"/>
  <c r="CL119" i="38" s="1"/>
  <c r="CM119" i="38" s="1"/>
  <c r="CN119" i="38" s="1"/>
  <c r="CO119" i="38" s="1"/>
  <c r="CP119" i="38" s="1"/>
  <c r="CQ119" i="38" s="1"/>
  <c r="CR119" i="38" s="1"/>
  <c r="CS119" i="38" s="1"/>
  <c r="CT119" i="38" s="1"/>
  <c r="CU119" i="38" s="1"/>
  <c r="CV119" i="38" s="1"/>
  <c r="CA55" i="38"/>
  <c r="CB55" i="38" s="1"/>
  <c r="CC55" i="38" s="1"/>
  <c r="CD55" i="38" s="1"/>
  <c r="CA121" i="38"/>
  <c r="CB121" i="38" s="1"/>
  <c r="CC121" i="38" s="1"/>
  <c r="CD121" i="38" s="1"/>
  <c r="CE121" i="38" s="1"/>
  <c r="CF121" i="38" s="1"/>
  <c r="CG121" i="38" s="1"/>
  <c r="CH121" i="38" s="1"/>
  <c r="CI121" i="38" s="1"/>
  <c r="CJ121" i="38" s="1"/>
  <c r="CK121" i="38" s="1"/>
  <c r="CL121" i="38" s="1"/>
  <c r="CM121" i="38" s="1"/>
  <c r="CN121" i="38" s="1"/>
  <c r="CO121" i="38" s="1"/>
  <c r="CP121" i="38" s="1"/>
  <c r="CQ121" i="38" s="1"/>
  <c r="CR121" i="38" s="1"/>
  <c r="CS121" i="38" s="1"/>
  <c r="CT121" i="38" s="1"/>
  <c r="CU121" i="38" s="1"/>
  <c r="CV121" i="38" s="1"/>
  <c r="CE84" i="38"/>
  <c r="CF84" i="38" s="1"/>
  <c r="CG84" i="38" s="1"/>
  <c r="CH84" i="38" s="1"/>
  <c r="CE83" i="38"/>
  <c r="CF83" i="38" s="1"/>
  <c r="CG83" i="38" s="1"/>
  <c r="CH83" i="38" s="1"/>
  <c r="CI83" i="38" s="1"/>
  <c r="CJ83" i="38" s="1"/>
  <c r="CK83" i="38" s="1"/>
  <c r="CL83" i="38" s="1"/>
  <c r="CM83" i="38" s="1"/>
  <c r="CN83" i="38" s="1"/>
  <c r="CO83" i="38" s="1"/>
  <c r="CP83" i="38" s="1"/>
  <c r="CI79" i="38"/>
  <c r="CJ79" i="38" s="1"/>
  <c r="CK79" i="38" s="1"/>
  <c r="CL79" i="38" s="1"/>
  <c r="BV136" i="38"/>
  <c r="CA66" i="38"/>
  <c r="CB66" i="38" s="1"/>
  <c r="CC66" i="38" s="1"/>
  <c r="CD66" i="38" s="1"/>
  <c r="CA67" i="38"/>
  <c r="CB67" i="38" s="1"/>
  <c r="CC67" i="38" s="1"/>
  <c r="CD67" i="38" s="1"/>
  <c r="CI101" i="38"/>
  <c r="CJ101" i="38" s="1"/>
  <c r="CK101" i="38" s="1"/>
  <c r="CL101" i="38" s="1"/>
  <c r="CM101" i="38" s="1"/>
  <c r="CN101" i="38" s="1"/>
  <c r="CO101" i="38" s="1"/>
  <c r="CP101" i="38" s="1"/>
  <c r="CQ101" i="38" s="1"/>
  <c r="CR101" i="38" s="1"/>
  <c r="CS101" i="38" s="1"/>
  <c r="CT101" i="38" s="1"/>
  <c r="CU101" i="38" s="1"/>
  <c r="CV101" i="38" s="1"/>
  <c r="CE81" i="38"/>
  <c r="CF81" i="38" s="1"/>
  <c r="CG81" i="38" s="1"/>
  <c r="CH81" i="38" s="1"/>
  <c r="CI81" i="38" s="1"/>
  <c r="CJ81" i="38" s="1"/>
  <c r="CK81" i="38" s="1"/>
  <c r="CL81" i="38" s="1"/>
  <c r="CM81" i="38" s="1"/>
  <c r="CN81" i="38" s="1"/>
  <c r="CO81" i="38" s="1"/>
  <c r="CP81" i="38" s="1"/>
  <c r="BW138" i="38"/>
  <c r="BX138" i="38" s="1"/>
  <c r="BY138" i="38" s="1"/>
  <c r="BZ138" i="38" s="1"/>
  <c r="CA138" i="38" s="1"/>
  <c r="CB138" i="38" s="1"/>
  <c r="CC138" i="38" s="1"/>
  <c r="CD138" i="38" s="1"/>
  <c r="CE138" i="38" s="1"/>
  <c r="CF138" i="38" s="1"/>
  <c r="CG138" i="38" s="1"/>
  <c r="CH138" i="38" s="1"/>
  <c r="CI138" i="38" s="1"/>
  <c r="CJ138" i="38" s="1"/>
  <c r="CK138" i="38" s="1"/>
  <c r="CL138" i="38" s="1"/>
  <c r="CM138" i="38" s="1"/>
  <c r="CN138" i="38" s="1"/>
  <c r="CO138" i="38" s="1"/>
  <c r="CP138" i="38" s="1"/>
  <c r="CA82" i="38"/>
  <c r="CB82" i="38" s="1"/>
  <c r="CC82" i="38" s="1"/>
  <c r="CD82" i="38" s="1"/>
  <c r="CE82" i="38" s="1"/>
  <c r="CF82" i="38" s="1"/>
  <c r="CG82" i="38" s="1"/>
  <c r="CH82" i="38" s="1"/>
  <c r="CI82" i="38" s="1"/>
  <c r="CJ82" i="38" s="1"/>
  <c r="CK82" i="38" s="1"/>
  <c r="CL82" i="38" s="1"/>
  <c r="CM82" i="38" s="1"/>
  <c r="CN82" i="38" s="1"/>
  <c r="CO82" i="38" s="1"/>
  <c r="CP82" i="38" s="1"/>
  <c r="CQ82" i="38" s="1"/>
  <c r="CR82" i="38" s="1"/>
  <c r="CS82" i="38" s="1"/>
  <c r="CT82" i="38" s="1"/>
  <c r="CU82" i="38" s="1"/>
  <c r="CV82" i="38" s="1"/>
  <c r="CA99" i="38"/>
  <c r="CB99" i="38" s="1"/>
  <c r="CC99" i="38" s="1"/>
  <c r="CD99" i="38" s="1"/>
  <c r="AS135" i="38"/>
  <c r="AU135" i="38" s="1"/>
  <c r="AV135" i="38" s="1"/>
  <c r="H136" i="40" s="1"/>
  <c r="BW69" i="38"/>
  <c r="BX69" i="38" s="1"/>
  <c r="BY69" i="38" s="1"/>
  <c r="BZ69" i="38" s="1"/>
  <c r="CA73" i="38"/>
  <c r="CB73" i="38" s="1"/>
  <c r="CC73" i="38" s="1"/>
  <c r="CD73" i="38" s="1"/>
  <c r="CE73" i="38" s="1"/>
  <c r="CF73" i="38" s="1"/>
  <c r="CG73" i="38" s="1"/>
  <c r="CH73" i="38" s="1"/>
  <c r="CI73" i="38" s="1"/>
  <c r="CJ73" i="38" s="1"/>
  <c r="CK73" i="38" s="1"/>
  <c r="CL73" i="38" s="1"/>
  <c r="CA115" i="38"/>
  <c r="CB115" i="38" s="1"/>
  <c r="CC115" i="38" s="1"/>
  <c r="CD115" i="38" s="1"/>
  <c r="CE115" i="38" s="1"/>
  <c r="CF115" i="38" s="1"/>
  <c r="CG115" i="38" s="1"/>
  <c r="CH115" i="38" s="1"/>
  <c r="CA77" i="38"/>
  <c r="CB77" i="38" s="1"/>
  <c r="CC77" i="38" s="1"/>
  <c r="CD77" i="38" s="1"/>
  <c r="CE77" i="38" s="1"/>
  <c r="CF77" i="38" s="1"/>
  <c r="CG77" i="38" s="1"/>
  <c r="CH77" i="38" s="1"/>
  <c r="CI77" i="38" s="1"/>
  <c r="CJ77" i="38" s="1"/>
  <c r="CK77" i="38" s="1"/>
  <c r="CL77" i="38" s="1"/>
  <c r="CA78" i="38"/>
  <c r="CB78" i="38" s="1"/>
  <c r="CC78" i="38" s="1"/>
  <c r="CD78" i="38" s="1"/>
  <c r="CA45" i="38"/>
  <c r="CB45" i="38" s="1"/>
  <c r="CC45" i="38" s="1"/>
  <c r="CD45" i="38" s="1"/>
  <c r="CE45" i="38" s="1"/>
  <c r="CF45" i="38" s="1"/>
  <c r="CG45" i="38" s="1"/>
  <c r="CH45" i="38" s="1"/>
  <c r="CA76" i="38"/>
  <c r="CB76" i="38" s="1"/>
  <c r="CC76" i="38" s="1"/>
  <c r="CD76" i="38" s="1"/>
  <c r="CI123" i="38"/>
  <c r="CJ123" i="38" s="1"/>
  <c r="CK123" i="38" s="1"/>
  <c r="CL123" i="38" s="1"/>
  <c r="CM123" i="38" s="1"/>
  <c r="CN123" i="38" s="1"/>
  <c r="CO123" i="38" s="1"/>
  <c r="CP123" i="38" s="1"/>
  <c r="CQ123" i="38" s="1"/>
  <c r="CR123" i="38" s="1"/>
  <c r="CS123" i="38" s="1"/>
  <c r="CT123" i="38" s="1"/>
  <c r="CE93" i="38"/>
  <c r="CF93" i="38" s="1"/>
  <c r="CG93" i="38" s="1"/>
  <c r="CH93" i="38" s="1"/>
  <c r="CI93" i="38" s="1"/>
  <c r="CJ93" i="38" s="1"/>
  <c r="CK93" i="38" s="1"/>
  <c r="CL93" i="38" s="1"/>
  <c r="CE102" i="38"/>
  <c r="CF102" i="38" s="1"/>
  <c r="CG102" i="38" s="1"/>
  <c r="CH102" i="38" s="1"/>
  <c r="CI102" i="38" s="1"/>
  <c r="CJ102" i="38" s="1"/>
  <c r="CK102" i="38" s="1"/>
  <c r="CL102" i="38" s="1"/>
  <c r="CM102" i="38" s="1"/>
  <c r="CN102" i="38" s="1"/>
  <c r="CO102" i="38" s="1"/>
  <c r="CP102" i="38" s="1"/>
  <c r="CQ102" i="38" s="1"/>
  <c r="CR102" i="38" s="1"/>
  <c r="CS102" i="38" s="1"/>
  <c r="CT102" i="38" s="1"/>
  <c r="CU94" i="38"/>
  <c r="CV94" i="38" s="1"/>
  <c r="CA46" i="38"/>
  <c r="CB46" i="38" s="1"/>
  <c r="CC46" i="38" s="1"/>
  <c r="CD46" i="38" s="1"/>
  <c r="CE60" i="38"/>
  <c r="CF60" i="38" s="1"/>
  <c r="CG60" i="38" s="1"/>
  <c r="CH60" i="38" s="1"/>
  <c r="BR140" i="38"/>
  <c r="BV140" i="38" s="1"/>
  <c r="BW140" i="38" s="1"/>
  <c r="BX140" i="38" s="1"/>
  <c r="BY140" i="38" s="1"/>
  <c r="BZ140" i="38" s="1"/>
  <c r="CA140" i="38" s="1"/>
  <c r="CB140" i="38" s="1"/>
  <c r="CC140" i="38" s="1"/>
  <c r="CD140" i="38" s="1"/>
  <c r="CE140" i="38" s="1"/>
  <c r="CF140" i="38" s="1"/>
  <c r="CG140" i="38" s="1"/>
  <c r="CH140" i="38" s="1"/>
  <c r="CI140" i="38" s="1"/>
  <c r="CJ140" i="38" s="1"/>
  <c r="CK140" i="38" s="1"/>
  <c r="CL140" i="38" s="1"/>
  <c r="CM140" i="38" s="1"/>
  <c r="CN140" i="38" s="1"/>
  <c r="CO140" i="38" s="1"/>
  <c r="CP140" i="38" s="1"/>
  <c r="BV139" i="38"/>
  <c r="CA62" i="38"/>
  <c r="CB62" i="38" s="1"/>
  <c r="CC62" i="38" s="1"/>
  <c r="CD62" i="38" s="1"/>
  <c r="CA59" i="38"/>
  <c r="CB59" i="38" s="1"/>
  <c r="CC59" i="38" s="1"/>
  <c r="CD59" i="38" s="1"/>
  <c r="CE59" i="38" s="1"/>
  <c r="CF59" i="38" s="1"/>
  <c r="CG59" i="38" s="1"/>
  <c r="CH59" i="38" s="1"/>
  <c r="CI59" i="38" s="1"/>
  <c r="CJ59" i="38" s="1"/>
  <c r="CK59" i="38" s="1"/>
  <c r="CL59" i="38" s="1"/>
  <c r="CQ80" i="38"/>
  <c r="CR80" i="38" s="1"/>
  <c r="CS80" i="38" s="1"/>
  <c r="CT80" i="38" s="1"/>
  <c r="CU80" i="38" s="1"/>
  <c r="CV80" i="38" s="1"/>
  <c r="CA70" i="38"/>
  <c r="CB70" i="38" s="1"/>
  <c r="CC70" i="38" s="1"/>
  <c r="CD70" i="38" s="1"/>
  <c r="EE156" i="14"/>
  <c r="FJ156" i="14" s="1"/>
  <c r="HE135" i="14"/>
  <c r="EM135" i="14"/>
  <c r="EP135" i="14" s="1"/>
  <c r="EQ135" i="14" s="1"/>
  <c r="ER135" i="14" s="1"/>
  <c r="GW90" i="14"/>
  <c r="GZ90" i="14" s="1"/>
  <c r="HA90" i="14" s="1"/>
  <c r="HB90" i="14" s="1"/>
  <c r="HC90" i="14" s="1"/>
  <c r="HH90" i="14" s="1"/>
  <c r="HI90" i="14" s="1"/>
  <c r="HJ90" i="14" s="1"/>
  <c r="HK90" i="14" s="1"/>
  <c r="EJ90" i="14"/>
  <c r="HE103" i="14"/>
  <c r="HM103" i="14"/>
  <c r="GW103" i="14"/>
  <c r="GZ103" i="14" s="1"/>
  <c r="HA103" i="14" s="1"/>
  <c r="HB103" i="14" s="1"/>
  <c r="HC103" i="14" s="1"/>
  <c r="FC93" i="14"/>
  <c r="BX44" i="38"/>
  <c r="BY44" i="38" s="1"/>
  <c r="EJ105" i="14"/>
  <c r="EU93" i="14"/>
  <c r="HM93" i="14"/>
  <c r="FC90" i="14"/>
  <c r="EM93" i="14"/>
  <c r="EP93" i="14" s="1"/>
  <c r="EQ93" i="14" s="1"/>
  <c r="ER93" i="14" s="1"/>
  <c r="HE105" i="14"/>
  <c r="HH105" i="14" s="1"/>
  <c r="HI105" i="14" s="1"/>
  <c r="HJ105" i="14" s="1"/>
  <c r="HK105" i="14" s="1"/>
  <c r="GW135" i="14"/>
  <c r="GZ135" i="14" s="1"/>
  <c r="HA135" i="14" s="1"/>
  <c r="HB135" i="14" s="1"/>
  <c r="HC135" i="14" s="1"/>
  <c r="EM90" i="14"/>
  <c r="EP90" i="14" s="1"/>
  <c r="EQ90" i="14" s="1"/>
  <c r="ER90" i="14" s="1"/>
  <c r="FC105" i="14"/>
  <c r="EU90" i="14"/>
  <c r="HE93" i="14"/>
  <c r="HH93" i="14" s="1"/>
  <c r="HI93" i="14" s="1"/>
  <c r="HJ93" i="14" s="1"/>
  <c r="HK93" i="14" s="1"/>
  <c r="HP93" i="14" s="1"/>
  <c r="HQ93" i="14" s="1"/>
  <c r="HR93" i="14" s="1"/>
  <c r="HS93" i="14" s="1"/>
  <c r="HX93" i="14" s="1"/>
  <c r="HM105" i="14"/>
  <c r="EJ135" i="14"/>
  <c r="HM135" i="14"/>
  <c r="HM90" i="14"/>
  <c r="EJ93" i="14"/>
  <c r="FC135" i="14"/>
  <c r="HE78" i="14"/>
  <c r="HH78" i="14" s="1"/>
  <c r="HI78" i="14" s="1"/>
  <c r="HJ78" i="14" s="1"/>
  <c r="HK78" i="14" s="1"/>
  <c r="EJ103" i="14"/>
  <c r="BR141" i="38"/>
  <c r="BV141" i="38" s="1"/>
  <c r="BR108" i="38"/>
  <c r="BV108" i="38" s="1"/>
  <c r="EU103" i="14"/>
  <c r="BR128" i="38"/>
  <c r="BV128" i="38" s="1"/>
  <c r="BR124" i="38"/>
  <c r="BV124" i="38" s="1"/>
  <c r="EM103" i="14"/>
  <c r="EP103" i="14" s="1"/>
  <c r="EQ103" i="14" s="1"/>
  <c r="ER103" i="14" s="1"/>
  <c r="HE73" i="14"/>
  <c r="HM73" i="14"/>
  <c r="EU73" i="14"/>
  <c r="EJ73" i="14"/>
  <c r="ES73" i="14" s="1"/>
  <c r="FC73" i="14"/>
  <c r="GW73" i="14"/>
  <c r="GZ73" i="14" s="1"/>
  <c r="HA73" i="14" s="1"/>
  <c r="HB73" i="14" s="1"/>
  <c r="HC73" i="14" s="1"/>
  <c r="EF145" i="14"/>
  <c r="FK145" i="14" s="1"/>
  <c r="AN140" i="38"/>
  <c r="AP140" i="38" s="1"/>
  <c r="AQ140" i="38" s="1"/>
  <c r="G141" i="40" s="1"/>
  <c r="HM102" i="14"/>
  <c r="EF146" i="14"/>
  <c r="FK146" i="14" s="1"/>
  <c r="EE143" i="14"/>
  <c r="EG143" i="14" s="1"/>
  <c r="AN134" i="38"/>
  <c r="AP134" i="38" s="1"/>
  <c r="AQ134" i="38" s="1"/>
  <c r="G135" i="40" s="1"/>
  <c r="GW132" i="14"/>
  <c r="GZ132" i="14" s="1"/>
  <c r="HA132" i="14" s="1"/>
  <c r="HB132" i="14" s="1"/>
  <c r="HC132" i="14" s="1"/>
  <c r="FC132" i="14"/>
  <c r="GW107" i="14"/>
  <c r="GZ107" i="14" s="1"/>
  <c r="HA107" i="14" s="1"/>
  <c r="HB107" i="14" s="1"/>
  <c r="HC107" i="14" s="1"/>
  <c r="EU107" i="14"/>
  <c r="EJ130" i="14"/>
  <c r="AS141" i="38"/>
  <c r="AU141" i="38" s="1"/>
  <c r="AV141" i="38" s="1"/>
  <c r="H142" i="40" s="1"/>
  <c r="EF153" i="14"/>
  <c r="FK153" i="14" s="1"/>
  <c r="GE153" i="14" s="1"/>
  <c r="EF124" i="14"/>
  <c r="FK124" i="14" s="1"/>
  <c r="EE147" i="14"/>
  <c r="EG147" i="14" s="1"/>
  <c r="EM82" i="14"/>
  <c r="EP82" i="14" s="1"/>
  <c r="EQ82" i="14" s="1"/>
  <c r="ER82" i="14" s="1"/>
  <c r="AN126" i="38"/>
  <c r="AP126" i="38" s="1"/>
  <c r="AQ126" i="38" s="1"/>
  <c r="G127" i="40" s="1"/>
  <c r="EU82" i="14"/>
  <c r="AS130" i="38"/>
  <c r="AU130" i="38" s="1"/>
  <c r="AV130" i="38" s="1"/>
  <c r="H131" i="40" s="1"/>
  <c r="HE82" i="14"/>
  <c r="EJ78" i="14"/>
  <c r="EJ82" i="14"/>
  <c r="HM78" i="14"/>
  <c r="GW82" i="14"/>
  <c r="GZ82" i="14" s="1"/>
  <c r="HA82" i="14" s="1"/>
  <c r="HB82" i="14" s="1"/>
  <c r="HC82" i="14" s="1"/>
  <c r="FC82" i="14"/>
  <c r="HE106" i="14"/>
  <c r="EJ106" i="14"/>
  <c r="EE149" i="14"/>
  <c r="FJ149" i="14" s="1"/>
  <c r="FV149" i="14" s="1"/>
  <c r="EG88" i="14"/>
  <c r="EJ88" i="14" s="1"/>
  <c r="EU106" i="14"/>
  <c r="GW106" i="14"/>
  <c r="GZ106" i="14" s="1"/>
  <c r="HA106" i="14" s="1"/>
  <c r="HB106" i="14" s="1"/>
  <c r="HC106" i="14" s="1"/>
  <c r="HM106" i="14"/>
  <c r="AN128" i="38"/>
  <c r="AP128" i="38" s="1"/>
  <c r="AQ128" i="38" s="1"/>
  <c r="G129" i="40" s="1"/>
  <c r="BR107" i="38"/>
  <c r="BV107" i="38" s="1"/>
  <c r="BR110" i="38"/>
  <c r="BV110" i="38" s="1"/>
  <c r="AN64" i="38"/>
  <c r="AP64" i="38" s="1"/>
  <c r="AQ64" i="38" s="1"/>
  <c r="G65" i="40" s="1"/>
  <c r="AS137" i="38"/>
  <c r="AU137" i="38" s="1"/>
  <c r="AV137" i="38" s="1"/>
  <c r="H138" i="40" s="1"/>
  <c r="BR127" i="38"/>
  <c r="BV127" i="38" s="1"/>
  <c r="BR130" i="38"/>
  <c r="BV130" i="38" s="1"/>
  <c r="BR111" i="38"/>
  <c r="BV111" i="38" s="1"/>
  <c r="BR106" i="38"/>
  <c r="BV106" i="38" s="1"/>
  <c r="BR133" i="38"/>
  <c r="BV133" i="38" s="1"/>
  <c r="BR134" i="38"/>
  <c r="BV134" i="38" s="1"/>
  <c r="BW134" i="38" s="1"/>
  <c r="BX134" i="38" s="1"/>
  <c r="BY134" i="38" s="1"/>
  <c r="BZ134" i="38" s="1"/>
  <c r="BR132" i="38"/>
  <c r="BV132" i="38" s="1"/>
  <c r="BR142" i="38"/>
  <c r="BV142" i="38" s="1"/>
  <c r="BR104" i="38"/>
  <c r="BV104" i="38" s="1"/>
  <c r="BW104" i="38" s="1"/>
  <c r="BX104" i="38" s="1"/>
  <c r="BY104" i="38" s="1"/>
  <c r="BZ104" i="38" s="1"/>
  <c r="CA104" i="38" s="1"/>
  <c r="CB104" i="38" s="1"/>
  <c r="CC104" i="38" s="1"/>
  <c r="CD104" i="38" s="1"/>
  <c r="CE104" i="38" s="1"/>
  <c r="CF104" i="38" s="1"/>
  <c r="CG104" i="38" s="1"/>
  <c r="CH104" i="38" s="1"/>
  <c r="CI104" i="38" s="1"/>
  <c r="CJ104" i="38" s="1"/>
  <c r="CK104" i="38" s="1"/>
  <c r="CL104" i="38" s="1"/>
  <c r="BR109" i="38"/>
  <c r="BV109" i="38" s="1"/>
  <c r="BR144" i="38"/>
  <c r="BV144" i="38" s="1"/>
  <c r="BR113" i="38"/>
  <c r="BV113" i="38" s="1"/>
  <c r="BR135" i="38"/>
  <c r="BV135" i="38" s="1"/>
  <c r="BR137" i="38"/>
  <c r="BV137" i="38" s="1"/>
  <c r="BW137" i="38" s="1"/>
  <c r="BX137" i="38" s="1"/>
  <c r="BY137" i="38" s="1"/>
  <c r="BZ137" i="38" s="1"/>
  <c r="GW136" i="14"/>
  <c r="GZ136" i="14" s="1"/>
  <c r="HA136" i="14" s="1"/>
  <c r="HB136" i="14" s="1"/>
  <c r="HC136" i="14" s="1"/>
  <c r="HM71" i="14"/>
  <c r="EJ96" i="14"/>
  <c r="ES96" i="14" s="1"/>
  <c r="HM133" i="14"/>
  <c r="AN70" i="38"/>
  <c r="AP70" i="38" s="1"/>
  <c r="AQ70" i="38" s="1"/>
  <c r="G71" i="40" s="1"/>
  <c r="GW96" i="14"/>
  <c r="GZ96" i="14" s="1"/>
  <c r="HA96" i="14" s="1"/>
  <c r="HB96" i="14" s="1"/>
  <c r="HC96" i="14" s="1"/>
  <c r="FC133" i="14"/>
  <c r="EE158" i="14"/>
  <c r="EG158" i="14" s="1"/>
  <c r="FC71" i="14"/>
  <c r="EU96" i="14"/>
  <c r="GW133" i="14"/>
  <c r="GZ133" i="14" s="1"/>
  <c r="HA133" i="14" s="1"/>
  <c r="HB133" i="14" s="1"/>
  <c r="HC133" i="14" s="1"/>
  <c r="EF141" i="14"/>
  <c r="FK141" i="14" s="1"/>
  <c r="HM96" i="14"/>
  <c r="AN73" i="38"/>
  <c r="AP73" i="38" s="1"/>
  <c r="AQ73" i="38" s="1"/>
  <c r="G74" i="40" s="1"/>
  <c r="AS143" i="38"/>
  <c r="AU143" i="38" s="1"/>
  <c r="AV143" i="38" s="1"/>
  <c r="H144" i="40" s="1"/>
  <c r="HE96" i="14"/>
  <c r="EJ133" i="14"/>
  <c r="ES133" i="14" s="1"/>
  <c r="EJ71" i="14"/>
  <c r="FC96" i="14"/>
  <c r="HE133" i="14"/>
  <c r="AO129" i="38"/>
  <c r="AP129" i="38" s="1"/>
  <c r="AQ129" i="38" s="1"/>
  <c r="G130" i="40" s="1"/>
  <c r="HE71" i="14"/>
  <c r="GW71" i="14"/>
  <c r="GZ71" i="14" s="1"/>
  <c r="HA71" i="14" s="1"/>
  <c r="HB71" i="14" s="1"/>
  <c r="HC71" i="14" s="1"/>
  <c r="EM71" i="14"/>
  <c r="EP71" i="14" s="1"/>
  <c r="EQ71" i="14" s="1"/>
  <c r="ER71" i="14" s="1"/>
  <c r="EU133" i="14"/>
  <c r="AN143" i="38"/>
  <c r="AP143" i="38" s="1"/>
  <c r="AQ143" i="38" s="1"/>
  <c r="G144" i="40" s="1"/>
  <c r="HE107" i="14"/>
  <c r="HE132" i="14"/>
  <c r="AN66" i="38"/>
  <c r="AP66" i="38" s="1"/>
  <c r="AQ66" i="38" s="1"/>
  <c r="G67" i="40" s="1"/>
  <c r="FC107" i="14"/>
  <c r="EJ132" i="14"/>
  <c r="AN109" i="38"/>
  <c r="AP109" i="38" s="1"/>
  <c r="AQ109" i="38" s="1"/>
  <c r="G110" i="40" s="1"/>
  <c r="EM132" i="14"/>
  <c r="EP132" i="14" s="1"/>
  <c r="EQ132" i="14" s="1"/>
  <c r="ER132" i="14" s="1"/>
  <c r="HM107" i="14"/>
  <c r="EU132" i="14"/>
  <c r="EJ107" i="14"/>
  <c r="ES107" i="14" s="1"/>
  <c r="EG128" i="14"/>
  <c r="GW128" i="14" s="1"/>
  <c r="GZ128" i="14" s="1"/>
  <c r="HA128" i="14" s="1"/>
  <c r="HB128" i="14" s="1"/>
  <c r="HC128" i="14" s="1"/>
  <c r="EJ92" i="14"/>
  <c r="BR131" i="38"/>
  <c r="BV131" i="38" s="1"/>
  <c r="BW131" i="38" s="1"/>
  <c r="BX131" i="38" s="1"/>
  <c r="BY131" i="38" s="1"/>
  <c r="BZ131" i="38" s="1"/>
  <c r="EE150" i="14"/>
  <c r="FJ150" i="14" s="1"/>
  <c r="AS136" i="38"/>
  <c r="AU136" i="38" s="1"/>
  <c r="AV136" i="38" s="1"/>
  <c r="H137" i="40" s="1"/>
  <c r="EM105" i="14"/>
  <c r="EP105" i="14" s="1"/>
  <c r="EQ105" i="14" s="1"/>
  <c r="ER105" i="14" s="1"/>
  <c r="EU105" i="14"/>
  <c r="EE144" i="14"/>
  <c r="FJ144" i="14" s="1"/>
  <c r="BR125" i="38"/>
  <c r="BV125" i="38" s="1"/>
  <c r="BW125" i="38" s="1"/>
  <c r="BX125" i="38" s="1"/>
  <c r="BY125" i="38" s="1"/>
  <c r="BZ125" i="38" s="1"/>
  <c r="AN110" i="38"/>
  <c r="AP110" i="38" s="1"/>
  <c r="AQ110" i="38" s="1"/>
  <c r="G111" i="40" s="1"/>
  <c r="AN68" i="38"/>
  <c r="AP68" i="38" s="1"/>
  <c r="AQ68" i="38" s="1"/>
  <c r="G69" i="40" s="1"/>
  <c r="EG89" i="14"/>
  <c r="FC89" i="14" s="1"/>
  <c r="EG80" i="14"/>
  <c r="EJ80" i="14" s="1"/>
  <c r="AN107" i="38"/>
  <c r="AP107" i="38" s="1"/>
  <c r="AQ107" i="38" s="1"/>
  <c r="G108" i="40" s="1"/>
  <c r="HM79" i="14"/>
  <c r="EJ84" i="14"/>
  <c r="EU74" i="14"/>
  <c r="EM74" i="14"/>
  <c r="EP74" i="14" s="1"/>
  <c r="EQ74" i="14" s="1"/>
  <c r="ER74" i="14" s="1"/>
  <c r="FC84" i="14"/>
  <c r="HE84" i="14"/>
  <c r="HH84" i="14" s="1"/>
  <c r="HI84" i="14" s="1"/>
  <c r="HJ84" i="14" s="1"/>
  <c r="HK84" i="14" s="1"/>
  <c r="HE136" i="14"/>
  <c r="AN131" i="38"/>
  <c r="AP131" i="38" s="1"/>
  <c r="AQ131" i="38" s="1"/>
  <c r="G132" i="40" s="1"/>
  <c r="EE157" i="14"/>
  <c r="EG157" i="14" s="1"/>
  <c r="EM84" i="14"/>
  <c r="EP84" i="14" s="1"/>
  <c r="EQ84" i="14" s="1"/>
  <c r="ER84" i="14" s="1"/>
  <c r="EU84" i="14"/>
  <c r="HM84" i="14"/>
  <c r="EF151" i="14"/>
  <c r="FK151" i="14" s="1"/>
  <c r="GE151" i="14" s="1"/>
  <c r="EG81" i="14"/>
  <c r="HM81" i="14" s="1"/>
  <c r="EF160" i="14"/>
  <c r="FK160" i="14" s="1"/>
  <c r="GE160" i="14" s="1"/>
  <c r="AS129" i="38"/>
  <c r="AU129" i="38" s="1"/>
  <c r="AV129" i="38" s="1"/>
  <c r="H130" i="40" s="1"/>
  <c r="FJ84" i="14"/>
  <c r="FV84" i="14" s="1"/>
  <c r="AO130" i="38"/>
  <c r="AP130" i="38" s="1"/>
  <c r="AQ130" i="38" s="1"/>
  <c r="G131" i="40" s="1"/>
  <c r="AN137" i="38"/>
  <c r="AP137" i="38" s="1"/>
  <c r="AQ137" i="38" s="1"/>
  <c r="G138" i="40" s="1"/>
  <c r="GW79" i="14"/>
  <c r="GZ79" i="14" s="1"/>
  <c r="HA79" i="14" s="1"/>
  <c r="HB79" i="14" s="1"/>
  <c r="HC79" i="14" s="1"/>
  <c r="AO135" i="38"/>
  <c r="AP135" i="38" s="1"/>
  <c r="AQ135" i="38" s="1"/>
  <c r="G136" i="40" s="1"/>
  <c r="AO124" i="38"/>
  <c r="AP124" i="38" s="1"/>
  <c r="AQ124" i="38" s="1"/>
  <c r="G125" i="40" s="1"/>
  <c r="HE79" i="14"/>
  <c r="AN111" i="38"/>
  <c r="AP111" i="38" s="1"/>
  <c r="AQ111" i="38" s="1"/>
  <c r="G112" i="40" s="1"/>
  <c r="EJ79" i="14"/>
  <c r="EM79" i="14"/>
  <c r="EP79" i="14" s="1"/>
  <c r="EQ79" i="14" s="1"/>
  <c r="ER79" i="14" s="1"/>
  <c r="FC79" i="14"/>
  <c r="AN72" i="38"/>
  <c r="AP72" i="38" s="1"/>
  <c r="AQ72" i="38" s="1"/>
  <c r="G73" i="40" s="1"/>
  <c r="EE148" i="14"/>
  <c r="EG148" i="14" s="1"/>
  <c r="AN113" i="38"/>
  <c r="AP113" i="38" s="1"/>
  <c r="AQ113" i="38" s="1"/>
  <c r="G114" i="40" s="1"/>
  <c r="AN67" i="38"/>
  <c r="AP67" i="38" s="1"/>
  <c r="AQ67" i="38" s="1"/>
  <c r="G68" i="40" s="1"/>
  <c r="EF120" i="14"/>
  <c r="FK120" i="14" s="1"/>
  <c r="EG86" i="14"/>
  <c r="EM86" i="14" s="1"/>
  <c r="EP86" i="14" s="1"/>
  <c r="EQ86" i="14" s="1"/>
  <c r="ER86" i="14" s="1"/>
  <c r="EU78" i="14"/>
  <c r="HM74" i="14"/>
  <c r="EJ136" i="14"/>
  <c r="AM127" i="38"/>
  <c r="AN127" i="38" s="1"/>
  <c r="EM78" i="14"/>
  <c r="EP78" i="14" s="1"/>
  <c r="EQ78" i="14" s="1"/>
  <c r="ER78" i="14" s="1"/>
  <c r="GW74" i="14"/>
  <c r="GZ74" i="14" s="1"/>
  <c r="HA74" i="14" s="1"/>
  <c r="HB74" i="14" s="1"/>
  <c r="HC74" i="14" s="1"/>
  <c r="EM136" i="14"/>
  <c r="EP136" i="14" s="1"/>
  <c r="EQ136" i="14" s="1"/>
  <c r="ER136" i="14" s="1"/>
  <c r="EF126" i="14"/>
  <c r="FC78" i="14"/>
  <c r="EU136" i="14"/>
  <c r="EJ74" i="14"/>
  <c r="FC136" i="14"/>
  <c r="HE74" i="14"/>
  <c r="AN125" i="38"/>
  <c r="AP125" i="38" s="1"/>
  <c r="AQ125" i="38" s="1"/>
  <c r="G126" i="40" s="1"/>
  <c r="FK85" i="14"/>
  <c r="GD85" i="14" s="1"/>
  <c r="EG85" i="14"/>
  <c r="EJ94" i="14"/>
  <c r="EM130" i="14"/>
  <c r="EP130" i="14" s="1"/>
  <c r="EQ130" i="14" s="1"/>
  <c r="ER130" i="14" s="1"/>
  <c r="EU92" i="14"/>
  <c r="EF152" i="14"/>
  <c r="FK152" i="14" s="1"/>
  <c r="GE152" i="14" s="1"/>
  <c r="EE123" i="14"/>
  <c r="FJ123" i="14" s="1"/>
  <c r="FV123" i="14" s="1"/>
  <c r="GW130" i="14"/>
  <c r="GZ130" i="14" s="1"/>
  <c r="HA130" i="14" s="1"/>
  <c r="HB130" i="14" s="1"/>
  <c r="HC130" i="14" s="1"/>
  <c r="HE130" i="14"/>
  <c r="HE92" i="14"/>
  <c r="HH92" i="14" s="1"/>
  <c r="HI92" i="14" s="1"/>
  <c r="HJ92" i="14" s="1"/>
  <c r="HK92" i="14" s="1"/>
  <c r="AN136" i="38"/>
  <c r="AP136" i="38" s="1"/>
  <c r="AQ136" i="38" s="1"/>
  <c r="G137" i="40" s="1"/>
  <c r="AO132" i="38"/>
  <c r="AP132" i="38" s="1"/>
  <c r="AQ132" i="38" s="1"/>
  <c r="G133" i="40" s="1"/>
  <c r="FC130" i="14"/>
  <c r="EM92" i="14"/>
  <c r="EP92" i="14" s="1"/>
  <c r="EQ92" i="14" s="1"/>
  <c r="ER92" i="14" s="1"/>
  <c r="EE140" i="14"/>
  <c r="EG140" i="14" s="1"/>
  <c r="AN141" i="38"/>
  <c r="AP141" i="38" s="1"/>
  <c r="AQ141" i="38" s="1"/>
  <c r="G142" i="40" s="1"/>
  <c r="EU130" i="14"/>
  <c r="FC92" i="14"/>
  <c r="HM92" i="14"/>
  <c r="AN105" i="38"/>
  <c r="AP105" i="38" s="1"/>
  <c r="AQ105" i="38" s="1"/>
  <c r="G106" i="40" s="1"/>
  <c r="AN138" i="38"/>
  <c r="AP138" i="38" s="1"/>
  <c r="AQ138" i="38" s="1"/>
  <c r="G139" i="40" s="1"/>
  <c r="AN71" i="38"/>
  <c r="AP71" i="38" s="1"/>
  <c r="AQ71" i="38" s="1"/>
  <c r="G72" i="40" s="1"/>
  <c r="EF122" i="14"/>
  <c r="FK122" i="14" s="1"/>
  <c r="AN112" i="38"/>
  <c r="AP112" i="38" s="1"/>
  <c r="AQ112" i="38" s="1"/>
  <c r="G113" i="40" s="1"/>
  <c r="V28" i="1"/>
  <c r="GW94" i="14"/>
  <c r="GZ94" i="14" s="1"/>
  <c r="HA94" i="14" s="1"/>
  <c r="HB94" i="14" s="1"/>
  <c r="HC94" i="14" s="1"/>
  <c r="EJ70" i="14"/>
  <c r="EU94" i="14"/>
  <c r="EG127" i="14"/>
  <c r="HE127" i="14" s="1"/>
  <c r="HM70" i="14"/>
  <c r="GW70" i="14"/>
  <c r="GZ70" i="14" s="1"/>
  <c r="HA70" i="14" s="1"/>
  <c r="HB70" i="14" s="1"/>
  <c r="HC70" i="14" s="1"/>
  <c r="HE94" i="14"/>
  <c r="BR105" i="38"/>
  <c r="BV105" i="38" s="1"/>
  <c r="EM70" i="14"/>
  <c r="EP70" i="14" s="1"/>
  <c r="EQ70" i="14" s="1"/>
  <c r="ER70" i="14" s="1"/>
  <c r="FC70" i="14"/>
  <c r="EM94" i="14"/>
  <c r="EP94" i="14" s="1"/>
  <c r="EQ94" i="14" s="1"/>
  <c r="ER94" i="14" s="1"/>
  <c r="HE70" i="14"/>
  <c r="HM94" i="14"/>
  <c r="AO142" i="38"/>
  <c r="AP142" i="38" s="1"/>
  <c r="AQ142" i="38" s="1"/>
  <c r="G143" i="40" s="1"/>
  <c r="EU75" i="14"/>
  <c r="HM75" i="14"/>
  <c r="EG129" i="14"/>
  <c r="HM129" i="14" s="1"/>
  <c r="EJ75" i="14"/>
  <c r="FJ83" i="14"/>
  <c r="FV83" i="14" s="1"/>
  <c r="EG83" i="14"/>
  <c r="EM75" i="14"/>
  <c r="EP75" i="14" s="1"/>
  <c r="EQ75" i="14" s="1"/>
  <c r="ER75" i="14" s="1"/>
  <c r="HE75" i="14"/>
  <c r="HH75" i="14" s="1"/>
  <c r="HI75" i="14" s="1"/>
  <c r="HJ75" i="14" s="1"/>
  <c r="HK75" i="14" s="1"/>
  <c r="FC75" i="14"/>
  <c r="AN108" i="38"/>
  <c r="AP108" i="38" s="1"/>
  <c r="AQ108" i="38" s="1"/>
  <c r="G109" i="40" s="1"/>
  <c r="EG125" i="14"/>
  <c r="EU125" i="14" s="1"/>
  <c r="EG87" i="14"/>
  <c r="FJ87" i="14"/>
  <c r="FV87" i="14" s="1"/>
  <c r="AO133" i="38"/>
  <c r="AP133" i="38" s="1"/>
  <c r="AQ133" i="38" s="1"/>
  <c r="G134" i="40" s="1"/>
  <c r="EG121" i="14"/>
  <c r="EU121" i="14" s="1"/>
  <c r="AO144" i="38"/>
  <c r="AP144" i="38" s="1"/>
  <c r="AQ144" i="38" s="1"/>
  <c r="G145" i="40" s="1"/>
  <c r="AO139" i="38"/>
  <c r="AP139" i="38" s="1"/>
  <c r="AQ139" i="38" s="1"/>
  <c r="G140" i="40" s="1"/>
  <c r="FV112" i="14"/>
  <c r="FW112" i="14"/>
  <c r="FV120" i="14"/>
  <c r="FW120" i="14"/>
  <c r="FT60" i="14"/>
  <c r="FW60" i="14"/>
  <c r="FV125" i="14"/>
  <c r="FW125" i="14"/>
  <c r="FV124" i="14"/>
  <c r="FW124" i="14"/>
  <c r="FT68" i="14"/>
  <c r="FW68" i="14"/>
  <c r="FT62" i="14"/>
  <c r="FW62" i="14"/>
  <c r="FT66" i="14"/>
  <c r="FW66" i="14"/>
  <c r="FV119" i="14"/>
  <c r="FW119" i="14"/>
  <c r="FV126" i="14"/>
  <c r="FW126" i="14"/>
  <c r="FV115" i="14"/>
  <c r="FW115" i="14"/>
  <c r="FV113" i="14"/>
  <c r="FW113" i="14"/>
  <c r="FV116" i="14"/>
  <c r="FW116" i="14"/>
  <c r="FV110" i="14"/>
  <c r="FW110" i="14"/>
  <c r="FV121" i="14"/>
  <c r="FW121" i="14"/>
  <c r="FV111" i="14"/>
  <c r="FW111" i="14"/>
  <c r="FT69" i="14"/>
  <c r="FW69" i="14"/>
  <c r="FT64" i="14"/>
  <c r="FW64" i="14"/>
  <c r="FV117" i="14"/>
  <c r="FW117" i="14"/>
  <c r="FV127" i="14"/>
  <c r="FW127" i="14"/>
  <c r="FT65" i="14"/>
  <c r="FW65" i="14"/>
  <c r="FV128" i="14"/>
  <c r="FW128" i="14"/>
  <c r="FV122" i="14"/>
  <c r="FW122" i="14"/>
  <c r="FV114" i="14"/>
  <c r="FW114" i="14"/>
  <c r="FT67" i="14"/>
  <c r="FW67" i="14"/>
  <c r="FT63" i="14"/>
  <c r="FW63" i="14"/>
  <c r="FV129" i="14"/>
  <c r="FW129" i="14"/>
  <c r="FV118" i="14"/>
  <c r="FW118" i="14"/>
  <c r="GE154" i="14"/>
  <c r="GE155" i="14"/>
  <c r="GE149" i="14"/>
  <c r="GE148" i="14"/>
  <c r="GE158" i="14"/>
  <c r="GE147" i="14"/>
  <c r="GE157" i="14"/>
  <c r="GE150" i="14"/>
  <c r="GE156" i="14"/>
  <c r="EG142" i="14"/>
  <c r="FJ142" i="14"/>
  <c r="FJ141" i="14"/>
  <c r="FJ145" i="14"/>
  <c r="FJ146" i="14"/>
  <c r="HE61" i="14"/>
  <c r="HM61" i="14"/>
  <c r="EM61" i="14"/>
  <c r="EP61" i="14" s="1"/>
  <c r="EQ61" i="14" s="1"/>
  <c r="ER61" i="14" s="1"/>
  <c r="EJ61" i="14"/>
  <c r="HH100" i="14"/>
  <c r="HI100" i="14" s="1"/>
  <c r="HJ100" i="14" s="1"/>
  <c r="HK100" i="14" s="1"/>
  <c r="HP100" i="14" s="1"/>
  <c r="HQ100" i="14" s="1"/>
  <c r="HR100" i="14" s="1"/>
  <c r="HS100" i="14" s="1"/>
  <c r="HX100" i="14" s="1"/>
  <c r="GW61" i="14"/>
  <c r="GZ61" i="14" s="1"/>
  <c r="HA61" i="14" s="1"/>
  <c r="HB61" i="14" s="1"/>
  <c r="HC61" i="14" s="1"/>
  <c r="ES97" i="14"/>
  <c r="EX97" i="14" s="1"/>
  <c r="EY97" i="14" s="1"/>
  <c r="EZ97" i="14" s="1"/>
  <c r="FA97" i="14" s="1"/>
  <c r="FF97" i="14" s="1"/>
  <c r="FG97" i="14" s="1"/>
  <c r="FH97" i="14" s="1"/>
  <c r="FI97" i="14" s="1"/>
  <c r="FN97" i="14" s="1"/>
  <c r="FC61" i="14"/>
  <c r="ES139" i="14"/>
  <c r="EX139" i="14" s="1"/>
  <c r="EY139" i="14" s="1"/>
  <c r="EZ139" i="14" s="1"/>
  <c r="FA139" i="14" s="1"/>
  <c r="FF139" i="14" s="1"/>
  <c r="FG139" i="14" s="1"/>
  <c r="FH139" i="14" s="1"/>
  <c r="FI139" i="14" s="1"/>
  <c r="ES101" i="14"/>
  <c r="EX101" i="14" s="1"/>
  <c r="EY101" i="14" s="1"/>
  <c r="EZ101" i="14" s="1"/>
  <c r="FA101" i="14" s="1"/>
  <c r="FF101" i="14" s="1"/>
  <c r="FG101" i="14" s="1"/>
  <c r="FH101" i="14" s="1"/>
  <c r="FI101" i="14" s="1"/>
  <c r="FN101" i="14" s="1"/>
  <c r="HH98" i="14"/>
  <c r="HI98" i="14" s="1"/>
  <c r="HJ98" i="14" s="1"/>
  <c r="HK98" i="14" s="1"/>
  <c r="HP98" i="14" s="1"/>
  <c r="HQ98" i="14" s="1"/>
  <c r="HR98" i="14" s="1"/>
  <c r="HS98" i="14" s="1"/>
  <c r="HX98" i="14" s="1"/>
  <c r="HH91" i="14"/>
  <c r="HI91" i="14" s="1"/>
  <c r="HJ91" i="14" s="1"/>
  <c r="HK91" i="14" s="1"/>
  <c r="HP91" i="14" s="1"/>
  <c r="HQ91" i="14" s="1"/>
  <c r="HR91" i="14" s="1"/>
  <c r="HS91" i="14" s="1"/>
  <c r="HX91" i="14" s="1"/>
  <c r="HH108" i="14"/>
  <c r="HI108" i="14" s="1"/>
  <c r="HJ108" i="14" s="1"/>
  <c r="HK108" i="14" s="1"/>
  <c r="HP108" i="14" s="1"/>
  <c r="HQ108" i="14" s="1"/>
  <c r="HR108" i="14" s="1"/>
  <c r="HS108" i="14" s="1"/>
  <c r="HX108" i="14" s="1"/>
  <c r="HH137" i="14"/>
  <c r="HI137" i="14" s="1"/>
  <c r="HJ137" i="14" s="1"/>
  <c r="HK137" i="14" s="1"/>
  <c r="HP137" i="14" s="1"/>
  <c r="HQ137" i="14" s="1"/>
  <c r="HR137" i="14" s="1"/>
  <c r="HS137" i="14" s="1"/>
  <c r="ES137" i="14"/>
  <c r="EX137" i="14" s="1"/>
  <c r="EY137" i="14" s="1"/>
  <c r="EZ137" i="14" s="1"/>
  <c r="FA137" i="14" s="1"/>
  <c r="FF137" i="14" s="1"/>
  <c r="FG137" i="14" s="1"/>
  <c r="FH137" i="14" s="1"/>
  <c r="FI137" i="14" s="1"/>
  <c r="HH95" i="14"/>
  <c r="HI95" i="14" s="1"/>
  <c r="HJ95" i="14" s="1"/>
  <c r="HK95" i="14" s="1"/>
  <c r="HP95" i="14" s="1"/>
  <c r="HQ95" i="14" s="1"/>
  <c r="HR95" i="14" s="1"/>
  <c r="HS95" i="14" s="1"/>
  <c r="HX95" i="14" s="1"/>
  <c r="ES100" i="14"/>
  <c r="EX100" i="14" s="1"/>
  <c r="EY100" i="14" s="1"/>
  <c r="EZ100" i="14" s="1"/>
  <c r="FA100" i="14" s="1"/>
  <c r="FF100" i="14" s="1"/>
  <c r="FG100" i="14" s="1"/>
  <c r="FH100" i="14" s="1"/>
  <c r="FI100" i="14" s="1"/>
  <c r="FN100" i="14" s="1"/>
  <c r="ES108" i="14"/>
  <c r="EX108" i="14" s="1"/>
  <c r="EY108" i="14" s="1"/>
  <c r="EZ108" i="14" s="1"/>
  <c r="FA108" i="14" s="1"/>
  <c r="FF108" i="14" s="1"/>
  <c r="FG108" i="14" s="1"/>
  <c r="FH108" i="14" s="1"/>
  <c r="FI108" i="14" s="1"/>
  <c r="FN108" i="14" s="1"/>
  <c r="HH131" i="14"/>
  <c r="HI131" i="14" s="1"/>
  <c r="HJ131" i="14" s="1"/>
  <c r="HK131" i="14" s="1"/>
  <c r="HP131" i="14" s="1"/>
  <c r="HQ131" i="14" s="1"/>
  <c r="HR131" i="14" s="1"/>
  <c r="HS131" i="14" s="1"/>
  <c r="ES95" i="14"/>
  <c r="EX95" i="14" s="1"/>
  <c r="EY95" i="14" s="1"/>
  <c r="EZ95" i="14" s="1"/>
  <c r="FA95" i="14" s="1"/>
  <c r="FF95" i="14" s="1"/>
  <c r="FG95" i="14" s="1"/>
  <c r="FH95" i="14" s="1"/>
  <c r="FI95" i="14" s="1"/>
  <c r="FN95" i="14" s="1"/>
  <c r="ES99" i="14"/>
  <c r="EX99" i="14" s="1"/>
  <c r="EY99" i="14" s="1"/>
  <c r="EZ99" i="14" s="1"/>
  <c r="FA99" i="14" s="1"/>
  <c r="FF99" i="14" s="1"/>
  <c r="FG99" i="14" s="1"/>
  <c r="FH99" i="14" s="1"/>
  <c r="FI99" i="14" s="1"/>
  <c r="FN99" i="14" s="1"/>
  <c r="HH97" i="14"/>
  <c r="HI97" i="14" s="1"/>
  <c r="HJ97" i="14" s="1"/>
  <c r="HK97" i="14" s="1"/>
  <c r="HP97" i="14" s="1"/>
  <c r="HQ97" i="14" s="1"/>
  <c r="HR97" i="14" s="1"/>
  <c r="HS97" i="14" s="1"/>
  <c r="HX97" i="14" s="1"/>
  <c r="HH134" i="14"/>
  <c r="HI134" i="14" s="1"/>
  <c r="HJ134" i="14" s="1"/>
  <c r="HK134" i="14" s="1"/>
  <c r="HP134" i="14" s="1"/>
  <c r="HQ134" i="14" s="1"/>
  <c r="HR134" i="14" s="1"/>
  <c r="HS134" i="14" s="1"/>
  <c r="HE119" i="14"/>
  <c r="HM119" i="14"/>
  <c r="EM119" i="14"/>
  <c r="EP119" i="14" s="1"/>
  <c r="EQ119" i="14" s="1"/>
  <c r="ER119" i="14" s="1"/>
  <c r="EU119" i="14"/>
  <c r="GW119" i="14"/>
  <c r="GZ119" i="14" s="1"/>
  <c r="HA119" i="14" s="1"/>
  <c r="HB119" i="14" s="1"/>
  <c r="HC119" i="14" s="1"/>
  <c r="FC119" i="14"/>
  <c r="EJ119" i="14"/>
  <c r="FC113" i="14"/>
  <c r="HM113" i="14"/>
  <c r="HE113" i="14"/>
  <c r="EU113" i="14"/>
  <c r="EM113" i="14"/>
  <c r="EP113" i="14" s="1"/>
  <c r="EQ113" i="14" s="1"/>
  <c r="ER113" i="14" s="1"/>
  <c r="GW113" i="14"/>
  <c r="GZ113" i="14" s="1"/>
  <c r="HA113" i="14" s="1"/>
  <c r="HB113" i="14" s="1"/>
  <c r="HC113" i="14" s="1"/>
  <c r="EJ113" i="14"/>
  <c r="FJ153" i="14"/>
  <c r="EM117" i="14"/>
  <c r="EP117" i="14" s="1"/>
  <c r="EQ117" i="14" s="1"/>
  <c r="ER117" i="14" s="1"/>
  <c r="EU117" i="14"/>
  <c r="GW117" i="14"/>
  <c r="GZ117" i="14" s="1"/>
  <c r="HA117" i="14" s="1"/>
  <c r="HB117" i="14" s="1"/>
  <c r="HC117" i="14" s="1"/>
  <c r="FC117" i="14"/>
  <c r="HM117" i="14"/>
  <c r="HE117" i="14"/>
  <c r="EJ117" i="14"/>
  <c r="HH101" i="14"/>
  <c r="HI101" i="14" s="1"/>
  <c r="HJ101" i="14" s="1"/>
  <c r="HK101" i="14" s="1"/>
  <c r="HP101" i="14" s="1"/>
  <c r="HQ101" i="14" s="1"/>
  <c r="HR101" i="14" s="1"/>
  <c r="HS101" i="14" s="1"/>
  <c r="HX101" i="14" s="1"/>
  <c r="EM112" i="14"/>
  <c r="EP112" i="14" s="1"/>
  <c r="EQ112" i="14" s="1"/>
  <c r="ER112" i="14" s="1"/>
  <c r="HE112" i="14"/>
  <c r="HM112" i="14"/>
  <c r="EU112" i="14"/>
  <c r="FC112" i="14"/>
  <c r="GW112" i="14"/>
  <c r="GZ112" i="14" s="1"/>
  <c r="HA112" i="14" s="1"/>
  <c r="HB112" i="14" s="1"/>
  <c r="HC112" i="14" s="1"/>
  <c r="EJ112" i="14"/>
  <c r="FJ160" i="14"/>
  <c r="HH139" i="14"/>
  <c r="HI139" i="14" s="1"/>
  <c r="HJ139" i="14" s="1"/>
  <c r="HK139" i="14" s="1"/>
  <c r="HP139" i="14" s="1"/>
  <c r="HQ139" i="14" s="1"/>
  <c r="HR139" i="14" s="1"/>
  <c r="HS139" i="14" s="1"/>
  <c r="HM118" i="14"/>
  <c r="EM118" i="14"/>
  <c r="EP118" i="14" s="1"/>
  <c r="EQ118" i="14" s="1"/>
  <c r="ER118" i="14" s="1"/>
  <c r="FC118" i="14"/>
  <c r="HE118" i="14"/>
  <c r="EU118" i="14"/>
  <c r="GW118" i="14"/>
  <c r="GZ118" i="14" s="1"/>
  <c r="HA118" i="14" s="1"/>
  <c r="HB118" i="14" s="1"/>
  <c r="HC118" i="14" s="1"/>
  <c r="EJ118" i="14"/>
  <c r="EU116" i="14"/>
  <c r="HM116" i="14"/>
  <c r="EM116" i="14"/>
  <c r="EP116" i="14" s="1"/>
  <c r="EQ116" i="14" s="1"/>
  <c r="ER116" i="14" s="1"/>
  <c r="HE116" i="14"/>
  <c r="FC116" i="14"/>
  <c r="GW116" i="14"/>
  <c r="GZ116" i="14" s="1"/>
  <c r="HA116" i="14" s="1"/>
  <c r="HB116" i="14" s="1"/>
  <c r="HC116" i="14" s="1"/>
  <c r="EJ116" i="14"/>
  <c r="FJ152" i="14"/>
  <c r="ES131" i="14"/>
  <c r="EX131" i="14" s="1"/>
  <c r="EY131" i="14" s="1"/>
  <c r="EZ131" i="14" s="1"/>
  <c r="FA131" i="14" s="1"/>
  <c r="FF131" i="14" s="1"/>
  <c r="FG131" i="14" s="1"/>
  <c r="FH131" i="14" s="1"/>
  <c r="FI131" i="14" s="1"/>
  <c r="ES134" i="14"/>
  <c r="EX134" i="14" s="1"/>
  <c r="EY134" i="14" s="1"/>
  <c r="EZ134" i="14" s="1"/>
  <c r="FA134" i="14" s="1"/>
  <c r="FF134" i="14" s="1"/>
  <c r="FG134" i="14" s="1"/>
  <c r="FH134" i="14" s="1"/>
  <c r="FI134" i="14" s="1"/>
  <c r="ES91" i="14"/>
  <c r="EX91" i="14" s="1"/>
  <c r="EY91" i="14" s="1"/>
  <c r="EZ91" i="14" s="1"/>
  <c r="FA91" i="14" s="1"/>
  <c r="FF91" i="14" s="1"/>
  <c r="FG91" i="14" s="1"/>
  <c r="FH91" i="14" s="1"/>
  <c r="FI91" i="14" s="1"/>
  <c r="FN91" i="14" s="1"/>
  <c r="HM110" i="14"/>
  <c r="HE110" i="14"/>
  <c r="EU110" i="14"/>
  <c r="FC110" i="14"/>
  <c r="EM110" i="14"/>
  <c r="EP110" i="14" s="1"/>
  <c r="EQ110" i="14" s="1"/>
  <c r="ER110" i="14" s="1"/>
  <c r="GW110" i="14"/>
  <c r="GZ110" i="14" s="1"/>
  <c r="HA110" i="14" s="1"/>
  <c r="HB110" i="14" s="1"/>
  <c r="HC110" i="14" s="1"/>
  <c r="EJ110" i="14"/>
  <c r="FJ155" i="14"/>
  <c r="FJ159" i="14"/>
  <c r="GW114" i="14"/>
  <c r="GZ114" i="14" s="1"/>
  <c r="HA114" i="14" s="1"/>
  <c r="HB114" i="14" s="1"/>
  <c r="HC114" i="14" s="1"/>
  <c r="FC114" i="14"/>
  <c r="EU114" i="14"/>
  <c r="HM114" i="14"/>
  <c r="HE114" i="14"/>
  <c r="EM114" i="14"/>
  <c r="EP114" i="14" s="1"/>
  <c r="EQ114" i="14" s="1"/>
  <c r="ER114" i="14" s="1"/>
  <c r="EJ114" i="14"/>
  <c r="GW115" i="14"/>
  <c r="GZ115" i="14" s="1"/>
  <c r="HA115" i="14" s="1"/>
  <c r="HB115" i="14" s="1"/>
  <c r="HC115" i="14" s="1"/>
  <c r="EU115" i="14"/>
  <c r="HM115" i="14"/>
  <c r="HE115" i="14"/>
  <c r="EM115" i="14"/>
  <c r="EP115" i="14" s="1"/>
  <c r="EQ115" i="14" s="1"/>
  <c r="ER115" i="14" s="1"/>
  <c r="FC115" i="14"/>
  <c r="EJ115" i="14"/>
  <c r="ES98" i="14"/>
  <c r="EX98" i="14" s="1"/>
  <c r="EY98" i="14" s="1"/>
  <c r="EZ98" i="14" s="1"/>
  <c r="FA98" i="14" s="1"/>
  <c r="FF98" i="14" s="1"/>
  <c r="FG98" i="14" s="1"/>
  <c r="FH98" i="14" s="1"/>
  <c r="FI98" i="14" s="1"/>
  <c r="FN98" i="14" s="1"/>
  <c r="HH99" i="14"/>
  <c r="HI99" i="14" s="1"/>
  <c r="HJ99" i="14" s="1"/>
  <c r="HK99" i="14" s="1"/>
  <c r="HP99" i="14" s="1"/>
  <c r="HQ99" i="14" s="1"/>
  <c r="HR99" i="14" s="1"/>
  <c r="HS99" i="14" s="1"/>
  <c r="HX99" i="14" s="1"/>
  <c r="FJ154" i="14"/>
  <c r="EG154" i="14"/>
  <c r="HE111" i="14"/>
  <c r="FC111" i="14"/>
  <c r="EU111" i="14"/>
  <c r="EM111" i="14"/>
  <c r="EP111" i="14" s="1"/>
  <c r="EQ111" i="14" s="1"/>
  <c r="ER111" i="14" s="1"/>
  <c r="HM111" i="14"/>
  <c r="GW111" i="14"/>
  <c r="GZ111" i="14" s="1"/>
  <c r="HA111" i="14" s="1"/>
  <c r="HB111" i="14" s="1"/>
  <c r="HC111" i="14" s="1"/>
  <c r="EJ111" i="14"/>
  <c r="FJ151" i="14"/>
  <c r="ES77" i="14"/>
  <c r="EX77" i="14" s="1"/>
  <c r="EY77" i="14" s="1"/>
  <c r="EZ77" i="14" s="1"/>
  <c r="FA77" i="14" s="1"/>
  <c r="FF77" i="14" s="1"/>
  <c r="FG77" i="14" s="1"/>
  <c r="FH77" i="14" s="1"/>
  <c r="FI77" i="14" s="1"/>
  <c r="FM77" i="14" s="1"/>
  <c r="HH76" i="14"/>
  <c r="HI76" i="14" s="1"/>
  <c r="HJ76" i="14" s="1"/>
  <c r="HK76" i="14" s="1"/>
  <c r="HP76" i="14" s="1"/>
  <c r="HQ76" i="14" s="1"/>
  <c r="HR76" i="14" s="1"/>
  <c r="HS76" i="14" s="1"/>
  <c r="HW76" i="14" s="1"/>
  <c r="HH72" i="14"/>
  <c r="HI72" i="14" s="1"/>
  <c r="HJ72" i="14" s="1"/>
  <c r="HK72" i="14" s="1"/>
  <c r="HP72" i="14" s="1"/>
  <c r="HQ72" i="14" s="1"/>
  <c r="HR72" i="14" s="1"/>
  <c r="HS72" i="14" s="1"/>
  <c r="HW72" i="14" s="1"/>
  <c r="ES72" i="14"/>
  <c r="EX72" i="14" s="1"/>
  <c r="EY72" i="14" s="1"/>
  <c r="EZ72" i="14" s="1"/>
  <c r="FA72" i="14" s="1"/>
  <c r="FF72" i="14" s="1"/>
  <c r="FG72" i="14" s="1"/>
  <c r="FH72" i="14" s="1"/>
  <c r="FI72" i="14" s="1"/>
  <c r="FM72" i="14" s="1"/>
  <c r="HH77" i="14"/>
  <c r="HI77" i="14" s="1"/>
  <c r="HJ77" i="14" s="1"/>
  <c r="HK77" i="14" s="1"/>
  <c r="HP77" i="14" s="1"/>
  <c r="HQ77" i="14" s="1"/>
  <c r="HR77" i="14" s="1"/>
  <c r="HS77" i="14" s="1"/>
  <c r="HW77" i="14" s="1"/>
  <c r="ES76" i="14"/>
  <c r="EX76" i="14" s="1"/>
  <c r="EY76" i="14" s="1"/>
  <c r="EZ76" i="14" s="1"/>
  <c r="FA76" i="14" s="1"/>
  <c r="FF76" i="14" s="1"/>
  <c r="FG76" i="14" s="1"/>
  <c r="FH76" i="14" s="1"/>
  <c r="FI76" i="14" s="1"/>
  <c r="FM76" i="14" s="1"/>
  <c r="HM60" i="14"/>
  <c r="GW60" i="14"/>
  <c r="GZ60" i="14" s="1"/>
  <c r="HA60" i="14" s="1"/>
  <c r="HB60" i="14" s="1"/>
  <c r="HC60" i="14" s="1"/>
  <c r="EM60" i="14"/>
  <c r="EP60" i="14" s="1"/>
  <c r="EQ60" i="14" s="1"/>
  <c r="ER60" i="14" s="1"/>
  <c r="EJ60" i="14"/>
  <c r="HE60" i="14"/>
  <c r="EU60" i="14"/>
  <c r="FC60" i="14"/>
  <c r="HE62" i="14"/>
  <c r="EM62" i="14"/>
  <c r="EP62" i="14" s="1"/>
  <c r="EQ62" i="14" s="1"/>
  <c r="ER62" i="14" s="1"/>
  <c r="EJ62" i="14"/>
  <c r="HM62" i="14"/>
  <c r="EU62" i="14"/>
  <c r="GW62" i="14"/>
  <c r="GZ62" i="14" s="1"/>
  <c r="HA62" i="14" s="1"/>
  <c r="HB62" i="14" s="1"/>
  <c r="HC62" i="14" s="1"/>
  <c r="FC62" i="14"/>
  <c r="EU64" i="14"/>
  <c r="HM64" i="14"/>
  <c r="FC64" i="14"/>
  <c r="GW64" i="14"/>
  <c r="GZ64" i="14" s="1"/>
  <c r="HA64" i="14" s="1"/>
  <c r="HB64" i="14" s="1"/>
  <c r="HC64" i="14" s="1"/>
  <c r="EM64" i="14"/>
  <c r="EP64" i="14" s="1"/>
  <c r="EQ64" i="14" s="1"/>
  <c r="ER64" i="14" s="1"/>
  <c r="EJ64" i="14"/>
  <c r="HE64" i="14"/>
  <c r="EM67" i="14"/>
  <c r="EP67" i="14" s="1"/>
  <c r="EQ67" i="14" s="1"/>
  <c r="ER67" i="14" s="1"/>
  <c r="GW67" i="14"/>
  <c r="GZ67" i="14" s="1"/>
  <c r="HA67" i="14" s="1"/>
  <c r="HB67" i="14" s="1"/>
  <c r="HC67" i="14" s="1"/>
  <c r="EU67" i="14"/>
  <c r="HM67" i="14"/>
  <c r="EJ67" i="14"/>
  <c r="HE67" i="14"/>
  <c r="FC67" i="14"/>
  <c r="EU65" i="14"/>
  <c r="HM65" i="14"/>
  <c r="HE65" i="14"/>
  <c r="GW65" i="14"/>
  <c r="GZ65" i="14" s="1"/>
  <c r="HA65" i="14" s="1"/>
  <c r="HB65" i="14" s="1"/>
  <c r="HC65" i="14" s="1"/>
  <c r="FC65" i="14"/>
  <c r="EM65" i="14"/>
  <c r="EP65" i="14" s="1"/>
  <c r="EQ65" i="14" s="1"/>
  <c r="ER65" i="14" s="1"/>
  <c r="EJ65" i="14"/>
  <c r="HM69" i="14"/>
  <c r="EM69" i="14"/>
  <c r="EP69" i="14" s="1"/>
  <c r="EQ69" i="14" s="1"/>
  <c r="ER69" i="14" s="1"/>
  <c r="GW69" i="14"/>
  <c r="GZ69" i="14" s="1"/>
  <c r="HA69" i="14" s="1"/>
  <c r="HB69" i="14" s="1"/>
  <c r="HC69" i="14" s="1"/>
  <c r="FC69" i="14"/>
  <c r="HE69" i="14"/>
  <c r="EU69" i="14"/>
  <c r="EJ69" i="14"/>
  <c r="HE68" i="14"/>
  <c r="FC68" i="14"/>
  <c r="HM68" i="14"/>
  <c r="EU68" i="14"/>
  <c r="GW68" i="14"/>
  <c r="GZ68" i="14" s="1"/>
  <c r="HA68" i="14" s="1"/>
  <c r="HB68" i="14" s="1"/>
  <c r="HC68" i="14" s="1"/>
  <c r="EM68" i="14"/>
  <c r="EP68" i="14" s="1"/>
  <c r="EQ68" i="14" s="1"/>
  <c r="ER68" i="14" s="1"/>
  <c r="EJ68" i="14"/>
  <c r="HM63" i="14"/>
  <c r="HE63" i="14"/>
  <c r="EM63" i="14"/>
  <c r="EP63" i="14" s="1"/>
  <c r="EQ63" i="14" s="1"/>
  <c r="ER63" i="14" s="1"/>
  <c r="EJ63" i="14"/>
  <c r="EU63" i="14"/>
  <c r="FC63" i="14"/>
  <c r="GW63" i="14"/>
  <c r="GZ63" i="14" s="1"/>
  <c r="HA63" i="14" s="1"/>
  <c r="HB63" i="14" s="1"/>
  <c r="HC63" i="14" s="1"/>
  <c r="HE66" i="14"/>
  <c r="EU66" i="14"/>
  <c r="FC66" i="14"/>
  <c r="GW66" i="14"/>
  <c r="GZ66" i="14" s="1"/>
  <c r="HA66" i="14" s="1"/>
  <c r="HB66" i="14" s="1"/>
  <c r="HC66" i="14" s="1"/>
  <c r="HM66" i="14"/>
  <c r="EM66" i="14"/>
  <c r="EP66" i="14" s="1"/>
  <c r="EQ66" i="14" s="1"/>
  <c r="ER66" i="14" s="1"/>
  <c r="EJ66" i="14"/>
  <c r="EG159" i="14" l="1"/>
  <c r="GE146" i="14"/>
  <c r="GD146" i="14"/>
  <c r="FW146" i="14"/>
  <c r="FV146" i="14"/>
  <c r="EG155" i="14"/>
  <c r="FC155" i="14" s="1"/>
  <c r="FW145" i="14"/>
  <c r="FV145" i="14"/>
  <c r="GE145" i="14"/>
  <c r="GD145" i="14"/>
  <c r="FW141" i="14"/>
  <c r="FV141" i="14"/>
  <c r="FW142" i="14"/>
  <c r="FV142" i="14"/>
  <c r="FW144" i="14"/>
  <c r="FV144" i="14"/>
  <c r="GE141" i="14"/>
  <c r="GD141" i="14"/>
  <c r="FW123" i="14"/>
  <c r="FO137" i="14"/>
  <c r="FN137" i="14"/>
  <c r="HY139" i="14"/>
  <c r="HX139" i="14"/>
  <c r="HY137" i="14"/>
  <c r="HX137" i="14"/>
  <c r="FO139" i="14"/>
  <c r="FN139" i="14"/>
  <c r="GD120" i="14"/>
  <c r="GE120" i="14"/>
  <c r="GD122" i="14"/>
  <c r="GE122" i="14"/>
  <c r="GD124" i="14"/>
  <c r="GE124" i="14"/>
  <c r="FU87" i="14"/>
  <c r="FT87" i="14"/>
  <c r="GC85" i="14"/>
  <c r="GG92" i="14" s="1"/>
  <c r="GB85" i="14"/>
  <c r="GF89" i="14"/>
  <c r="GG66" i="14"/>
  <c r="GG69" i="14"/>
  <c r="GG70" i="14"/>
  <c r="GG67" i="14"/>
  <c r="GG68" i="14"/>
  <c r="GG65" i="14"/>
  <c r="FT83" i="14"/>
  <c r="FU83" i="14"/>
  <c r="FT84" i="14"/>
  <c r="FU84" i="14"/>
  <c r="ES138" i="14"/>
  <c r="EX138" i="14" s="1"/>
  <c r="EY138" i="14" s="1"/>
  <c r="EZ138" i="14" s="1"/>
  <c r="FA138" i="14" s="1"/>
  <c r="FF138" i="14" s="1"/>
  <c r="FG138" i="14" s="1"/>
  <c r="FH138" i="14" s="1"/>
  <c r="FI138" i="14" s="1"/>
  <c r="ES109" i="14"/>
  <c r="EX109" i="14" s="1"/>
  <c r="EY109" i="14" s="1"/>
  <c r="EZ109" i="14" s="1"/>
  <c r="FA109" i="14" s="1"/>
  <c r="FF109" i="14" s="1"/>
  <c r="FG109" i="14" s="1"/>
  <c r="FH109" i="14" s="1"/>
  <c r="FI109" i="14" s="1"/>
  <c r="HH138" i="14"/>
  <c r="HI138" i="14" s="1"/>
  <c r="HJ138" i="14" s="1"/>
  <c r="HK138" i="14" s="1"/>
  <c r="HP138" i="14" s="1"/>
  <c r="HQ138" i="14" s="1"/>
  <c r="HR138" i="14" s="1"/>
  <c r="HS138" i="14" s="1"/>
  <c r="CW82" i="38"/>
  <c r="Z83" i="40"/>
  <c r="CW118" i="38"/>
  <c r="Z119" i="40"/>
  <c r="CW100" i="38"/>
  <c r="Z101" i="40"/>
  <c r="CW121" i="38"/>
  <c r="Z122" i="40"/>
  <c r="CW98" i="38"/>
  <c r="Z99" i="40"/>
  <c r="CW94" i="38"/>
  <c r="Z95" i="40"/>
  <c r="CW101" i="38"/>
  <c r="Z102" i="40"/>
  <c r="CW80" i="38"/>
  <c r="Z81" i="40"/>
  <c r="CW119" i="38"/>
  <c r="Z120" i="40"/>
  <c r="CW63" i="38"/>
  <c r="Z64" i="40"/>
  <c r="EG156" i="14"/>
  <c r="EJ156" i="14" s="1"/>
  <c r="HH104" i="14"/>
  <c r="HI104" i="14" s="1"/>
  <c r="HJ104" i="14" s="1"/>
  <c r="HK104" i="14" s="1"/>
  <c r="HP104" i="14" s="1"/>
  <c r="HQ104" i="14" s="1"/>
  <c r="HR104" i="14" s="1"/>
  <c r="HS104" i="14" s="1"/>
  <c r="F25" i="43"/>
  <c r="F24" i="43"/>
  <c r="ES106" i="14"/>
  <c r="EX106" i="14" s="1"/>
  <c r="EY106" i="14" s="1"/>
  <c r="EZ106" i="14" s="1"/>
  <c r="FA106" i="14" s="1"/>
  <c r="FF106" i="14" s="1"/>
  <c r="FG106" i="14" s="1"/>
  <c r="FH106" i="14" s="1"/>
  <c r="FI106" i="14" s="1"/>
  <c r="HP109" i="14"/>
  <c r="HQ109" i="14" s="1"/>
  <c r="HR109" i="14" s="1"/>
  <c r="HS109" i="14" s="1"/>
  <c r="HX109" i="14" s="1"/>
  <c r="ES104" i="14"/>
  <c r="EX104" i="14" s="1"/>
  <c r="EY104" i="14" s="1"/>
  <c r="EZ104" i="14" s="1"/>
  <c r="FA104" i="14" s="1"/>
  <c r="FF104" i="14" s="1"/>
  <c r="FG104" i="14" s="1"/>
  <c r="FH104" i="14" s="1"/>
  <c r="FI104" i="14" s="1"/>
  <c r="ES102" i="14"/>
  <c r="EX102" i="14" s="1"/>
  <c r="EY102" i="14" s="1"/>
  <c r="EZ102" i="14" s="1"/>
  <c r="FA102" i="14" s="1"/>
  <c r="FF102" i="14" s="1"/>
  <c r="FG102" i="14" s="1"/>
  <c r="FH102" i="14" s="1"/>
  <c r="FI102" i="14" s="1"/>
  <c r="HH73" i="14"/>
  <c r="HI73" i="14" s="1"/>
  <c r="HJ73" i="14" s="1"/>
  <c r="HK73" i="14" s="1"/>
  <c r="HP73" i="14" s="1"/>
  <c r="HQ73" i="14" s="1"/>
  <c r="HR73" i="14" s="1"/>
  <c r="HS73" i="14" s="1"/>
  <c r="ES90" i="14"/>
  <c r="EX90" i="14" s="1"/>
  <c r="EY90" i="14" s="1"/>
  <c r="EZ90" i="14" s="1"/>
  <c r="FA90" i="14" s="1"/>
  <c r="FF90" i="14" s="1"/>
  <c r="FG90" i="14" s="1"/>
  <c r="FH90" i="14" s="1"/>
  <c r="FI90" i="14" s="1"/>
  <c r="HP90" i="14"/>
  <c r="HQ90" i="14" s="1"/>
  <c r="HR90" i="14" s="1"/>
  <c r="HS90" i="14" s="1"/>
  <c r="EG149" i="14"/>
  <c r="HE149" i="14" s="1"/>
  <c r="EG146" i="14"/>
  <c r="FC146" i="14" s="1"/>
  <c r="HH103" i="14"/>
  <c r="HI103" i="14" s="1"/>
  <c r="HJ103" i="14" s="1"/>
  <c r="HK103" i="14" s="1"/>
  <c r="HP103" i="14" s="1"/>
  <c r="HQ103" i="14" s="1"/>
  <c r="HR103" i="14" s="1"/>
  <c r="HS103" i="14" s="1"/>
  <c r="BA56" i="43"/>
  <c r="BA56" i="45" s="1"/>
  <c r="BA64" i="43"/>
  <c r="BA64" i="45" s="1"/>
  <c r="BA63" i="43"/>
  <c r="BA63" i="45" s="1"/>
  <c r="BA68" i="43"/>
  <c r="BA68" i="45" s="1"/>
  <c r="BB68" i="43"/>
  <c r="BB68" i="45" s="1"/>
  <c r="BA67" i="43"/>
  <c r="BA67" i="45" s="1"/>
  <c r="BA71" i="43"/>
  <c r="BA71" i="45" s="1"/>
  <c r="BA69" i="43"/>
  <c r="BA69" i="45" s="1"/>
  <c r="BA70" i="43"/>
  <c r="BA70" i="45" s="1"/>
  <c r="BA55" i="43"/>
  <c r="BA55" i="45" s="1"/>
  <c r="CM47" i="38"/>
  <c r="CN47" i="38" s="1"/>
  <c r="CO47" i="38" s="1"/>
  <c r="CP47" i="38" s="1"/>
  <c r="CA125" i="38"/>
  <c r="CB125" i="38" s="1"/>
  <c r="CC125" i="38" s="1"/>
  <c r="CD125" i="38" s="1"/>
  <c r="BW111" i="38"/>
  <c r="BX111" i="38" s="1"/>
  <c r="BY111" i="38" s="1"/>
  <c r="BZ111" i="38" s="1"/>
  <c r="CA111" i="38" s="1"/>
  <c r="CB111" i="38" s="1"/>
  <c r="CC111" i="38" s="1"/>
  <c r="CD111" i="38" s="1"/>
  <c r="BW128" i="38"/>
  <c r="BX128" i="38" s="1"/>
  <c r="BY128" i="38" s="1"/>
  <c r="BZ128" i="38" s="1"/>
  <c r="CA128" i="38" s="1"/>
  <c r="CB128" i="38" s="1"/>
  <c r="CC128" i="38" s="1"/>
  <c r="CD128" i="38" s="1"/>
  <c r="CI45" i="38"/>
  <c r="CJ45" i="38" s="1"/>
  <c r="CK45" i="38" s="1"/>
  <c r="CL45" i="38" s="1"/>
  <c r="CM45" i="38" s="1"/>
  <c r="CN45" i="38" s="1"/>
  <c r="CO45" i="38" s="1"/>
  <c r="CP45" i="38" s="1"/>
  <c r="CI65" i="38"/>
  <c r="CJ65" i="38" s="1"/>
  <c r="CK65" i="38" s="1"/>
  <c r="CL65" i="38" s="1"/>
  <c r="CE90" i="38"/>
  <c r="CF90" i="38" s="1"/>
  <c r="CG90" i="38" s="1"/>
  <c r="CH90" i="38" s="1"/>
  <c r="CI90" i="38" s="1"/>
  <c r="CJ90" i="38" s="1"/>
  <c r="CK90" i="38" s="1"/>
  <c r="CL90" i="38" s="1"/>
  <c r="CM90" i="38" s="1"/>
  <c r="CN90" i="38" s="1"/>
  <c r="CO90" i="38" s="1"/>
  <c r="CP90" i="38" s="1"/>
  <c r="CI53" i="38"/>
  <c r="CJ53" i="38" s="1"/>
  <c r="CK53" i="38" s="1"/>
  <c r="CL53" i="38" s="1"/>
  <c r="CM53" i="38" s="1"/>
  <c r="CN53" i="38" s="1"/>
  <c r="CO53" i="38" s="1"/>
  <c r="CP53" i="38" s="1"/>
  <c r="CQ53" i="38" s="1"/>
  <c r="CR53" i="38" s="1"/>
  <c r="CS53" i="38" s="1"/>
  <c r="CT53" i="38" s="1"/>
  <c r="CI58" i="38"/>
  <c r="CJ58" i="38" s="1"/>
  <c r="CK58" i="38" s="1"/>
  <c r="CL58" i="38" s="1"/>
  <c r="CM58" i="38" s="1"/>
  <c r="CN58" i="38" s="1"/>
  <c r="CO58" i="38" s="1"/>
  <c r="CP58" i="38" s="1"/>
  <c r="BW144" i="38"/>
  <c r="BX144" i="38" s="1"/>
  <c r="BY144" i="38" s="1"/>
  <c r="BZ144" i="38" s="1"/>
  <c r="CA144" i="38" s="1"/>
  <c r="CB144" i="38" s="1"/>
  <c r="CC144" i="38" s="1"/>
  <c r="CD144" i="38" s="1"/>
  <c r="CE144" i="38" s="1"/>
  <c r="CF144" i="38" s="1"/>
  <c r="CG144" i="38" s="1"/>
  <c r="CH144" i="38" s="1"/>
  <c r="CI144" i="38" s="1"/>
  <c r="CJ144" i="38" s="1"/>
  <c r="CK144" i="38" s="1"/>
  <c r="CL144" i="38" s="1"/>
  <c r="BW109" i="38"/>
  <c r="BX109" i="38" s="1"/>
  <c r="BY109" i="38" s="1"/>
  <c r="BZ109" i="38" s="1"/>
  <c r="BW130" i="38"/>
  <c r="BX130" i="38" s="1"/>
  <c r="BY130" i="38" s="1"/>
  <c r="BZ130" i="38" s="1"/>
  <c r="CA130" i="38" s="1"/>
  <c r="CB130" i="38" s="1"/>
  <c r="CC130" i="38" s="1"/>
  <c r="CD130" i="38" s="1"/>
  <c r="CE70" i="38"/>
  <c r="CF70" i="38" s="1"/>
  <c r="CG70" i="38" s="1"/>
  <c r="CH70" i="38" s="1"/>
  <c r="CI70" i="38" s="1"/>
  <c r="CJ70" i="38" s="1"/>
  <c r="CK70" i="38" s="1"/>
  <c r="CL70" i="38" s="1"/>
  <c r="CE78" i="38"/>
  <c r="CF78" i="38" s="1"/>
  <c r="CG78" i="38" s="1"/>
  <c r="CH78" i="38" s="1"/>
  <c r="CI78" i="38" s="1"/>
  <c r="CJ78" i="38" s="1"/>
  <c r="CK78" i="38" s="1"/>
  <c r="CL78" i="38" s="1"/>
  <c r="CM78" i="38" s="1"/>
  <c r="CN78" i="38" s="1"/>
  <c r="CO78" i="38" s="1"/>
  <c r="CP78" i="38" s="1"/>
  <c r="CQ78" i="38" s="1"/>
  <c r="CR78" i="38" s="1"/>
  <c r="CS78" i="38" s="1"/>
  <c r="CT78" i="38" s="1"/>
  <c r="CE99" i="38"/>
  <c r="CF99" i="38" s="1"/>
  <c r="CG99" i="38" s="1"/>
  <c r="CH99" i="38" s="1"/>
  <c r="CE55" i="38"/>
  <c r="CF55" i="38" s="1"/>
  <c r="CG55" i="38" s="1"/>
  <c r="CH55" i="38" s="1"/>
  <c r="CI55" i="38" s="1"/>
  <c r="CJ55" i="38" s="1"/>
  <c r="CK55" i="38" s="1"/>
  <c r="CL55" i="38" s="1"/>
  <c r="CM55" i="38" s="1"/>
  <c r="CN55" i="38" s="1"/>
  <c r="CO55" i="38" s="1"/>
  <c r="CP55" i="38" s="1"/>
  <c r="CE68" i="38"/>
  <c r="CF68" i="38" s="1"/>
  <c r="CG68" i="38" s="1"/>
  <c r="CH68" i="38" s="1"/>
  <c r="CA71" i="38"/>
  <c r="CB71" i="38" s="1"/>
  <c r="CC71" i="38" s="1"/>
  <c r="CD71" i="38" s="1"/>
  <c r="CE71" i="38" s="1"/>
  <c r="CF71" i="38" s="1"/>
  <c r="CG71" i="38" s="1"/>
  <c r="CH71" i="38" s="1"/>
  <c r="CM61" i="38"/>
  <c r="CN61" i="38" s="1"/>
  <c r="CO61" i="38" s="1"/>
  <c r="CP61" i="38" s="1"/>
  <c r="CM120" i="38"/>
  <c r="CN120" i="38" s="1"/>
  <c r="CO120" i="38" s="1"/>
  <c r="CP120" i="38" s="1"/>
  <c r="CQ120" i="38" s="1"/>
  <c r="CR120" i="38" s="1"/>
  <c r="CS120" i="38" s="1"/>
  <c r="CT120" i="38" s="1"/>
  <c r="CU120" i="38" s="1"/>
  <c r="CV120" i="38" s="1"/>
  <c r="CQ122" i="38"/>
  <c r="CR122" i="38" s="1"/>
  <c r="CS122" i="38" s="1"/>
  <c r="CT122" i="38" s="1"/>
  <c r="CI84" i="38"/>
  <c r="CJ84" i="38" s="1"/>
  <c r="CK84" i="38" s="1"/>
  <c r="CL84" i="38" s="1"/>
  <c r="CM104" i="38"/>
  <c r="CN104" i="38" s="1"/>
  <c r="CO104" i="38" s="1"/>
  <c r="CP104" i="38" s="1"/>
  <c r="CQ104" i="38" s="1"/>
  <c r="CR104" i="38" s="1"/>
  <c r="CS104" i="38" s="1"/>
  <c r="CT104" i="38" s="1"/>
  <c r="CU104" i="38" s="1"/>
  <c r="CV104" i="38" s="1"/>
  <c r="BW127" i="38"/>
  <c r="BX127" i="38" s="1"/>
  <c r="BY127" i="38" s="1"/>
  <c r="BZ127" i="38" s="1"/>
  <c r="CM77" i="38"/>
  <c r="CN77" i="38" s="1"/>
  <c r="CO77" i="38" s="1"/>
  <c r="CP77" i="38" s="1"/>
  <c r="CE112" i="38"/>
  <c r="CF112" i="38" s="1"/>
  <c r="CG112" i="38" s="1"/>
  <c r="CH112" i="38" s="1"/>
  <c r="CI112" i="38" s="1"/>
  <c r="CJ112" i="38" s="1"/>
  <c r="CK112" i="38" s="1"/>
  <c r="CL112" i="38" s="1"/>
  <c r="CE51" i="38"/>
  <c r="CF51" i="38" s="1"/>
  <c r="CG51" i="38" s="1"/>
  <c r="CH51" i="38" s="1"/>
  <c r="CI51" i="38" s="1"/>
  <c r="CJ51" i="38" s="1"/>
  <c r="CK51" i="38" s="1"/>
  <c r="CL51" i="38" s="1"/>
  <c r="CI92" i="38"/>
  <c r="CJ92" i="38" s="1"/>
  <c r="CK92" i="38" s="1"/>
  <c r="CL92" i="38" s="1"/>
  <c r="CI48" i="38"/>
  <c r="CJ48" i="38" s="1"/>
  <c r="CK48" i="38" s="1"/>
  <c r="CL48" i="38" s="1"/>
  <c r="CM48" i="38" s="1"/>
  <c r="CN48" i="38" s="1"/>
  <c r="CO48" i="38" s="1"/>
  <c r="CP48" i="38" s="1"/>
  <c r="CQ140" i="38"/>
  <c r="CR140" i="38" s="1"/>
  <c r="CS140" i="38" s="1"/>
  <c r="CT140" i="38" s="1"/>
  <c r="CM93" i="38"/>
  <c r="CN93" i="38" s="1"/>
  <c r="CO93" i="38" s="1"/>
  <c r="CP93" i="38" s="1"/>
  <c r="CQ93" i="38" s="1"/>
  <c r="CR93" i="38" s="1"/>
  <c r="CS93" i="38" s="1"/>
  <c r="CT93" i="38" s="1"/>
  <c r="CU93" i="38" s="1"/>
  <c r="CV93" i="38" s="1"/>
  <c r="CI96" i="38"/>
  <c r="CJ96" i="38" s="1"/>
  <c r="CK96" i="38" s="1"/>
  <c r="CL96" i="38" s="1"/>
  <c r="CM96" i="38" s="1"/>
  <c r="CN96" i="38" s="1"/>
  <c r="CO96" i="38" s="1"/>
  <c r="CP96" i="38" s="1"/>
  <c r="CA143" i="38"/>
  <c r="CB143" i="38" s="1"/>
  <c r="CC143" i="38" s="1"/>
  <c r="CD143" i="38" s="1"/>
  <c r="CE143" i="38" s="1"/>
  <c r="CF143" i="38" s="1"/>
  <c r="CG143" i="38" s="1"/>
  <c r="CH143" i="38" s="1"/>
  <c r="CM88" i="38"/>
  <c r="CN88" i="38" s="1"/>
  <c r="CO88" i="38" s="1"/>
  <c r="CP88" i="38" s="1"/>
  <c r="CQ88" i="38" s="1"/>
  <c r="CR88" i="38" s="1"/>
  <c r="CS88" i="38" s="1"/>
  <c r="CT88" i="38" s="1"/>
  <c r="CE103" i="38"/>
  <c r="CF103" i="38" s="1"/>
  <c r="CG103" i="38" s="1"/>
  <c r="CH103" i="38" s="1"/>
  <c r="CI103" i="38" s="1"/>
  <c r="CJ103" i="38" s="1"/>
  <c r="CK103" i="38" s="1"/>
  <c r="CL103" i="38" s="1"/>
  <c r="CM103" i="38" s="1"/>
  <c r="CN103" i="38" s="1"/>
  <c r="CO103" i="38" s="1"/>
  <c r="CP103" i="38" s="1"/>
  <c r="BW106" i="38"/>
  <c r="BX106" i="38" s="1"/>
  <c r="BY106" i="38" s="1"/>
  <c r="BZ106" i="38" s="1"/>
  <c r="CA106" i="38" s="1"/>
  <c r="CB106" i="38" s="1"/>
  <c r="CC106" i="38" s="1"/>
  <c r="CD106" i="38" s="1"/>
  <c r="CA69" i="38"/>
  <c r="CB69" i="38" s="1"/>
  <c r="CC69" i="38" s="1"/>
  <c r="CD69" i="38" s="1"/>
  <c r="BW105" i="38"/>
  <c r="BX105" i="38" s="1"/>
  <c r="BY105" i="38" s="1"/>
  <c r="BZ105" i="38" s="1"/>
  <c r="BW142" i="38"/>
  <c r="BX142" i="38" s="1"/>
  <c r="BY142" i="38" s="1"/>
  <c r="BZ142" i="38" s="1"/>
  <c r="CA142" i="38" s="1"/>
  <c r="CB142" i="38" s="1"/>
  <c r="CC142" i="38" s="1"/>
  <c r="CD142" i="38" s="1"/>
  <c r="CE142" i="38" s="1"/>
  <c r="CF142" i="38" s="1"/>
  <c r="CG142" i="38" s="1"/>
  <c r="CH142" i="38" s="1"/>
  <c r="CI142" i="38" s="1"/>
  <c r="CJ142" i="38" s="1"/>
  <c r="CK142" i="38" s="1"/>
  <c r="CL142" i="38" s="1"/>
  <c r="CM142" i="38" s="1"/>
  <c r="CN142" i="38" s="1"/>
  <c r="CO142" i="38" s="1"/>
  <c r="CP142" i="38" s="1"/>
  <c r="BW132" i="38"/>
  <c r="BX132" i="38" s="1"/>
  <c r="BY132" i="38" s="1"/>
  <c r="BZ132" i="38" s="1"/>
  <c r="CA132" i="38" s="1"/>
  <c r="CB132" i="38" s="1"/>
  <c r="CC132" i="38" s="1"/>
  <c r="CD132" i="38" s="1"/>
  <c r="CE132" i="38" s="1"/>
  <c r="CF132" i="38" s="1"/>
  <c r="CG132" i="38" s="1"/>
  <c r="CH132" i="38" s="1"/>
  <c r="CI132" i="38" s="1"/>
  <c r="CJ132" i="38" s="1"/>
  <c r="CK132" i="38" s="1"/>
  <c r="CL132" i="38" s="1"/>
  <c r="CM132" i="38" s="1"/>
  <c r="CN132" i="38" s="1"/>
  <c r="CO132" i="38" s="1"/>
  <c r="CP132" i="38" s="1"/>
  <c r="CQ132" i="38" s="1"/>
  <c r="CR132" i="38" s="1"/>
  <c r="CS132" i="38" s="1"/>
  <c r="CT132" i="38" s="1"/>
  <c r="CQ138" i="38"/>
  <c r="CR138" i="38" s="1"/>
  <c r="CS138" i="38" s="1"/>
  <c r="CT138" i="38" s="1"/>
  <c r="CM79" i="38"/>
  <c r="CN79" i="38" s="1"/>
  <c r="CO79" i="38" s="1"/>
  <c r="CP79" i="38" s="1"/>
  <c r="BW124" i="38"/>
  <c r="BX124" i="38" s="1"/>
  <c r="BY124" i="38" s="1"/>
  <c r="BZ124" i="38" s="1"/>
  <c r="CA124" i="38" s="1"/>
  <c r="CB124" i="38" s="1"/>
  <c r="CC124" i="38" s="1"/>
  <c r="CD124" i="38" s="1"/>
  <c r="CA137" i="38"/>
  <c r="CB137" i="38" s="1"/>
  <c r="CC137" i="38" s="1"/>
  <c r="CD137" i="38" s="1"/>
  <c r="CM59" i="38"/>
  <c r="CN59" i="38" s="1"/>
  <c r="CO59" i="38" s="1"/>
  <c r="CP59" i="38" s="1"/>
  <c r="CI115" i="38"/>
  <c r="CJ115" i="38" s="1"/>
  <c r="CK115" i="38" s="1"/>
  <c r="CL115" i="38" s="1"/>
  <c r="CM115" i="38" s="1"/>
  <c r="CN115" i="38" s="1"/>
  <c r="CO115" i="38" s="1"/>
  <c r="CP115" i="38" s="1"/>
  <c r="CQ115" i="38" s="1"/>
  <c r="CR115" i="38" s="1"/>
  <c r="CS115" i="38" s="1"/>
  <c r="CT115" i="38" s="1"/>
  <c r="CQ81" i="38"/>
  <c r="CR81" i="38" s="1"/>
  <c r="CS81" i="38" s="1"/>
  <c r="CT81" i="38" s="1"/>
  <c r="CI85" i="38"/>
  <c r="CJ85" i="38" s="1"/>
  <c r="CK85" i="38" s="1"/>
  <c r="CL85" i="38" s="1"/>
  <c r="CA131" i="38"/>
  <c r="CB131" i="38" s="1"/>
  <c r="CC131" i="38" s="1"/>
  <c r="CD131" i="38" s="1"/>
  <c r="BW135" i="38"/>
  <c r="BX135" i="38" s="1"/>
  <c r="BY135" i="38" s="1"/>
  <c r="BZ135" i="38" s="1"/>
  <c r="BW133" i="38"/>
  <c r="BX133" i="38" s="1"/>
  <c r="BY133" i="38" s="1"/>
  <c r="BZ133" i="38" s="1"/>
  <c r="CA133" i="38" s="1"/>
  <c r="CB133" i="38" s="1"/>
  <c r="CC133" i="38" s="1"/>
  <c r="CD133" i="38" s="1"/>
  <c r="CE133" i="38" s="1"/>
  <c r="CF133" i="38" s="1"/>
  <c r="CG133" i="38" s="1"/>
  <c r="CH133" i="38" s="1"/>
  <c r="BW107" i="38"/>
  <c r="BX107" i="38" s="1"/>
  <c r="BY107" i="38" s="1"/>
  <c r="BZ107" i="38" s="1"/>
  <c r="CE46" i="38"/>
  <c r="CF46" i="38" s="1"/>
  <c r="CG46" i="38" s="1"/>
  <c r="CH46" i="38" s="1"/>
  <c r="CI46" i="38" s="1"/>
  <c r="CJ46" i="38" s="1"/>
  <c r="CK46" i="38" s="1"/>
  <c r="CL46" i="38" s="1"/>
  <c r="CM73" i="38"/>
  <c r="CN73" i="38" s="1"/>
  <c r="CO73" i="38" s="1"/>
  <c r="CP73" i="38" s="1"/>
  <c r="CQ73" i="38" s="1"/>
  <c r="CR73" i="38" s="1"/>
  <c r="CS73" i="38" s="1"/>
  <c r="CT73" i="38" s="1"/>
  <c r="CU73" i="38" s="1"/>
  <c r="CV73" i="38" s="1"/>
  <c r="CQ83" i="38"/>
  <c r="CR83" i="38" s="1"/>
  <c r="CS83" i="38" s="1"/>
  <c r="CT83" i="38" s="1"/>
  <c r="CU83" i="38" s="1"/>
  <c r="CV83" i="38" s="1"/>
  <c r="CQ74" i="38"/>
  <c r="CR74" i="38" s="1"/>
  <c r="CS74" i="38" s="1"/>
  <c r="CT74" i="38" s="1"/>
  <c r="CI95" i="38"/>
  <c r="CJ95" i="38" s="1"/>
  <c r="CK95" i="38" s="1"/>
  <c r="CL95" i="38" s="1"/>
  <c r="CM95" i="38" s="1"/>
  <c r="CN95" i="38" s="1"/>
  <c r="CO95" i="38" s="1"/>
  <c r="CP95" i="38" s="1"/>
  <c r="CE97" i="38"/>
  <c r="CF97" i="38" s="1"/>
  <c r="CG97" i="38" s="1"/>
  <c r="CH97" i="38" s="1"/>
  <c r="CI97" i="38" s="1"/>
  <c r="CJ97" i="38" s="1"/>
  <c r="CK97" i="38" s="1"/>
  <c r="CL97" i="38" s="1"/>
  <c r="ES105" i="14"/>
  <c r="EX105" i="14" s="1"/>
  <c r="EY105" i="14" s="1"/>
  <c r="EZ105" i="14" s="1"/>
  <c r="FA105" i="14" s="1"/>
  <c r="FF105" i="14" s="1"/>
  <c r="FG105" i="14" s="1"/>
  <c r="FH105" i="14" s="1"/>
  <c r="FI105" i="14" s="1"/>
  <c r="CU123" i="38"/>
  <c r="CV123" i="38" s="1"/>
  <c r="CE67" i="38"/>
  <c r="CF67" i="38" s="1"/>
  <c r="CG67" i="38" s="1"/>
  <c r="CH67" i="38" s="1"/>
  <c r="CA134" i="38"/>
  <c r="CB134" i="38" s="1"/>
  <c r="CC134" i="38" s="1"/>
  <c r="CD134" i="38" s="1"/>
  <c r="CM89" i="38"/>
  <c r="CN89" i="38" s="1"/>
  <c r="CO89" i="38" s="1"/>
  <c r="CP89" i="38" s="1"/>
  <c r="CQ89" i="38" s="1"/>
  <c r="CR89" i="38" s="1"/>
  <c r="CS89" i="38" s="1"/>
  <c r="CT89" i="38" s="1"/>
  <c r="CU56" i="38"/>
  <c r="CV56" i="38" s="1"/>
  <c r="CE126" i="38"/>
  <c r="CF126" i="38" s="1"/>
  <c r="CG126" i="38" s="1"/>
  <c r="CH126" i="38" s="1"/>
  <c r="CI126" i="38" s="1"/>
  <c r="CJ126" i="38" s="1"/>
  <c r="CK126" i="38" s="1"/>
  <c r="CL126" i="38" s="1"/>
  <c r="BW113" i="38"/>
  <c r="BX113" i="38" s="1"/>
  <c r="BY113" i="38" s="1"/>
  <c r="BZ113" i="38" s="1"/>
  <c r="BW141" i="38"/>
  <c r="BX141" i="38" s="1"/>
  <c r="BY141" i="38" s="1"/>
  <c r="BZ141" i="38" s="1"/>
  <c r="CE76" i="38"/>
  <c r="CF76" i="38" s="1"/>
  <c r="CG76" i="38" s="1"/>
  <c r="CH76" i="38" s="1"/>
  <c r="CE66" i="38"/>
  <c r="CF66" i="38" s="1"/>
  <c r="CG66" i="38" s="1"/>
  <c r="CH66" i="38" s="1"/>
  <c r="CI57" i="38"/>
  <c r="CJ57" i="38" s="1"/>
  <c r="CK57" i="38" s="1"/>
  <c r="CL57" i="38" s="1"/>
  <c r="CM57" i="38" s="1"/>
  <c r="CN57" i="38" s="1"/>
  <c r="CO57" i="38" s="1"/>
  <c r="CP57" i="38" s="1"/>
  <c r="CE64" i="38"/>
  <c r="CF64" i="38" s="1"/>
  <c r="CG64" i="38" s="1"/>
  <c r="CH64" i="38" s="1"/>
  <c r="CE117" i="38"/>
  <c r="CF117" i="38" s="1"/>
  <c r="CG117" i="38" s="1"/>
  <c r="CH117" i="38" s="1"/>
  <c r="BW108" i="38"/>
  <c r="BX108" i="38" s="1"/>
  <c r="BY108" i="38" s="1"/>
  <c r="BZ108" i="38" s="1"/>
  <c r="CA108" i="38" s="1"/>
  <c r="CB108" i="38" s="1"/>
  <c r="CC108" i="38" s="1"/>
  <c r="CD108" i="38" s="1"/>
  <c r="CU102" i="38"/>
  <c r="CV102" i="38" s="1"/>
  <c r="CI49" i="38"/>
  <c r="CJ49" i="38" s="1"/>
  <c r="CK49" i="38" s="1"/>
  <c r="CL49" i="38" s="1"/>
  <c r="CM49" i="38" s="1"/>
  <c r="CN49" i="38" s="1"/>
  <c r="CO49" i="38" s="1"/>
  <c r="CP49" i="38" s="1"/>
  <c r="BW110" i="38"/>
  <c r="BX110" i="38" s="1"/>
  <c r="BY110" i="38" s="1"/>
  <c r="BZ110" i="38" s="1"/>
  <c r="CA110" i="38" s="1"/>
  <c r="CB110" i="38" s="1"/>
  <c r="CC110" i="38" s="1"/>
  <c r="CD110" i="38" s="1"/>
  <c r="CE110" i="38" s="1"/>
  <c r="CF110" i="38" s="1"/>
  <c r="CG110" i="38" s="1"/>
  <c r="CH110" i="38" s="1"/>
  <c r="CI110" i="38" s="1"/>
  <c r="CJ110" i="38" s="1"/>
  <c r="CK110" i="38" s="1"/>
  <c r="CL110" i="38" s="1"/>
  <c r="CQ114" i="38"/>
  <c r="CR114" i="38" s="1"/>
  <c r="CS114" i="38" s="1"/>
  <c r="CT114" i="38" s="1"/>
  <c r="CU114" i="38" s="1"/>
  <c r="CV114" i="38" s="1"/>
  <c r="CE62" i="38"/>
  <c r="CF62" i="38" s="1"/>
  <c r="CG62" i="38" s="1"/>
  <c r="CH62" i="38" s="1"/>
  <c r="CI62" i="38" s="1"/>
  <c r="CJ62" i="38" s="1"/>
  <c r="CK62" i="38" s="1"/>
  <c r="CL62" i="38" s="1"/>
  <c r="CI60" i="38"/>
  <c r="CJ60" i="38" s="1"/>
  <c r="CK60" i="38" s="1"/>
  <c r="CL60" i="38" s="1"/>
  <c r="CM60" i="38" s="1"/>
  <c r="CN60" i="38" s="1"/>
  <c r="CO60" i="38" s="1"/>
  <c r="CP60" i="38" s="1"/>
  <c r="BW136" i="38"/>
  <c r="BX136" i="38" s="1"/>
  <c r="BY136" i="38" s="1"/>
  <c r="BZ136" i="38" s="1"/>
  <c r="CU86" i="38"/>
  <c r="CV86" i="38" s="1"/>
  <c r="CM87" i="38"/>
  <c r="CN87" i="38" s="1"/>
  <c r="CO87" i="38" s="1"/>
  <c r="CP87" i="38" s="1"/>
  <c r="CQ87" i="38" s="1"/>
  <c r="CR87" i="38" s="1"/>
  <c r="CS87" i="38" s="1"/>
  <c r="CT87" i="38" s="1"/>
  <c r="CU52" i="38"/>
  <c r="CV52" i="38" s="1"/>
  <c r="BW139" i="38"/>
  <c r="BX139" i="38" s="1"/>
  <c r="BY139" i="38" s="1"/>
  <c r="BZ139" i="38" s="1"/>
  <c r="CA139" i="38" s="1"/>
  <c r="CB139" i="38" s="1"/>
  <c r="CC139" i="38" s="1"/>
  <c r="CD139" i="38" s="1"/>
  <c r="CE139" i="38" s="1"/>
  <c r="CF139" i="38" s="1"/>
  <c r="CG139" i="38" s="1"/>
  <c r="CH139" i="38" s="1"/>
  <c r="CI75" i="38"/>
  <c r="CJ75" i="38" s="1"/>
  <c r="CK75" i="38" s="1"/>
  <c r="CL75" i="38" s="1"/>
  <c r="CM75" i="38" s="1"/>
  <c r="CN75" i="38" s="1"/>
  <c r="CO75" i="38" s="1"/>
  <c r="CP75" i="38" s="1"/>
  <c r="CQ75" i="38" s="1"/>
  <c r="CR75" i="38" s="1"/>
  <c r="CS75" i="38" s="1"/>
  <c r="CT75" i="38" s="1"/>
  <c r="BW129" i="38"/>
  <c r="BX129" i="38" s="1"/>
  <c r="BY129" i="38" s="1"/>
  <c r="BZ129" i="38" s="1"/>
  <c r="CE91" i="38"/>
  <c r="CF91" i="38" s="1"/>
  <c r="CG91" i="38" s="1"/>
  <c r="CH91" i="38" s="1"/>
  <c r="CM116" i="38"/>
  <c r="CN116" i="38" s="1"/>
  <c r="CO116" i="38" s="1"/>
  <c r="CP116" i="38" s="1"/>
  <c r="CQ116" i="38" s="1"/>
  <c r="CR116" i="38" s="1"/>
  <c r="CS116" i="38" s="1"/>
  <c r="CT116" i="38" s="1"/>
  <c r="CU116" i="38" s="1"/>
  <c r="CV116" i="38" s="1"/>
  <c r="CI72" i="38"/>
  <c r="CJ72" i="38" s="1"/>
  <c r="CK72" i="38" s="1"/>
  <c r="CL72" i="38" s="1"/>
  <c r="ES135" i="14"/>
  <c r="EX135" i="14" s="1"/>
  <c r="EY135" i="14" s="1"/>
  <c r="EZ135" i="14" s="1"/>
  <c r="FA135" i="14" s="1"/>
  <c r="FF135" i="14" s="1"/>
  <c r="FG135" i="14" s="1"/>
  <c r="FH135" i="14" s="1"/>
  <c r="FI135" i="14" s="1"/>
  <c r="ES93" i="14"/>
  <c r="EX93" i="14" s="1"/>
  <c r="EY93" i="14" s="1"/>
  <c r="EZ93" i="14" s="1"/>
  <c r="FA93" i="14" s="1"/>
  <c r="FF93" i="14" s="1"/>
  <c r="FG93" i="14" s="1"/>
  <c r="FH93" i="14" s="1"/>
  <c r="FI93" i="14" s="1"/>
  <c r="FO93" i="14" s="1"/>
  <c r="HH135" i="14"/>
  <c r="HI135" i="14" s="1"/>
  <c r="HJ135" i="14" s="1"/>
  <c r="HK135" i="14" s="1"/>
  <c r="HP135" i="14" s="1"/>
  <c r="HQ135" i="14" s="1"/>
  <c r="HR135" i="14" s="1"/>
  <c r="HS135" i="14" s="1"/>
  <c r="HH106" i="14"/>
  <c r="HI106" i="14" s="1"/>
  <c r="HJ106" i="14" s="1"/>
  <c r="HK106" i="14" s="1"/>
  <c r="HP106" i="14" s="1"/>
  <c r="HQ106" i="14" s="1"/>
  <c r="HR106" i="14" s="1"/>
  <c r="HS106" i="14" s="1"/>
  <c r="BZ40" i="38"/>
  <c r="ES78" i="14"/>
  <c r="EX78" i="14" s="1"/>
  <c r="EY78" i="14" s="1"/>
  <c r="EZ78" i="14" s="1"/>
  <c r="FA78" i="14" s="1"/>
  <c r="FF78" i="14" s="1"/>
  <c r="FG78" i="14" s="1"/>
  <c r="FH78" i="14" s="1"/>
  <c r="FI78" i="14" s="1"/>
  <c r="FC88" i="14"/>
  <c r="EG153" i="14"/>
  <c r="HM153" i="14" s="1"/>
  <c r="ES130" i="14"/>
  <c r="EX130" i="14" s="1"/>
  <c r="EY130" i="14" s="1"/>
  <c r="EZ130" i="14" s="1"/>
  <c r="FA130" i="14" s="1"/>
  <c r="FF130" i="14" s="1"/>
  <c r="FG130" i="14" s="1"/>
  <c r="FH130" i="14" s="1"/>
  <c r="FI130" i="14" s="1"/>
  <c r="FN130" i="14" s="1"/>
  <c r="HP102" i="14"/>
  <c r="HQ102" i="14" s="1"/>
  <c r="HR102" i="14" s="1"/>
  <c r="HS102" i="14" s="1"/>
  <c r="HY102" i="14" s="1"/>
  <c r="FJ143" i="14"/>
  <c r="HE88" i="14"/>
  <c r="BZ39" i="38"/>
  <c r="HP105" i="14"/>
  <c r="HQ105" i="14" s="1"/>
  <c r="HR105" i="14" s="1"/>
  <c r="HS105" i="14" s="1"/>
  <c r="GW88" i="14"/>
  <c r="GZ88" i="14" s="1"/>
  <c r="HA88" i="14" s="1"/>
  <c r="HB88" i="14" s="1"/>
  <c r="HC88" i="14" s="1"/>
  <c r="EM88" i="14"/>
  <c r="EP88" i="14" s="1"/>
  <c r="EQ88" i="14" s="1"/>
  <c r="ER88" i="14" s="1"/>
  <c r="ES88" i="14" s="1"/>
  <c r="EU88" i="14"/>
  <c r="ES103" i="14"/>
  <c r="EX103" i="14" s="1"/>
  <c r="EY103" i="14" s="1"/>
  <c r="EZ103" i="14" s="1"/>
  <c r="FA103" i="14" s="1"/>
  <c r="FF103" i="14" s="1"/>
  <c r="FG103" i="14" s="1"/>
  <c r="FH103" i="14" s="1"/>
  <c r="FI103" i="14" s="1"/>
  <c r="FO103" i="14" s="1"/>
  <c r="BZ38" i="38"/>
  <c r="EX73" i="14"/>
  <c r="EY73" i="14" s="1"/>
  <c r="EZ73" i="14" s="1"/>
  <c r="FA73" i="14" s="1"/>
  <c r="FF73" i="14" s="1"/>
  <c r="FG73" i="14" s="1"/>
  <c r="FH73" i="14" s="1"/>
  <c r="FI73" i="14" s="1"/>
  <c r="FJ147" i="14"/>
  <c r="GW89" i="14"/>
  <c r="GZ89" i="14" s="1"/>
  <c r="HA89" i="14" s="1"/>
  <c r="HB89" i="14" s="1"/>
  <c r="HC89" i="14" s="1"/>
  <c r="EG145" i="14"/>
  <c r="FC145" i="14" s="1"/>
  <c r="HP78" i="14"/>
  <c r="HQ78" i="14" s="1"/>
  <c r="HR78" i="14" s="1"/>
  <c r="HS78" i="14" s="1"/>
  <c r="HH132" i="14"/>
  <c r="HI132" i="14" s="1"/>
  <c r="HJ132" i="14" s="1"/>
  <c r="HK132" i="14" s="1"/>
  <c r="HP132" i="14" s="1"/>
  <c r="HQ132" i="14" s="1"/>
  <c r="HR132" i="14" s="1"/>
  <c r="HS132" i="14" s="1"/>
  <c r="HX132" i="14" s="1"/>
  <c r="HM88" i="14"/>
  <c r="EX96" i="14"/>
  <c r="EY96" i="14" s="1"/>
  <c r="EZ96" i="14" s="1"/>
  <c r="FA96" i="14" s="1"/>
  <c r="FF96" i="14" s="1"/>
  <c r="FG96" i="14" s="1"/>
  <c r="FH96" i="14" s="1"/>
  <c r="FI96" i="14" s="1"/>
  <c r="FC128" i="14"/>
  <c r="EX107" i="14"/>
  <c r="EY107" i="14" s="1"/>
  <c r="EZ107" i="14" s="1"/>
  <c r="FA107" i="14" s="1"/>
  <c r="FF107" i="14" s="1"/>
  <c r="FG107" i="14" s="1"/>
  <c r="FH107" i="14" s="1"/>
  <c r="FI107" i="14" s="1"/>
  <c r="HH107" i="14"/>
  <c r="HI107" i="14" s="1"/>
  <c r="HJ107" i="14" s="1"/>
  <c r="HK107" i="14" s="1"/>
  <c r="HP107" i="14" s="1"/>
  <c r="HQ107" i="14" s="1"/>
  <c r="HR107" i="14" s="1"/>
  <c r="HS107" i="14" s="1"/>
  <c r="ES82" i="14"/>
  <c r="EX82" i="14" s="1"/>
  <c r="EY82" i="14" s="1"/>
  <c r="EZ82" i="14" s="1"/>
  <c r="FA82" i="14" s="1"/>
  <c r="FF82" i="14" s="1"/>
  <c r="FG82" i="14" s="1"/>
  <c r="FH82" i="14" s="1"/>
  <c r="FI82" i="14" s="1"/>
  <c r="FN82" i="14" s="1"/>
  <c r="EG120" i="14"/>
  <c r="FC120" i="14" s="1"/>
  <c r="EG150" i="14"/>
  <c r="EU150" i="14" s="1"/>
  <c r="EG124" i="14"/>
  <c r="EU124" i="14" s="1"/>
  <c r="HM89" i="14"/>
  <c r="HH82" i="14"/>
  <c r="HI82" i="14" s="1"/>
  <c r="HJ82" i="14" s="1"/>
  <c r="HK82" i="14" s="1"/>
  <c r="HP82" i="14" s="1"/>
  <c r="HQ82" i="14" s="1"/>
  <c r="HR82" i="14" s="1"/>
  <c r="HS82" i="14" s="1"/>
  <c r="HX82" i="14" s="1"/>
  <c r="ES132" i="14"/>
  <c r="EX132" i="14" s="1"/>
  <c r="EY132" i="14" s="1"/>
  <c r="EZ132" i="14" s="1"/>
  <c r="FA132" i="14" s="1"/>
  <c r="FF132" i="14" s="1"/>
  <c r="FG132" i="14" s="1"/>
  <c r="FH132" i="14" s="1"/>
  <c r="FI132" i="14" s="1"/>
  <c r="FN132" i="14" s="1"/>
  <c r="EX133" i="14"/>
  <c r="EY133" i="14" s="1"/>
  <c r="EZ133" i="14" s="1"/>
  <c r="FA133" i="14" s="1"/>
  <c r="FF133" i="14" s="1"/>
  <c r="FG133" i="14" s="1"/>
  <c r="FH133" i="14" s="1"/>
  <c r="FI133" i="14" s="1"/>
  <c r="FN133" i="14" s="1"/>
  <c r="HE80" i="14"/>
  <c r="ES136" i="14"/>
  <c r="EX136" i="14" s="1"/>
  <c r="EY136" i="14" s="1"/>
  <c r="EZ136" i="14" s="1"/>
  <c r="FA136" i="14" s="1"/>
  <c r="FF136" i="14" s="1"/>
  <c r="FG136" i="14" s="1"/>
  <c r="FH136" i="14" s="1"/>
  <c r="FI136" i="14" s="1"/>
  <c r="EG152" i="14"/>
  <c r="FC152" i="14" s="1"/>
  <c r="ES92" i="14"/>
  <c r="EX92" i="14" s="1"/>
  <c r="EY92" i="14" s="1"/>
  <c r="EZ92" i="14" s="1"/>
  <c r="FA92" i="14" s="1"/>
  <c r="FF92" i="14" s="1"/>
  <c r="FG92" i="14" s="1"/>
  <c r="FH92" i="14" s="1"/>
  <c r="FI92" i="14" s="1"/>
  <c r="EU81" i="14"/>
  <c r="HH133" i="14"/>
  <c r="HI133" i="14" s="1"/>
  <c r="HJ133" i="14" s="1"/>
  <c r="HK133" i="14" s="1"/>
  <c r="HP133" i="14" s="1"/>
  <c r="HQ133" i="14" s="1"/>
  <c r="HR133" i="14" s="1"/>
  <c r="HS133" i="14" s="1"/>
  <c r="HX133" i="14" s="1"/>
  <c r="ES71" i="14"/>
  <c r="EX71" i="14" s="1"/>
  <c r="EY71" i="14" s="1"/>
  <c r="EZ71" i="14" s="1"/>
  <c r="FA71" i="14" s="1"/>
  <c r="FF71" i="14" s="1"/>
  <c r="FG71" i="14" s="1"/>
  <c r="FH71" i="14" s="1"/>
  <c r="FI71" i="14" s="1"/>
  <c r="HH96" i="14"/>
  <c r="HI96" i="14" s="1"/>
  <c r="HJ96" i="14" s="1"/>
  <c r="HK96" i="14" s="1"/>
  <c r="HP96" i="14" s="1"/>
  <c r="HQ96" i="14" s="1"/>
  <c r="HR96" i="14" s="1"/>
  <c r="HS96" i="14" s="1"/>
  <c r="ES74" i="14"/>
  <c r="EX74" i="14" s="1"/>
  <c r="EY74" i="14" s="1"/>
  <c r="EZ74" i="14" s="1"/>
  <c r="FA74" i="14" s="1"/>
  <c r="FF74" i="14" s="1"/>
  <c r="FG74" i="14" s="1"/>
  <c r="FH74" i="14" s="1"/>
  <c r="FI74" i="14" s="1"/>
  <c r="HH71" i="14"/>
  <c r="HI71" i="14" s="1"/>
  <c r="HJ71" i="14" s="1"/>
  <c r="HK71" i="14" s="1"/>
  <c r="HP71" i="14" s="1"/>
  <c r="HQ71" i="14" s="1"/>
  <c r="HR71" i="14" s="1"/>
  <c r="HS71" i="14" s="1"/>
  <c r="HP84" i="14"/>
  <c r="HQ84" i="14" s="1"/>
  <c r="HR84" i="14" s="1"/>
  <c r="HS84" i="14" s="1"/>
  <c r="HX84" i="14" s="1"/>
  <c r="EG151" i="14"/>
  <c r="HM151" i="14" s="1"/>
  <c r="FJ158" i="14"/>
  <c r="FW158" i="14" s="1"/>
  <c r="EG144" i="14"/>
  <c r="HM144" i="14" s="1"/>
  <c r="HH136" i="14"/>
  <c r="HI136" i="14" s="1"/>
  <c r="HJ136" i="14" s="1"/>
  <c r="HK136" i="14" s="1"/>
  <c r="HP136" i="14" s="1"/>
  <c r="HQ136" i="14" s="1"/>
  <c r="HR136" i="14" s="1"/>
  <c r="HS136" i="14" s="1"/>
  <c r="EG122" i="14"/>
  <c r="FC122" i="14" s="1"/>
  <c r="FC80" i="14"/>
  <c r="EG141" i="14"/>
  <c r="HE141" i="14" s="1"/>
  <c r="BZ44" i="38"/>
  <c r="HE81" i="14"/>
  <c r="HM80" i="14"/>
  <c r="EM80" i="14"/>
  <c r="EP80" i="14" s="1"/>
  <c r="EQ80" i="14" s="1"/>
  <c r="ER80" i="14" s="1"/>
  <c r="ES80" i="14" s="1"/>
  <c r="HE128" i="14"/>
  <c r="HH128" i="14" s="1"/>
  <c r="HI128" i="14" s="1"/>
  <c r="HJ128" i="14" s="1"/>
  <c r="HK128" i="14" s="1"/>
  <c r="EM128" i="14"/>
  <c r="EP128" i="14" s="1"/>
  <c r="EQ128" i="14" s="1"/>
  <c r="ER128" i="14" s="1"/>
  <c r="ES84" i="14"/>
  <c r="EX84" i="14" s="1"/>
  <c r="EY84" i="14" s="1"/>
  <c r="EZ84" i="14" s="1"/>
  <c r="FA84" i="14" s="1"/>
  <c r="FF84" i="14" s="1"/>
  <c r="FG84" i="14" s="1"/>
  <c r="FH84" i="14" s="1"/>
  <c r="FI84" i="14" s="1"/>
  <c r="FN84" i="14" s="1"/>
  <c r="HM128" i="14"/>
  <c r="FC127" i="14"/>
  <c r="EJ128" i="14"/>
  <c r="HM127" i="14"/>
  <c r="EU128" i="14"/>
  <c r="ES94" i="14"/>
  <c r="EX94" i="14" s="1"/>
  <c r="EY94" i="14" s="1"/>
  <c r="EZ94" i="14" s="1"/>
  <c r="FA94" i="14" s="1"/>
  <c r="FF94" i="14" s="1"/>
  <c r="FG94" i="14" s="1"/>
  <c r="FH94" i="14" s="1"/>
  <c r="FI94" i="14" s="1"/>
  <c r="EM127" i="14"/>
  <c r="EP127" i="14" s="1"/>
  <c r="EQ127" i="14" s="1"/>
  <c r="ER127" i="14" s="1"/>
  <c r="EJ86" i="14"/>
  <c r="ES86" i="14" s="1"/>
  <c r="EM89" i="14"/>
  <c r="EP89" i="14" s="1"/>
  <c r="EQ89" i="14" s="1"/>
  <c r="ER89" i="14" s="1"/>
  <c r="EU89" i="14"/>
  <c r="EJ89" i="14"/>
  <c r="HE89" i="14"/>
  <c r="EJ81" i="14"/>
  <c r="GW80" i="14"/>
  <c r="GZ80" i="14" s="1"/>
  <c r="HA80" i="14" s="1"/>
  <c r="HB80" i="14" s="1"/>
  <c r="HC80" i="14" s="1"/>
  <c r="FC81" i="14"/>
  <c r="EU80" i="14"/>
  <c r="HH74" i="14"/>
  <c r="HI74" i="14" s="1"/>
  <c r="HJ74" i="14" s="1"/>
  <c r="HK74" i="14" s="1"/>
  <c r="HP74" i="14" s="1"/>
  <c r="HQ74" i="14" s="1"/>
  <c r="HR74" i="14" s="1"/>
  <c r="HS74" i="14" s="1"/>
  <c r="HH79" i="14"/>
  <c r="HI79" i="14" s="1"/>
  <c r="HJ79" i="14" s="1"/>
  <c r="HK79" i="14" s="1"/>
  <c r="HP79" i="14" s="1"/>
  <c r="HQ79" i="14" s="1"/>
  <c r="HR79" i="14" s="1"/>
  <c r="HS79" i="14" s="1"/>
  <c r="EM81" i="14"/>
  <c r="EP81" i="14" s="1"/>
  <c r="EQ81" i="14" s="1"/>
  <c r="ER81" i="14" s="1"/>
  <c r="GW81" i="14"/>
  <c r="GZ81" i="14" s="1"/>
  <c r="HA81" i="14" s="1"/>
  <c r="HB81" i="14" s="1"/>
  <c r="HC81" i="14" s="1"/>
  <c r="FJ157" i="14"/>
  <c r="FW157" i="14" s="1"/>
  <c r="GW125" i="14"/>
  <c r="GZ125" i="14" s="1"/>
  <c r="HA125" i="14" s="1"/>
  <c r="HB125" i="14" s="1"/>
  <c r="HC125" i="14" s="1"/>
  <c r="FJ148" i="14"/>
  <c r="HE86" i="14"/>
  <c r="FC86" i="14"/>
  <c r="GW86" i="14"/>
  <c r="GZ86" i="14" s="1"/>
  <c r="HA86" i="14" s="1"/>
  <c r="HB86" i="14" s="1"/>
  <c r="HC86" i="14" s="1"/>
  <c r="ES79" i="14"/>
  <c r="EX79" i="14" s="1"/>
  <c r="EY79" i="14" s="1"/>
  <c r="EZ79" i="14" s="1"/>
  <c r="FA79" i="14" s="1"/>
  <c r="FF79" i="14" s="1"/>
  <c r="FG79" i="14" s="1"/>
  <c r="FH79" i="14" s="1"/>
  <c r="FI79" i="14" s="1"/>
  <c r="GG109" i="14"/>
  <c r="GG105" i="14"/>
  <c r="HP92" i="14"/>
  <c r="HQ92" i="14" s="1"/>
  <c r="HR92" i="14" s="1"/>
  <c r="HS92" i="14" s="1"/>
  <c r="EG123" i="14"/>
  <c r="FC123" i="14" s="1"/>
  <c r="EG160" i="14"/>
  <c r="FC160" i="14" s="1"/>
  <c r="EJ127" i="14"/>
  <c r="GG98" i="14"/>
  <c r="EU127" i="14"/>
  <c r="GG107" i="14"/>
  <c r="GW127" i="14"/>
  <c r="GZ127" i="14" s="1"/>
  <c r="HA127" i="14" s="1"/>
  <c r="HB127" i="14" s="1"/>
  <c r="HC127" i="14" s="1"/>
  <c r="HH127" i="14" s="1"/>
  <c r="HI127" i="14" s="1"/>
  <c r="HJ127" i="14" s="1"/>
  <c r="HK127" i="14" s="1"/>
  <c r="HM86" i="14"/>
  <c r="GG95" i="14"/>
  <c r="GG94" i="14"/>
  <c r="HH70" i="14"/>
  <c r="HI70" i="14" s="1"/>
  <c r="HJ70" i="14" s="1"/>
  <c r="HK70" i="14" s="1"/>
  <c r="HP70" i="14" s="1"/>
  <c r="HQ70" i="14" s="1"/>
  <c r="HR70" i="14" s="1"/>
  <c r="HS70" i="14" s="1"/>
  <c r="GG108" i="14"/>
  <c r="GG102" i="14"/>
  <c r="GG106" i="14"/>
  <c r="EU86" i="14"/>
  <c r="GG96" i="14"/>
  <c r="ES70" i="14"/>
  <c r="EX70" i="14" s="1"/>
  <c r="EY70" i="14" s="1"/>
  <c r="EZ70" i="14" s="1"/>
  <c r="FA70" i="14" s="1"/>
  <c r="FF70" i="14" s="1"/>
  <c r="FG70" i="14" s="1"/>
  <c r="FH70" i="14" s="1"/>
  <c r="FI70" i="14" s="1"/>
  <c r="FK126" i="14"/>
  <c r="EG126" i="14"/>
  <c r="AO127" i="38"/>
  <c r="AP127" i="38" s="1"/>
  <c r="AQ127" i="38" s="1"/>
  <c r="G128" i="40" s="1"/>
  <c r="GG100" i="14"/>
  <c r="HH130" i="14"/>
  <c r="HI130" i="14" s="1"/>
  <c r="HJ130" i="14" s="1"/>
  <c r="HK130" i="14" s="1"/>
  <c r="HP130" i="14" s="1"/>
  <c r="HQ130" i="14" s="1"/>
  <c r="HR130" i="14" s="1"/>
  <c r="HS130" i="14" s="1"/>
  <c r="HX130" i="14" s="1"/>
  <c r="HM85" i="14"/>
  <c r="EM85" i="14"/>
  <c r="EP85" i="14" s="1"/>
  <c r="EQ85" i="14" s="1"/>
  <c r="ER85" i="14" s="1"/>
  <c r="HE85" i="14"/>
  <c r="FC85" i="14"/>
  <c r="EU85" i="14"/>
  <c r="GW85" i="14"/>
  <c r="GZ85" i="14" s="1"/>
  <c r="HA85" i="14" s="1"/>
  <c r="HB85" i="14" s="1"/>
  <c r="HC85" i="14" s="1"/>
  <c r="EJ85" i="14"/>
  <c r="GG99" i="14"/>
  <c r="GG90" i="14"/>
  <c r="GG103" i="14"/>
  <c r="GG91" i="14"/>
  <c r="GG93" i="14"/>
  <c r="GG104" i="14"/>
  <c r="GG97" i="14"/>
  <c r="GG101" i="14"/>
  <c r="EM125" i="14"/>
  <c r="EP125" i="14" s="1"/>
  <c r="EQ125" i="14" s="1"/>
  <c r="ER125" i="14" s="1"/>
  <c r="FC125" i="14"/>
  <c r="HM125" i="14"/>
  <c r="EM121" i="14"/>
  <c r="EP121" i="14" s="1"/>
  <c r="EQ121" i="14" s="1"/>
  <c r="ER121" i="14" s="1"/>
  <c r="HE125" i="14"/>
  <c r="FJ140" i="14"/>
  <c r="EM129" i="14"/>
  <c r="EP129" i="14" s="1"/>
  <c r="EQ129" i="14" s="1"/>
  <c r="ER129" i="14" s="1"/>
  <c r="EJ125" i="14"/>
  <c r="HP75" i="14"/>
  <c r="HQ75" i="14" s="1"/>
  <c r="HR75" i="14" s="1"/>
  <c r="HS75" i="14" s="1"/>
  <c r="HH94" i="14"/>
  <c r="HI94" i="14" s="1"/>
  <c r="HJ94" i="14" s="1"/>
  <c r="HK94" i="14" s="1"/>
  <c r="HP94" i="14" s="1"/>
  <c r="HQ94" i="14" s="1"/>
  <c r="HR94" i="14" s="1"/>
  <c r="HS94" i="14" s="1"/>
  <c r="HM121" i="14"/>
  <c r="HE129" i="14"/>
  <c r="GW121" i="14"/>
  <c r="GZ121" i="14" s="1"/>
  <c r="HA121" i="14" s="1"/>
  <c r="HB121" i="14" s="1"/>
  <c r="HC121" i="14" s="1"/>
  <c r="EU129" i="14"/>
  <c r="HE121" i="14"/>
  <c r="GW129" i="14"/>
  <c r="GZ129" i="14" s="1"/>
  <c r="HA129" i="14" s="1"/>
  <c r="HB129" i="14" s="1"/>
  <c r="HC129" i="14" s="1"/>
  <c r="EJ129" i="14"/>
  <c r="EJ121" i="14"/>
  <c r="FC129" i="14"/>
  <c r="FC121" i="14"/>
  <c r="ES75" i="14"/>
  <c r="EX75" i="14" s="1"/>
  <c r="EY75" i="14" s="1"/>
  <c r="EZ75" i="14" s="1"/>
  <c r="FA75" i="14" s="1"/>
  <c r="FF75" i="14" s="1"/>
  <c r="FG75" i="14" s="1"/>
  <c r="FH75" i="14" s="1"/>
  <c r="FI75" i="14" s="1"/>
  <c r="HM83" i="14"/>
  <c r="EJ83" i="14"/>
  <c r="HE83" i="14"/>
  <c r="EU83" i="14"/>
  <c r="GW83" i="14"/>
  <c r="GZ83" i="14" s="1"/>
  <c r="HA83" i="14" s="1"/>
  <c r="HB83" i="14" s="1"/>
  <c r="HC83" i="14" s="1"/>
  <c r="FC83" i="14"/>
  <c r="EM83" i="14"/>
  <c r="EP83" i="14" s="1"/>
  <c r="EQ83" i="14" s="1"/>
  <c r="ER83" i="14" s="1"/>
  <c r="EU87" i="14"/>
  <c r="HE87" i="14"/>
  <c r="GW87" i="14"/>
  <c r="GZ87" i="14" s="1"/>
  <c r="HA87" i="14" s="1"/>
  <c r="HB87" i="14" s="1"/>
  <c r="HC87" i="14" s="1"/>
  <c r="HM87" i="14"/>
  <c r="EJ87" i="14"/>
  <c r="FC87" i="14"/>
  <c r="EM87" i="14"/>
  <c r="EP87" i="14" s="1"/>
  <c r="EQ87" i="14" s="1"/>
  <c r="ER87" i="14" s="1"/>
  <c r="ES61" i="14"/>
  <c r="EX61" i="14" s="1"/>
  <c r="EY61" i="14" s="1"/>
  <c r="EZ61" i="14" s="1"/>
  <c r="FA61" i="14" s="1"/>
  <c r="FF61" i="14" s="1"/>
  <c r="FG61" i="14" s="1"/>
  <c r="FH61" i="14" s="1"/>
  <c r="FI61" i="14" s="1"/>
  <c r="HY81" i="14"/>
  <c r="HV72" i="14"/>
  <c r="HY72" i="14"/>
  <c r="HY87" i="14"/>
  <c r="FM97" i="14"/>
  <c r="FO97" i="14"/>
  <c r="HY92" i="14"/>
  <c r="FO104" i="14"/>
  <c r="FM95" i="14"/>
  <c r="FO95" i="14"/>
  <c r="HY106" i="14"/>
  <c r="GI70" i="14"/>
  <c r="FO83" i="14"/>
  <c r="HY89" i="14"/>
  <c r="HV76" i="14"/>
  <c r="HY76" i="14"/>
  <c r="FL77" i="14"/>
  <c r="FO77" i="14"/>
  <c r="FN134" i="14"/>
  <c r="FO134" i="14"/>
  <c r="FO94" i="14"/>
  <c r="FO92" i="14"/>
  <c r="HY94" i="14"/>
  <c r="FO106" i="14"/>
  <c r="HX131" i="14"/>
  <c r="HY131" i="14"/>
  <c r="FM101" i="14"/>
  <c r="FO101" i="14"/>
  <c r="HW100" i="14"/>
  <c r="HY100" i="14"/>
  <c r="GI68" i="14"/>
  <c r="GI65" i="14"/>
  <c r="GI60" i="14"/>
  <c r="GI61" i="14"/>
  <c r="GI66" i="14"/>
  <c r="GI62" i="14"/>
  <c r="GI64" i="14"/>
  <c r="GI63" i="14"/>
  <c r="GI69" i="14"/>
  <c r="GI83" i="14"/>
  <c r="GI86" i="14"/>
  <c r="GI89" i="14"/>
  <c r="HY78" i="14"/>
  <c r="FO78" i="14"/>
  <c r="FL76" i="14"/>
  <c r="FO76" i="14"/>
  <c r="FO75" i="14"/>
  <c r="FO70" i="14"/>
  <c r="HY96" i="14"/>
  <c r="FO96" i="14"/>
  <c r="HY104" i="14"/>
  <c r="GI85" i="14"/>
  <c r="GI73" i="14"/>
  <c r="GI71" i="14"/>
  <c r="HY75" i="14"/>
  <c r="HY88" i="14"/>
  <c r="FO80" i="14"/>
  <c r="FO89" i="14"/>
  <c r="HV77" i="14"/>
  <c r="HY77" i="14"/>
  <c r="HY86" i="14"/>
  <c r="HY70" i="14"/>
  <c r="FO107" i="14"/>
  <c r="FO132" i="14"/>
  <c r="HY103" i="14"/>
  <c r="FM108" i="14"/>
  <c r="FO108" i="14"/>
  <c r="GI81" i="14"/>
  <c r="GI80" i="14"/>
  <c r="GI75" i="14"/>
  <c r="FO84" i="14"/>
  <c r="FO82" i="14"/>
  <c r="FL72" i="14"/>
  <c r="FO72" i="14"/>
  <c r="HY83" i="14"/>
  <c r="FO79" i="14"/>
  <c r="FN131" i="14"/>
  <c r="FO131" i="14"/>
  <c r="HY107" i="14"/>
  <c r="HW101" i="14"/>
  <c r="HY101" i="14"/>
  <c r="FO102" i="14"/>
  <c r="HW97" i="14"/>
  <c r="HY97" i="14"/>
  <c r="FM100" i="14"/>
  <c r="FO100" i="14"/>
  <c r="GI76" i="14"/>
  <c r="FO81" i="14"/>
  <c r="FO74" i="14"/>
  <c r="HY82" i="14"/>
  <c r="FM98" i="14"/>
  <c r="FO98" i="14"/>
  <c r="HW93" i="14"/>
  <c r="HY93" i="14"/>
  <c r="HX134" i="14"/>
  <c r="HY134" i="14"/>
  <c r="FM99" i="14"/>
  <c r="FO99" i="14"/>
  <c r="FO109" i="14"/>
  <c r="HW108" i="14"/>
  <c r="HY108" i="14"/>
  <c r="GI74" i="14"/>
  <c r="GI87" i="14"/>
  <c r="GI88" i="14"/>
  <c r="FO88" i="14"/>
  <c r="HY84" i="14"/>
  <c r="FO85" i="14"/>
  <c r="HY80" i="14"/>
  <c r="HY71" i="14"/>
  <c r="HW99" i="14"/>
  <c r="HY99" i="14"/>
  <c r="HY130" i="14"/>
  <c r="HY109" i="14"/>
  <c r="HW95" i="14"/>
  <c r="HY95" i="14"/>
  <c r="HW91" i="14"/>
  <c r="HY91" i="14"/>
  <c r="HY90" i="14"/>
  <c r="GI78" i="14"/>
  <c r="HY79" i="14"/>
  <c r="HY73" i="14"/>
  <c r="FO87" i="14"/>
  <c r="FO86" i="14"/>
  <c r="FO71" i="14"/>
  <c r="FO73" i="14"/>
  <c r="HY74" i="14"/>
  <c r="FM91" i="14"/>
  <c r="FO91" i="14"/>
  <c r="FO90" i="14"/>
  <c r="HY105" i="14"/>
  <c r="FO105" i="14"/>
  <c r="HW98" i="14"/>
  <c r="HY98" i="14"/>
  <c r="GI82" i="14"/>
  <c r="GI72" i="14"/>
  <c r="GI79" i="14"/>
  <c r="GI84" i="14"/>
  <c r="GI77" i="14"/>
  <c r="GI67" i="14"/>
  <c r="FW159" i="14"/>
  <c r="FW155" i="14"/>
  <c r="FW154" i="14"/>
  <c r="FW160" i="14"/>
  <c r="FW152" i="14"/>
  <c r="FW151" i="14"/>
  <c r="FW150" i="14"/>
  <c r="FW149" i="14"/>
  <c r="FW153" i="14"/>
  <c r="FW156" i="14"/>
  <c r="FC140" i="14"/>
  <c r="EM140" i="14"/>
  <c r="EP140" i="14" s="1"/>
  <c r="EQ140" i="14" s="1"/>
  <c r="ER140" i="14" s="1"/>
  <c r="GW140" i="14"/>
  <c r="GZ140" i="14" s="1"/>
  <c r="HA140" i="14" s="1"/>
  <c r="HB140" i="14" s="1"/>
  <c r="HC140" i="14" s="1"/>
  <c r="EU140" i="14"/>
  <c r="HM140" i="14"/>
  <c r="EJ140" i="14"/>
  <c r="HE140" i="14"/>
  <c r="HM147" i="14"/>
  <c r="EM147" i="14"/>
  <c r="EP147" i="14" s="1"/>
  <c r="EQ147" i="14" s="1"/>
  <c r="ER147" i="14" s="1"/>
  <c r="FC147" i="14"/>
  <c r="EU147" i="14"/>
  <c r="HE147" i="14"/>
  <c r="EJ147" i="14"/>
  <c r="GW147" i="14"/>
  <c r="GZ147" i="14" s="1"/>
  <c r="HA147" i="14" s="1"/>
  <c r="HB147" i="14" s="1"/>
  <c r="HC147" i="14" s="1"/>
  <c r="EJ142" i="14"/>
  <c r="FC142" i="14"/>
  <c r="HM142" i="14"/>
  <c r="EU142" i="14"/>
  <c r="HE142" i="14"/>
  <c r="EM142" i="14"/>
  <c r="EP142" i="14" s="1"/>
  <c r="EQ142" i="14" s="1"/>
  <c r="ER142" i="14" s="1"/>
  <c r="GW142" i="14"/>
  <c r="GZ142" i="14" s="1"/>
  <c r="HA142" i="14" s="1"/>
  <c r="HB142" i="14" s="1"/>
  <c r="HC142" i="14" s="1"/>
  <c r="EU148" i="14"/>
  <c r="EM148" i="14"/>
  <c r="EP148" i="14" s="1"/>
  <c r="EQ148" i="14" s="1"/>
  <c r="ER148" i="14" s="1"/>
  <c r="HE148" i="14"/>
  <c r="GW148" i="14"/>
  <c r="GZ148" i="14" s="1"/>
  <c r="HA148" i="14" s="1"/>
  <c r="HB148" i="14" s="1"/>
  <c r="HC148" i="14" s="1"/>
  <c r="EJ148" i="14"/>
  <c r="FC148" i="14"/>
  <c r="HM148" i="14"/>
  <c r="HE143" i="14"/>
  <c r="EU143" i="14"/>
  <c r="EJ143" i="14"/>
  <c r="HM143" i="14"/>
  <c r="EM143" i="14"/>
  <c r="EP143" i="14" s="1"/>
  <c r="EQ143" i="14" s="1"/>
  <c r="ER143" i="14" s="1"/>
  <c r="FC143" i="14"/>
  <c r="GW143" i="14"/>
  <c r="GZ143" i="14" s="1"/>
  <c r="HA143" i="14" s="1"/>
  <c r="HB143" i="14" s="1"/>
  <c r="HC143" i="14" s="1"/>
  <c r="HH61" i="14"/>
  <c r="HI61" i="14" s="1"/>
  <c r="HJ61" i="14" s="1"/>
  <c r="HK61" i="14" s="1"/>
  <c r="HP61" i="14" s="1"/>
  <c r="HQ61" i="14" s="1"/>
  <c r="HR61" i="14" s="1"/>
  <c r="HS61" i="14" s="1"/>
  <c r="HH117" i="14"/>
  <c r="HI117" i="14" s="1"/>
  <c r="HJ117" i="14" s="1"/>
  <c r="HK117" i="14" s="1"/>
  <c r="HP117" i="14" s="1"/>
  <c r="HQ117" i="14" s="1"/>
  <c r="HR117" i="14" s="1"/>
  <c r="HS117" i="14" s="1"/>
  <c r="HW117" i="14" s="1"/>
  <c r="HH112" i="14"/>
  <c r="HI112" i="14" s="1"/>
  <c r="HJ112" i="14" s="1"/>
  <c r="HK112" i="14" s="1"/>
  <c r="HP112" i="14" s="1"/>
  <c r="HQ112" i="14" s="1"/>
  <c r="HR112" i="14" s="1"/>
  <c r="HS112" i="14" s="1"/>
  <c r="HW112" i="14" s="1"/>
  <c r="HH118" i="14"/>
  <c r="HI118" i="14" s="1"/>
  <c r="HJ118" i="14" s="1"/>
  <c r="HK118" i="14" s="1"/>
  <c r="HP118" i="14" s="1"/>
  <c r="HQ118" i="14" s="1"/>
  <c r="HR118" i="14" s="1"/>
  <c r="HS118" i="14" s="1"/>
  <c r="HW118" i="14" s="1"/>
  <c r="ES112" i="14"/>
  <c r="EX112" i="14" s="1"/>
  <c r="EY112" i="14" s="1"/>
  <c r="EZ112" i="14" s="1"/>
  <c r="FA112" i="14" s="1"/>
  <c r="FF112" i="14" s="1"/>
  <c r="FG112" i="14" s="1"/>
  <c r="FH112" i="14" s="1"/>
  <c r="FI112" i="14" s="1"/>
  <c r="FM112" i="14" s="1"/>
  <c r="ES115" i="14"/>
  <c r="EX115" i="14" s="1"/>
  <c r="EY115" i="14" s="1"/>
  <c r="EZ115" i="14" s="1"/>
  <c r="FA115" i="14" s="1"/>
  <c r="FF115" i="14" s="1"/>
  <c r="FG115" i="14" s="1"/>
  <c r="FH115" i="14" s="1"/>
  <c r="FI115" i="14" s="1"/>
  <c r="FM115" i="14" s="1"/>
  <c r="HH119" i="14"/>
  <c r="HI119" i="14" s="1"/>
  <c r="HJ119" i="14" s="1"/>
  <c r="HK119" i="14" s="1"/>
  <c r="HP119" i="14" s="1"/>
  <c r="HQ119" i="14" s="1"/>
  <c r="HR119" i="14" s="1"/>
  <c r="HS119" i="14" s="1"/>
  <c r="HW119" i="14" s="1"/>
  <c r="ES118" i="14"/>
  <c r="EX118" i="14" s="1"/>
  <c r="EY118" i="14" s="1"/>
  <c r="EZ118" i="14" s="1"/>
  <c r="FA118" i="14" s="1"/>
  <c r="FF118" i="14" s="1"/>
  <c r="FG118" i="14" s="1"/>
  <c r="FH118" i="14" s="1"/>
  <c r="FI118" i="14" s="1"/>
  <c r="FM118" i="14" s="1"/>
  <c r="ES116" i="14"/>
  <c r="EX116" i="14" s="1"/>
  <c r="EY116" i="14" s="1"/>
  <c r="EZ116" i="14" s="1"/>
  <c r="FA116" i="14" s="1"/>
  <c r="FF116" i="14" s="1"/>
  <c r="FG116" i="14" s="1"/>
  <c r="FH116" i="14" s="1"/>
  <c r="FI116" i="14" s="1"/>
  <c r="FM116" i="14" s="1"/>
  <c r="HH110" i="14"/>
  <c r="HI110" i="14" s="1"/>
  <c r="HJ110" i="14" s="1"/>
  <c r="HK110" i="14" s="1"/>
  <c r="HP110" i="14" s="1"/>
  <c r="HQ110" i="14" s="1"/>
  <c r="HR110" i="14" s="1"/>
  <c r="HS110" i="14" s="1"/>
  <c r="HW110" i="14" s="1"/>
  <c r="HH111" i="14"/>
  <c r="HI111" i="14" s="1"/>
  <c r="HJ111" i="14" s="1"/>
  <c r="HK111" i="14" s="1"/>
  <c r="HP111" i="14" s="1"/>
  <c r="HQ111" i="14" s="1"/>
  <c r="HR111" i="14" s="1"/>
  <c r="HS111" i="14" s="1"/>
  <c r="HW111" i="14" s="1"/>
  <c r="ES119" i="14"/>
  <c r="EX119" i="14" s="1"/>
  <c r="EY119" i="14" s="1"/>
  <c r="EZ119" i="14" s="1"/>
  <c r="FA119" i="14" s="1"/>
  <c r="FF119" i="14" s="1"/>
  <c r="FG119" i="14" s="1"/>
  <c r="FH119" i="14" s="1"/>
  <c r="FI119" i="14" s="1"/>
  <c r="FM119" i="14" s="1"/>
  <c r="HH113" i="14"/>
  <c r="HI113" i="14" s="1"/>
  <c r="HJ113" i="14" s="1"/>
  <c r="HK113" i="14" s="1"/>
  <c r="HP113" i="14" s="1"/>
  <c r="HQ113" i="14" s="1"/>
  <c r="HR113" i="14" s="1"/>
  <c r="HS113" i="14" s="1"/>
  <c r="HW113" i="14" s="1"/>
  <c r="ES111" i="14"/>
  <c r="EX111" i="14" s="1"/>
  <c r="EY111" i="14" s="1"/>
  <c r="EZ111" i="14" s="1"/>
  <c r="FA111" i="14" s="1"/>
  <c r="FF111" i="14" s="1"/>
  <c r="FG111" i="14" s="1"/>
  <c r="FH111" i="14" s="1"/>
  <c r="FI111" i="14" s="1"/>
  <c r="FM111" i="14" s="1"/>
  <c r="HH115" i="14"/>
  <c r="HI115" i="14" s="1"/>
  <c r="HJ115" i="14" s="1"/>
  <c r="HK115" i="14" s="1"/>
  <c r="HP115" i="14" s="1"/>
  <c r="HQ115" i="14" s="1"/>
  <c r="HR115" i="14" s="1"/>
  <c r="HS115" i="14" s="1"/>
  <c r="HW115" i="14" s="1"/>
  <c r="ES114" i="14"/>
  <c r="EX114" i="14" s="1"/>
  <c r="EY114" i="14" s="1"/>
  <c r="EZ114" i="14" s="1"/>
  <c r="FA114" i="14" s="1"/>
  <c r="FF114" i="14" s="1"/>
  <c r="FG114" i="14" s="1"/>
  <c r="FH114" i="14" s="1"/>
  <c r="FI114" i="14" s="1"/>
  <c r="FM114" i="14" s="1"/>
  <c r="HE158" i="14"/>
  <c r="GW158" i="14"/>
  <c r="GZ158" i="14" s="1"/>
  <c r="HA158" i="14" s="1"/>
  <c r="HB158" i="14" s="1"/>
  <c r="HC158" i="14" s="1"/>
  <c r="HM158" i="14"/>
  <c r="EU158" i="14"/>
  <c r="EM158" i="14"/>
  <c r="EP158" i="14" s="1"/>
  <c r="EQ158" i="14" s="1"/>
  <c r="ER158" i="14" s="1"/>
  <c r="FC158" i="14"/>
  <c r="EJ158" i="14"/>
  <c r="FC159" i="14"/>
  <c r="HE159" i="14"/>
  <c r="EU159" i="14"/>
  <c r="GW159" i="14"/>
  <c r="GZ159" i="14" s="1"/>
  <c r="HA159" i="14" s="1"/>
  <c r="HB159" i="14" s="1"/>
  <c r="HC159" i="14" s="1"/>
  <c r="HM159" i="14"/>
  <c r="EM159" i="14"/>
  <c r="EP159" i="14" s="1"/>
  <c r="EQ159" i="14" s="1"/>
  <c r="ER159" i="14" s="1"/>
  <c r="EJ159" i="14"/>
  <c r="HH114" i="14"/>
  <c r="HI114" i="14" s="1"/>
  <c r="HJ114" i="14" s="1"/>
  <c r="HK114" i="14" s="1"/>
  <c r="HP114" i="14" s="1"/>
  <c r="HQ114" i="14" s="1"/>
  <c r="HR114" i="14" s="1"/>
  <c r="HS114" i="14" s="1"/>
  <c r="HW114" i="14" s="1"/>
  <c r="HM157" i="14"/>
  <c r="FC157" i="14"/>
  <c r="HE157" i="14"/>
  <c r="EU157" i="14"/>
  <c r="GW157" i="14"/>
  <c r="GZ157" i="14" s="1"/>
  <c r="HA157" i="14" s="1"/>
  <c r="HB157" i="14" s="1"/>
  <c r="HC157" i="14" s="1"/>
  <c r="EM157" i="14"/>
  <c r="EP157" i="14" s="1"/>
  <c r="EQ157" i="14" s="1"/>
  <c r="ER157" i="14" s="1"/>
  <c r="EJ157" i="14"/>
  <c r="ES113" i="14"/>
  <c r="EX113" i="14" s="1"/>
  <c r="EY113" i="14" s="1"/>
  <c r="EZ113" i="14" s="1"/>
  <c r="FA113" i="14" s="1"/>
  <c r="FF113" i="14" s="1"/>
  <c r="FG113" i="14" s="1"/>
  <c r="FH113" i="14" s="1"/>
  <c r="FI113" i="14" s="1"/>
  <c r="FM113" i="14" s="1"/>
  <c r="GW154" i="14"/>
  <c r="GZ154" i="14" s="1"/>
  <c r="HA154" i="14" s="1"/>
  <c r="HB154" i="14" s="1"/>
  <c r="HC154" i="14" s="1"/>
  <c r="EU154" i="14"/>
  <c r="EM154" i="14"/>
  <c r="EP154" i="14" s="1"/>
  <c r="EQ154" i="14" s="1"/>
  <c r="ER154" i="14" s="1"/>
  <c r="HE154" i="14"/>
  <c r="FC154" i="14"/>
  <c r="HM154" i="14"/>
  <c r="EJ154" i="14"/>
  <c r="HH116" i="14"/>
  <c r="HI116" i="14" s="1"/>
  <c r="HJ116" i="14" s="1"/>
  <c r="HK116" i="14" s="1"/>
  <c r="HP116" i="14" s="1"/>
  <c r="HQ116" i="14" s="1"/>
  <c r="HR116" i="14" s="1"/>
  <c r="HS116" i="14" s="1"/>
  <c r="HW116" i="14" s="1"/>
  <c r="ES110" i="14"/>
  <c r="EX110" i="14" s="1"/>
  <c r="EY110" i="14" s="1"/>
  <c r="EZ110" i="14" s="1"/>
  <c r="FA110" i="14" s="1"/>
  <c r="FF110" i="14" s="1"/>
  <c r="FG110" i="14" s="1"/>
  <c r="FH110" i="14" s="1"/>
  <c r="FI110" i="14" s="1"/>
  <c r="FM110" i="14" s="1"/>
  <c r="ES117" i="14"/>
  <c r="EX117" i="14" s="1"/>
  <c r="EY117" i="14" s="1"/>
  <c r="EZ117" i="14" s="1"/>
  <c r="FA117" i="14" s="1"/>
  <c r="FF117" i="14" s="1"/>
  <c r="FG117" i="14" s="1"/>
  <c r="FH117" i="14" s="1"/>
  <c r="FI117" i="14" s="1"/>
  <c r="HH63" i="14"/>
  <c r="HI63" i="14" s="1"/>
  <c r="HJ63" i="14" s="1"/>
  <c r="HK63" i="14" s="1"/>
  <c r="HP63" i="14" s="1"/>
  <c r="HQ63" i="14" s="1"/>
  <c r="HR63" i="14" s="1"/>
  <c r="HS63" i="14" s="1"/>
  <c r="ES63" i="14"/>
  <c r="EX63" i="14" s="1"/>
  <c r="EY63" i="14" s="1"/>
  <c r="EZ63" i="14" s="1"/>
  <c r="FA63" i="14" s="1"/>
  <c r="FF63" i="14" s="1"/>
  <c r="FG63" i="14" s="1"/>
  <c r="FH63" i="14" s="1"/>
  <c r="FI63" i="14" s="1"/>
  <c r="HH68" i="14"/>
  <c r="HI68" i="14" s="1"/>
  <c r="HJ68" i="14" s="1"/>
  <c r="HK68" i="14" s="1"/>
  <c r="HP68" i="14" s="1"/>
  <c r="HQ68" i="14" s="1"/>
  <c r="HR68" i="14" s="1"/>
  <c r="HS68" i="14" s="1"/>
  <c r="HW68" i="14" s="1"/>
  <c r="HH60" i="14"/>
  <c r="HI60" i="14" s="1"/>
  <c r="HJ60" i="14" s="1"/>
  <c r="HK60" i="14" s="1"/>
  <c r="HP60" i="14" s="1"/>
  <c r="HQ60" i="14" s="1"/>
  <c r="HR60" i="14" s="1"/>
  <c r="HS60" i="14" s="1"/>
  <c r="ES62" i="14"/>
  <c r="EX62" i="14" s="1"/>
  <c r="EY62" i="14" s="1"/>
  <c r="EZ62" i="14" s="1"/>
  <c r="FA62" i="14" s="1"/>
  <c r="FF62" i="14" s="1"/>
  <c r="FG62" i="14" s="1"/>
  <c r="FH62" i="14" s="1"/>
  <c r="FI62" i="14" s="1"/>
  <c r="HH62" i="14"/>
  <c r="HI62" i="14" s="1"/>
  <c r="HJ62" i="14" s="1"/>
  <c r="HK62" i="14" s="1"/>
  <c r="HP62" i="14" s="1"/>
  <c r="HQ62" i="14" s="1"/>
  <c r="HR62" i="14" s="1"/>
  <c r="HS62" i="14" s="1"/>
  <c r="ES68" i="14"/>
  <c r="EX68" i="14" s="1"/>
  <c r="EY68" i="14" s="1"/>
  <c r="EZ68" i="14" s="1"/>
  <c r="FA68" i="14" s="1"/>
  <c r="FF68" i="14" s="1"/>
  <c r="FG68" i="14" s="1"/>
  <c r="FH68" i="14" s="1"/>
  <c r="FI68" i="14" s="1"/>
  <c r="FM68" i="14" s="1"/>
  <c r="ES66" i="14"/>
  <c r="EX66" i="14" s="1"/>
  <c r="EY66" i="14" s="1"/>
  <c r="EZ66" i="14" s="1"/>
  <c r="FA66" i="14" s="1"/>
  <c r="FF66" i="14" s="1"/>
  <c r="FG66" i="14" s="1"/>
  <c r="FH66" i="14" s="1"/>
  <c r="FI66" i="14" s="1"/>
  <c r="FM66" i="14" s="1"/>
  <c r="HH65" i="14"/>
  <c r="HI65" i="14" s="1"/>
  <c r="HJ65" i="14" s="1"/>
  <c r="HK65" i="14" s="1"/>
  <c r="HP65" i="14" s="1"/>
  <c r="HQ65" i="14" s="1"/>
  <c r="HR65" i="14" s="1"/>
  <c r="HS65" i="14" s="1"/>
  <c r="HW65" i="14" s="1"/>
  <c r="ES67" i="14"/>
  <c r="EX67" i="14" s="1"/>
  <c r="EY67" i="14" s="1"/>
  <c r="EZ67" i="14" s="1"/>
  <c r="FA67" i="14" s="1"/>
  <c r="FF67" i="14" s="1"/>
  <c r="FG67" i="14" s="1"/>
  <c r="FH67" i="14" s="1"/>
  <c r="FI67" i="14" s="1"/>
  <c r="FM67" i="14" s="1"/>
  <c r="HH66" i="14"/>
  <c r="HI66" i="14" s="1"/>
  <c r="HJ66" i="14" s="1"/>
  <c r="HK66" i="14" s="1"/>
  <c r="HP66" i="14" s="1"/>
  <c r="HQ66" i="14" s="1"/>
  <c r="HR66" i="14" s="1"/>
  <c r="HS66" i="14" s="1"/>
  <c r="HW66" i="14" s="1"/>
  <c r="ES60" i="14"/>
  <c r="EX60" i="14" s="1"/>
  <c r="EY60" i="14" s="1"/>
  <c r="EZ60" i="14" s="1"/>
  <c r="FA60" i="14" s="1"/>
  <c r="FF60" i="14" s="1"/>
  <c r="FG60" i="14" s="1"/>
  <c r="FH60" i="14" s="1"/>
  <c r="FI60" i="14" s="1"/>
  <c r="HH69" i="14"/>
  <c r="HI69" i="14" s="1"/>
  <c r="HJ69" i="14" s="1"/>
  <c r="HK69" i="14" s="1"/>
  <c r="HP69" i="14" s="1"/>
  <c r="HQ69" i="14" s="1"/>
  <c r="HR69" i="14" s="1"/>
  <c r="HS69" i="14" s="1"/>
  <c r="HW69" i="14" s="1"/>
  <c r="ES65" i="14"/>
  <c r="EX65" i="14" s="1"/>
  <c r="EY65" i="14" s="1"/>
  <c r="EZ65" i="14" s="1"/>
  <c r="FA65" i="14" s="1"/>
  <c r="FF65" i="14" s="1"/>
  <c r="FG65" i="14" s="1"/>
  <c r="FH65" i="14" s="1"/>
  <c r="FI65" i="14" s="1"/>
  <c r="FM65" i="14" s="1"/>
  <c r="ES64" i="14"/>
  <c r="EX64" i="14" s="1"/>
  <c r="EY64" i="14" s="1"/>
  <c r="EZ64" i="14" s="1"/>
  <c r="FA64" i="14" s="1"/>
  <c r="FF64" i="14" s="1"/>
  <c r="FG64" i="14" s="1"/>
  <c r="FH64" i="14" s="1"/>
  <c r="FI64" i="14" s="1"/>
  <c r="ES69" i="14"/>
  <c r="EX69" i="14" s="1"/>
  <c r="EY69" i="14" s="1"/>
  <c r="EZ69" i="14" s="1"/>
  <c r="FA69" i="14" s="1"/>
  <c r="FF69" i="14" s="1"/>
  <c r="FG69" i="14" s="1"/>
  <c r="FH69" i="14" s="1"/>
  <c r="FI69" i="14" s="1"/>
  <c r="FM69" i="14" s="1"/>
  <c r="HH67" i="14"/>
  <c r="HI67" i="14" s="1"/>
  <c r="HJ67" i="14" s="1"/>
  <c r="HK67" i="14" s="1"/>
  <c r="HP67" i="14" s="1"/>
  <c r="HQ67" i="14" s="1"/>
  <c r="HR67" i="14" s="1"/>
  <c r="HS67" i="14" s="1"/>
  <c r="HW67" i="14" s="1"/>
  <c r="HH64" i="14"/>
  <c r="HI64" i="14" s="1"/>
  <c r="HJ64" i="14" s="1"/>
  <c r="HK64" i="14" s="1"/>
  <c r="HP64" i="14" s="1"/>
  <c r="HQ64" i="14" s="1"/>
  <c r="HR64" i="14" s="1"/>
  <c r="HS64" i="14" s="1"/>
  <c r="FY87" i="14" l="1"/>
  <c r="FX88" i="14"/>
  <c r="GG112" i="14"/>
  <c r="GG110" i="14"/>
  <c r="GG78" i="14"/>
  <c r="GG77" i="14"/>
  <c r="GG79" i="14"/>
  <c r="GG76" i="14"/>
  <c r="FY104" i="14"/>
  <c r="FY100" i="14"/>
  <c r="FY86" i="14"/>
  <c r="FX87" i="14"/>
  <c r="FX86" i="14"/>
  <c r="GG83" i="14"/>
  <c r="GG82" i="14"/>
  <c r="FY74" i="14"/>
  <c r="GG73" i="14"/>
  <c r="GG75" i="14"/>
  <c r="GG72" i="14"/>
  <c r="GG74" i="14"/>
  <c r="GG84" i="14"/>
  <c r="GG71" i="14"/>
  <c r="FY91" i="14"/>
  <c r="FY108" i="14"/>
  <c r="FY103" i="14"/>
  <c r="FY107" i="14"/>
  <c r="FY98" i="14"/>
  <c r="FY99" i="14"/>
  <c r="FY95" i="14"/>
  <c r="FY94" i="14"/>
  <c r="FY92" i="14"/>
  <c r="FY93" i="14"/>
  <c r="FY106" i="14"/>
  <c r="FY101" i="14"/>
  <c r="FY90" i="14"/>
  <c r="FY97" i="14"/>
  <c r="FY89" i="14"/>
  <c r="FY88" i="14"/>
  <c r="FY109" i="14"/>
  <c r="FY85" i="14"/>
  <c r="FY102" i="14"/>
  <c r="FY105" i="14"/>
  <c r="GI90" i="14"/>
  <c r="GI91" i="14"/>
  <c r="GI103" i="14"/>
  <c r="HY132" i="14"/>
  <c r="GG87" i="14"/>
  <c r="GG85" i="14"/>
  <c r="GG89" i="14"/>
  <c r="GG86" i="14"/>
  <c r="GG88" i="14"/>
  <c r="HE155" i="14"/>
  <c r="HM155" i="14"/>
  <c r="EM155" i="14"/>
  <c r="EP155" i="14" s="1"/>
  <c r="EQ155" i="14" s="1"/>
  <c r="ER155" i="14" s="1"/>
  <c r="GW155" i="14"/>
  <c r="GZ155" i="14" s="1"/>
  <c r="HA155" i="14" s="1"/>
  <c r="HB155" i="14" s="1"/>
  <c r="HC155" i="14" s="1"/>
  <c r="EU155" i="14"/>
  <c r="EJ155" i="14"/>
  <c r="EJ149" i="14"/>
  <c r="GG116" i="14"/>
  <c r="EU149" i="14"/>
  <c r="GG113" i="14"/>
  <c r="FO117" i="14"/>
  <c r="FM117" i="14"/>
  <c r="EM149" i="14"/>
  <c r="EP149" i="14" s="1"/>
  <c r="EQ149" i="14" s="1"/>
  <c r="ER149" i="14" s="1"/>
  <c r="GG114" i="14"/>
  <c r="GG118" i="14"/>
  <c r="GG117" i="14"/>
  <c r="FC149" i="14"/>
  <c r="FY65" i="14"/>
  <c r="FY113" i="14"/>
  <c r="FY114" i="14"/>
  <c r="FY115" i="14"/>
  <c r="FY110" i="14"/>
  <c r="FY116" i="14"/>
  <c r="FY111" i="14"/>
  <c r="FY112" i="14"/>
  <c r="FY117" i="14"/>
  <c r="GG115" i="14"/>
  <c r="FY119" i="14"/>
  <c r="GW149" i="14"/>
  <c r="GZ149" i="14" s="1"/>
  <c r="HA149" i="14" s="1"/>
  <c r="HB149" i="14" s="1"/>
  <c r="HC149" i="14" s="1"/>
  <c r="HH149" i="14" s="1"/>
  <c r="HI149" i="14" s="1"/>
  <c r="HJ149" i="14" s="1"/>
  <c r="HK149" i="14" s="1"/>
  <c r="HM149" i="14"/>
  <c r="GG111" i="14"/>
  <c r="FY118" i="14"/>
  <c r="GG119" i="14"/>
  <c r="FX61" i="14"/>
  <c r="FX68" i="14"/>
  <c r="FX76" i="14"/>
  <c r="FX75" i="14"/>
  <c r="FW147" i="14"/>
  <c r="FV147" i="14"/>
  <c r="FX81" i="14"/>
  <c r="FX70" i="14"/>
  <c r="FZ146" i="14"/>
  <c r="FX84" i="14"/>
  <c r="FX82" i="14"/>
  <c r="FX64" i="14"/>
  <c r="FX73" i="14"/>
  <c r="FW140" i="14"/>
  <c r="GA105" i="14" s="1"/>
  <c r="FV140" i="14"/>
  <c r="FW143" i="14"/>
  <c r="FV143" i="14"/>
  <c r="FZ143" i="14" s="1"/>
  <c r="GH148" i="14"/>
  <c r="FX63" i="14"/>
  <c r="FX65" i="14"/>
  <c r="FX79" i="14"/>
  <c r="FZ144" i="14"/>
  <c r="GH145" i="14"/>
  <c r="HW109" i="14"/>
  <c r="FX62" i="14"/>
  <c r="FX60" i="14"/>
  <c r="FX77" i="14"/>
  <c r="FX80" i="14"/>
  <c r="FX67" i="14"/>
  <c r="FX83" i="14"/>
  <c r="FX72" i="14"/>
  <c r="FX71" i="14"/>
  <c r="FX66" i="14"/>
  <c r="GH140" i="14"/>
  <c r="FX69" i="14"/>
  <c r="FX74" i="14"/>
  <c r="FX78" i="14"/>
  <c r="FW148" i="14"/>
  <c r="FV148" i="14"/>
  <c r="GH143" i="14"/>
  <c r="FO130" i="14"/>
  <c r="FO133" i="14"/>
  <c r="HM146" i="14"/>
  <c r="HE146" i="14"/>
  <c r="EU146" i="14"/>
  <c r="HY136" i="14"/>
  <c r="HX136" i="14"/>
  <c r="HY135" i="14"/>
  <c r="HX135" i="14"/>
  <c r="HY138" i="14"/>
  <c r="HX138" i="14"/>
  <c r="GH139" i="14"/>
  <c r="FO135" i="14"/>
  <c r="FN135" i="14"/>
  <c r="FO138" i="14"/>
  <c r="FN138" i="14"/>
  <c r="FO136" i="14"/>
  <c r="FN136" i="14"/>
  <c r="GG80" i="14"/>
  <c r="HY133" i="14"/>
  <c r="GG81" i="14"/>
  <c r="GD126" i="14"/>
  <c r="GH82" i="14" s="1"/>
  <c r="GE126" i="14"/>
  <c r="GI109" i="14" s="1"/>
  <c r="HW92" i="14"/>
  <c r="HX92" i="14"/>
  <c r="FM94" i="14"/>
  <c r="FN94" i="14"/>
  <c r="FM92" i="14"/>
  <c r="FN92" i="14"/>
  <c r="FM93" i="14"/>
  <c r="FN93" i="14"/>
  <c r="HW90" i="14"/>
  <c r="HX90" i="14"/>
  <c r="HW94" i="14"/>
  <c r="HX94" i="14"/>
  <c r="FM90" i="14"/>
  <c r="FN90" i="14"/>
  <c r="HW96" i="14"/>
  <c r="HX96" i="14"/>
  <c r="FM96" i="14"/>
  <c r="FN96" i="14"/>
  <c r="FM102" i="14"/>
  <c r="FN102" i="14"/>
  <c r="FM104" i="14"/>
  <c r="FN104" i="14"/>
  <c r="HW103" i="14"/>
  <c r="HX103" i="14"/>
  <c r="FM103" i="14"/>
  <c r="FN103" i="14"/>
  <c r="HW102" i="14"/>
  <c r="HX102" i="14"/>
  <c r="HW104" i="14"/>
  <c r="HX104" i="14"/>
  <c r="GF85" i="14"/>
  <c r="GF75" i="14"/>
  <c r="GF64" i="14"/>
  <c r="GL64" i="14" s="1"/>
  <c r="AL50" i="15" s="1"/>
  <c r="GF63" i="14"/>
  <c r="GL63" i="14" s="1"/>
  <c r="GF80" i="14"/>
  <c r="GF67" i="14"/>
  <c r="GL67" i="14" s="1"/>
  <c r="GF65" i="14"/>
  <c r="GL65" i="14" s="1"/>
  <c r="GF74" i="14"/>
  <c r="GF77" i="14"/>
  <c r="GF66" i="14"/>
  <c r="GL66" i="14" s="1"/>
  <c r="GF73" i="14"/>
  <c r="GF83" i="14"/>
  <c r="GF79" i="14"/>
  <c r="GF61" i="14"/>
  <c r="GL61" i="14" s="1"/>
  <c r="GF71" i="14"/>
  <c r="GF72" i="14"/>
  <c r="GF68" i="14"/>
  <c r="GL68" i="14" s="1"/>
  <c r="GF82" i="14"/>
  <c r="GF78" i="14"/>
  <c r="GL78" i="14" s="1"/>
  <c r="GF84" i="14"/>
  <c r="GF60" i="14"/>
  <c r="GL60" i="14" s="1"/>
  <c r="GF81" i="14"/>
  <c r="GF70" i="14"/>
  <c r="GL70" i="14" s="1"/>
  <c r="GF69" i="14"/>
  <c r="GL69" i="14" s="1"/>
  <c r="GF76" i="14"/>
  <c r="GF62" i="14"/>
  <c r="GL62" i="14" s="1"/>
  <c r="GF88" i="14"/>
  <c r="FX85" i="14"/>
  <c r="GF86" i="14"/>
  <c r="GF87" i="14"/>
  <c r="FX89" i="14"/>
  <c r="FY72" i="14"/>
  <c r="FY66" i="14"/>
  <c r="FY67" i="14"/>
  <c r="FY68" i="14"/>
  <c r="FY69" i="14"/>
  <c r="FL70" i="14"/>
  <c r="FM70" i="14"/>
  <c r="FY73" i="14"/>
  <c r="FY70" i="14"/>
  <c r="FY71" i="14"/>
  <c r="HV74" i="14"/>
  <c r="HW74" i="14"/>
  <c r="HV71" i="14"/>
  <c r="HW71" i="14"/>
  <c r="HV73" i="14"/>
  <c r="HW73" i="14"/>
  <c r="FL74" i="14"/>
  <c r="FM74" i="14"/>
  <c r="HV70" i="14"/>
  <c r="HW70" i="14"/>
  <c r="FL71" i="14"/>
  <c r="FM71" i="14"/>
  <c r="FL73" i="14"/>
  <c r="FM73" i="14"/>
  <c r="FY82" i="14"/>
  <c r="FY84" i="14"/>
  <c r="FY78" i="14"/>
  <c r="HW107" i="14"/>
  <c r="HX107" i="14"/>
  <c r="HW105" i="14"/>
  <c r="HX105" i="14"/>
  <c r="FY80" i="14"/>
  <c r="FM107" i="14"/>
  <c r="FN107" i="14"/>
  <c r="FY81" i="14"/>
  <c r="HW106" i="14"/>
  <c r="HX106" i="14"/>
  <c r="FM106" i="14"/>
  <c r="FN106" i="14"/>
  <c r="FY75" i="14"/>
  <c r="FY96" i="14"/>
  <c r="FY76" i="14"/>
  <c r="FM105" i="14"/>
  <c r="FN105" i="14"/>
  <c r="FM109" i="14"/>
  <c r="FN109" i="14"/>
  <c r="GH107" i="14"/>
  <c r="FL75" i="14"/>
  <c r="FM75" i="14"/>
  <c r="HV82" i="14"/>
  <c r="HW82" i="14"/>
  <c r="FL79" i="14"/>
  <c r="FM79" i="14"/>
  <c r="HV79" i="14"/>
  <c r="HW79" i="14"/>
  <c r="HV84" i="14"/>
  <c r="HW84" i="14"/>
  <c r="FY83" i="14"/>
  <c r="HV78" i="14"/>
  <c r="HW78" i="14"/>
  <c r="FY77" i="14"/>
  <c r="HV75" i="14"/>
  <c r="HW75" i="14"/>
  <c r="FL84" i="14"/>
  <c r="FM84" i="14"/>
  <c r="FL82" i="14"/>
  <c r="FM82" i="14"/>
  <c r="FL78" i="14"/>
  <c r="FM78" i="14"/>
  <c r="FY79" i="14"/>
  <c r="EU156" i="14"/>
  <c r="GW156" i="14"/>
  <c r="GZ156" i="14" s="1"/>
  <c r="HA156" i="14" s="1"/>
  <c r="HB156" i="14" s="1"/>
  <c r="HC156" i="14" s="1"/>
  <c r="EM156" i="14"/>
  <c r="EP156" i="14" s="1"/>
  <c r="EQ156" i="14" s="1"/>
  <c r="ER156" i="14" s="1"/>
  <c r="ES156" i="14" s="1"/>
  <c r="HM156" i="14"/>
  <c r="HE156" i="14"/>
  <c r="FC156" i="14"/>
  <c r="EM145" i="14"/>
  <c r="EP145" i="14" s="1"/>
  <c r="EQ145" i="14" s="1"/>
  <c r="ER145" i="14" s="1"/>
  <c r="GW153" i="14"/>
  <c r="GZ153" i="14" s="1"/>
  <c r="HA153" i="14" s="1"/>
  <c r="HB153" i="14" s="1"/>
  <c r="HC153" i="14" s="1"/>
  <c r="CW52" i="38"/>
  <c r="Z53" i="40"/>
  <c r="CW102" i="38"/>
  <c r="Z103" i="40"/>
  <c r="CW86" i="38"/>
  <c r="Z87" i="40"/>
  <c r="CW116" i="38"/>
  <c r="Z117" i="40"/>
  <c r="CW56" i="38"/>
  <c r="Z57" i="40"/>
  <c r="CW83" i="38"/>
  <c r="Z84" i="40"/>
  <c r="CW93" i="38"/>
  <c r="Z94" i="40"/>
  <c r="CW104" i="38"/>
  <c r="Z105" i="40"/>
  <c r="CW73" i="38"/>
  <c r="Z74" i="40"/>
  <c r="CW114" i="38"/>
  <c r="Z115" i="40"/>
  <c r="CW123" i="38"/>
  <c r="Z124" i="40"/>
  <c r="CW120" i="38"/>
  <c r="Z121" i="40"/>
  <c r="HE153" i="14"/>
  <c r="FC153" i="14"/>
  <c r="EU153" i="14"/>
  <c r="EM153" i="14"/>
  <c r="EP153" i="14" s="1"/>
  <c r="EQ153" i="14" s="1"/>
  <c r="ER153" i="14" s="1"/>
  <c r="EJ153" i="14"/>
  <c r="EJ120" i="14"/>
  <c r="HH80" i="14"/>
  <c r="HI80" i="14" s="1"/>
  <c r="HJ80" i="14" s="1"/>
  <c r="HK80" i="14" s="1"/>
  <c r="HP80" i="14" s="1"/>
  <c r="HQ80" i="14" s="1"/>
  <c r="HR80" i="14" s="1"/>
  <c r="HS80" i="14" s="1"/>
  <c r="HX80" i="14" s="1"/>
  <c r="GW146" i="14"/>
  <c r="GZ146" i="14" s="1"/>
  <c r="HA146" i="14" s="1"/>
  <c r="HB146" i="14" s="1"/>
  <c r="HC146" i="14" s="1"/>
  <c r="GW145" i="14"/>
  <c r="GZ145" i="14" s="1"/>
  <c r="HA145" i="14" s="1"/>
  <c r="HB145" i="14" s="1"/>
  <c r="HC145" i="14" s="1"/>
  <c r="EM146" i="14"/>
  <c r="EP146" i="14" s="1"/>
  <c r="EQ146" i="14" s="1"/>
  <c r="ER146" i="14" s="1"/>
  <c r="EJ146" i="14"/>
  <c r="EJ160" i="14"/>
  <c r="HM124" i="14"/>
  <c r="EJ150" i="14"/>
  <c r="EJ152" i="14"/>
  <c r="EU152" i="14"/>
  <c r="FC150" i="14"/>
  <c r="EM160" i="14"/>
  <c r="EP160" i="14" s="1"/>
  <c r="EQ160" i="14" s="1"/>
  <c r="ER160" i="14" s="1"/>
  <c r="EJ151" i="14"/>
  <c r="GW160" i="14"/>
  <c r="GZ160" i="14" s="1"/>
  <c r="HA160" i="14" s="1"/>
  <c r="HB160" i="14" s="1"/>
  <c r="HC160" i="14" s="1"/>
  <c r="EU151" i="14"/>
  <c r="EM151" i="14"/>
  <c r="EP151" i="14" s="1"/>
  <c r="EQ151" i="14" s="1"/>
  <c r="ER151" i="14" s="1"/>
  <c r="GW151" i="14"/>
  <c r="GZ151" i="14" s="1"/>
  <c r="HA151" i="14" s="1"/>
  <c r="HB151" i="14" s="1"/>
  <c r="HC151" i="14" s="1"/>
  <c r="HE151" i="14"/>
  <c r="CI76" i="38"/>
  <c r="CJ76" i="38" s="1"/>
  <c r="CK76" i="38" s="1"/>
  <c r="CL76" i="38" s="1"/>
  <c r="CE131" i="38"/>
  <c r="CF131" i="38" s="1"/>
  <c r="CG131" i="38" s="1"/>
  <c r="CH131" i="38" s="1"/>
  <c r="CE137" i="38"/>
  <c r="CF137" i="38" s="1"/>
  <c r="CG137" i="38" s="1"/>
  <c r="CH137" i="38" s="1"/>
  <c r="CA105" i="38"/>
  <c r="CB105" i="38" s="1"/>
  <c r="CC105" i="38" s="1"/>
  <c r="CD105" i="38" s="1"/>
  <c r="CE105" i="38" s="1"/>
  <c r="CF105" i="38" s="1"/>
  <c r="CG105" i="38" s="1"/>
  <c r="CH105" i="38" s="1"/>
  <c r="CQ55" i="38"/>
  <c r="CR55" i="38" s="1"/>
  <c r="CS55" i="38" s="1"/>
  <c r="CT55" i="38" s="1"/>
  <c r="CM72" i="38"/>
  <c r="CN72" i="38" s="1"/>
  <c r="CO72" i="38" s="1"/>
  <c r="CP72" i="38" s="1"/>
  <c r="CQ72" i="38" s="1"/>
  <c r="CR72" i="38" s="1"/>
  <c r="CS72" i="38" s="1"/>
  <c r="CT72" i="38" s="1"/>
  <c r="CU72" i="38" s="1"/>
  <c r="CV72" i="38" s="1"/>
  <c r="CE124" i="38"/>
  <c r="CF124" i="38" s="1"/>
  <c r="CG124" i="38" s="1"/>
  <c r="CH124" i="38" s="1"/>
  <c r="CI124" i="38" s="1"/>
  <c r="CJ124" i="38" s="1"/>
  <c r="CK124" i="38" s="1"/>
  <c r="CL124" i="38" s="1"/>
  <c r="CE69" i="38"/>
  <c r="CF69" i="38" s="1"/>
  <c r="CG69" i="38" s="1"/>
  <c r="CH69" i="38" s="1"/>
  <c r="CQ96" i="38"/>
  <c r="CR96" i="38" s="1"/>
  <c r="CS96" i="38" s="1"/>
  <c r="CT96" i="38" s="1"/>
  <c r="CM51" i="38"/>
  <c r="CN51" i="38" s="1"/>
  <c r="CO51" i="38" s="1"/>
  <c r="CP51" i="38" s="1"/>
  <c r="CQ51" i="38" s="1"/>
  <c r="CR51" i="38" s="1"/>
  <c r="CS51" i="38" s="1"/>
  <c r="CT51" i="38" s="1"/>
  <c r="CU51" i="38" s="1"/>
  <c r="CV51" i="38" s="1"/>
  <c r="CQ58" i="38"/>
  <c r="CR58" i="38" s="1"/>
  <c r="CS58" i="38" s="1"/>
  <c r="CT58" i="38" s="1"/>
  <c r="CA129" i="38"/>
  <c r="CB129" i="38" s="1"/>
  <c r="CC129" i="38" s="1"/>
  <c r="CD129" i="38" s="1"/>
  <c r="CA141" i="38"/>
  <c r="CB141" i="38" s="1"/>
  <c r="CC141" i="38" s="1"/>
  <c r="CD141" i="38" s="1"/>
  <c r="CE141" i="38" s="1"/>
  <c r="CF141" i="38" s="1"/>
  <c r="CG141" i="38" s="1"/>
  <c r="CH141" i="38" s="1"/>
  <c r="CI141" i="38" s="1"/>
  <c r="CJ141" i="38" s="1"/>
  <c r="CK141" i="38" s="1"/>
  <c r="CL141" i="38" s="1"/>
  <c r="CM141" i="38" s="1"/>
  <c r="CN141" i="38" s="1"/>
  <c r="CO141" i="38" s="1"/>
  <c r="CP141" i="38" s="1"/>
  <c r="CQ141" i="38" s="1"/>
  <c r="CR141" i="38" s="1"/>
  <c r="CS141" i="38" s="1"/>
  <c r="CT141" i="38" s="1"/>
  <c r="CU141" i="38" s="1"/>
  <c r="CV141" i="38" s="1"/>
  <c r="CQ95" i="38"/>
  <c r="CR95" i="38" s="1"/>
  <c r="CS95" i="38" s="1"/>
  <c r="CT95" i="38" s="1"/>
  <c r="CU95" i="38" s="1"/>
  <c r="CV95" i="38" s="1"/>
  <c r="CM85" i="38"/>
  <c r="CN85" i="38" s="1"/>
  <c r="CO85" i="38" s="1"/>
  <c r="CP85" i="38" s="1"/>
  <c r="CQ79" i="38"/>
  <c r="CR79" i="38" s="1"/>
  <c r="CS79" i="38" s="1"/>
  <c r="CT79" i="38" s="1"/>
  <c r="CM84" i="38"/>
  <c r="CN84" i="38" s="1"/>
  <c r="CO84" i="38" s="1"/>
  <c r="CP84" i="38" s="1"/>
  <c r="CQ84" i="38" s="1"/>
  <c r="CR84" i="38" s="1"/>
  <c r="CS84" i="38" s="1"/>
  <c r="CT84" i="38" s="1"/>
  <c r="CU84" i="38" s="1"/>
  <c r="CV84" i="38" s="1"/>
  <c r="CI71" i="38"/>
  <c r="CJ71" i="38" s="1"/>
  <c r="CK71" i="38" s="1"/>
  <c r="CL71" i="38" s="1"/>
  <c r="CU53" i="38"/>
  <c r="CV53" i="38" s="1"/>
  <c r="CU87" i="38"/>
  <c r="CV87" i="38" s="1"/>
  <c r="CM110" i="38"/>
  <c r="CN110" i="38" s="1"/>
  <c r="CO110" i="38" s="1"/>
  <c r="CP110" i="38" s="1"/>
  <c r="CI64" i="38"/>
  <c r="CJ64" i="38" s="1"/>
  <c r="CK64" i="38" s="1"/>
  <c r="CL64" i="38" s="1"/>
  <c r="CU74" i="38"/>
  <c r="CV74" i="38" s="1"/>
  <c r="CA107" i="38"/>
  <c r="CB107" i="38" s="1"/>
  <c r="CC107" i="38" s="1"/>
  <c r="CD107" i="38" s="1"/>
  <c r="CE107" i="38" s="1"/>
  <c r="CF107" i="38" s="1"/>
  <c r="CG107" i="38" s="1"/>
  <c r="CH107" i="38" s="1"/>
  <c r="CU81" i="38"/>
  <c r="CV81" i="38" s="1"/>
  <c r="CU138" i="38"/>
  <c r="CV138" i="38" s="1"/>
  <c r="CI68" i="38"/>
  <c r="CJ68" i="38" s="1"/>
  <c r="CK68" i="38" s="1"/>
  <c r="CL68" i="38" s="1"/>
  <c r="CM68" i="38" s="1"/>
  <c r="CN68" i="38" s="1"/>
  <c r="CO68" i="38" s="1"/>
  <c r="CP68" i="38" s="1"/>
  <c r="CE111" i="38"/>
  <c r="CF111" i="38" s="1"/>
  <c r="CG111" i="38" s="1"/>
  <c r="CH111" i="38" s="1"/>
  <c r="CI111" i="38" s="1"/>
  <c r="CJ111" i="38" s="1"/>
  <c r="CK111" i="38" s="1"/>
  <c r="CL111" i="38" s="1"/>
  <c r="CM111" i="38" s="1"/>
  <c r="CN111" i="38" s="1"/>
  <c r="CO111" i="38" s="1"/>
  <c r="CP111" i="38" s="1"/>
  <c r="CQ111" i="38" s="1"/>
  <c r="CR111" i="38" s="1"/>
  <c r="CS111" i="38" s="1"/>
  <c r="CT111" i="38" s="1"/>
  <c r="CM126" i="38"/>
  <c r="CN126" i="38" s="1"/>
  <c r="CO126" i="38" s="1"/>
  <c r="CP126" i="38" s="1"/>
  <c r="CU115" i="38"/>
  <c r="CV115" i="38" s="1"/>
  <c r="CU132" i="38"/>
  <c r="CV132" i="38" s="1"/>
  <c r="CQ103" i="38"/>
  <c r="CR103" i="38" s="1"/>
  <c r="CS103" i="38" s="1"/>
  <c r="CT103" i="38" s="1"/>
  <c r="CU140" i="38"/>
  <c r="CV140" i="38" s="1"/>
  <c r="CU122" i="38"/>
  <c r="CV122" i="38" s="1"/>
  <c r="CE125" i="38"/>
  <c r="CF125" i="38" s="1"/>
  <c r="CG125" i="38" s="1"/>
  <c r="CH125" i="38" s="1"/>
  <c r="CI125" i="38" s="1"/>
  <c r="CJ125" i="38" s="1"/>
  <c r="CK125" i="38" s="1"/>
  <c r="CL125" i="38" s="1"/>
  <c r="CM125" i="38" s="1"/>
  <c r="CN125" i="38" s="1"/>
  <c r="CO125" i="38" s="1"/>
  <c r="CP125" i="38" s="1"/>
  <c r="CQ125" i="38" s="1"/>
  <c r="CR125" i="38" s="1"/>
  <c r="CS125" i="38" s="1"/>
  <c r="CT125" i="38" s="1"/>
  <c r="CU125" i="38" s="1"/>
  <c r="CV125" i="38" s="1"/>
  <c r="CU75" i="38"/>
  <c r="CV75" i="38" s="1"/>
  <c r="CA135" i="38"/>
  <c r="CB135" i="38" s="1"/>
  <c r="CC135" i="38" s="1"/>
  <c r="CD135" i="38" s="1"/>
  <c r="CQ142" i="38"/>
  <c r="CR142" i="38" s="1"/>
  <c r="CS142" i="38" s="1"/>
  <c r="CT142" i="38" s="1"/>
  <c r="CU142" i="38" s="1"/>
  <c r="CV142" i="38" s="1"/>
  <c r="CA127" i="38"/>
  <c r="CB127" i="38" s="1"/>
  <c r="CC127" i="38" s="1"/>
  <c r="CD127" i="38" s="1"/>
  <c r="CI99" i="38"/>
  <c r="CJ99" i="38" s="1"/>
  <c r="CK99" i="38" s="1"/>
  <c r="CL99" i="38" s="1"/>
  <c r="CM99" i="38" s="1"/>
  <c r="CN99" i="38" s="1"/>
  <c r="CO99" i="38" s="1"/>
  <c r="CP99" i="38" s="1"/>
  <c r="CQ99" i="38" s="1"/>
  <c r="CR99" i="38" s="1"/>
  <c r="CS99" i="38" s="1"/>
  <c r="CT99" i="38" s="1"/>
  <c r="CU99" i="38" s="1"/>
  <c r="CV99" i="38" s="1"/>
  <c r="CA136" i="38"/>
  <c r="CB136" i="38" s="1"/>
  <c r="CC136" i="38" s="1"/>
  <c r="CD136" i="38" s="1"/>
  <c r="CQ77" i="38"/>
  <c r="CR77" i="38" s="1"/>
  <c r="CS77" i="38" s="1"/>
  <c r="CT77" i="38" s="1"/>
  <c r="CU77" i="38" s="1"/>
  <c r="CV77" i="38" s="1"/>
  <c r="CM92" i="38"/>
  <c r="CN92" i="38" s="1"/>
  <c r="CO92" i="38" s="1"/>
  <c r="CP92" i="38" s="1"/>
  <c r="CU78" i="38"/>
  <c r="CV78" i="38" s="1"/>
  <c r="CM144" i="38"/>
  <c r="CN144" i="38" s="1"/>
  <c r="CO144" i="38" s="1"/>
  <c r="CP144" i="38" s="1"/>
  <c r="CQ144" i="38" s="1"/>
  <c r="CR144" i="38" s="1"/>
  <c r="CS144" i="38" s="1"/>
  <c r="CT144" i="38" s="1"/>
  <c r="CI91" i="38"/>
  <c r="CJ91" i="38" s="1"/>
  <c r="CK91" i="38" s="1"/>
  <c r="CL91" i="38" s="1"/>
  <c r="CM91" i="38" s="1"/>
  <c r="CN91" i="38" s="1"/>
  <c r="CO91" i="38" s="1"/>
  <c r="CP91" i="38" s="1"/>
  <c r="CQ91" i="38" s="1"/>
  <c r="CR91" i="38" s="1"/>
  <c r="CS91" i="38" s="1"/>
  <c r="CT91" i="38" s="1"/>
  <c r="CU91" i="38" s="1"/>
  <c r="CV91" i="38" s="1"/>
  <c r="CI117" i="38"/>
  <c r="CJ117" i="38" s="1"/>
  <c r="CK117" i="38" s="1"/>
  <c r="CL117" i="38" s="1"/>
  <c r="CM117" i="38" s="1"/>
  <c r="CN117" i="38" s="1"/>
  <c r="CO117" i="38" s="1"/>
  <c r="CP117" i="38" s="1"/>
  <c r="CQ117" i="38" s="1"/>
  <c r="CR117" i="38" s="1"/>
  <c r="CS117" i="38" s="1"/>
  <c r="CT117" i="38" s="1"/>
  <c r="CU117" i="38" s="1"/>
  <c r="CV117" i="38" s="1"/>
  <c r="CI67" i="38"/>
  <c r="CJ67" i="38" s="1"/>
  <c r="CK67" i="38" s="1"/>
  <c r="CL67" i="38" s="1"/>
  <c r="CM46" i="38"/>
  <c r="CN46" i="38" s="1"/>
  <c r="CO46" i="38" s="1"/>
  <c r="CP46" i="38" s="1"/>
  <c r="CQ46" i="38" s="1"/>
  <c r="CR46" i="38" s="1"/>
  <c r="CS46" i="38" s="1"/>
  <c r="CT46" i="38" s="1"/>
  <c r="CQ59" i="38"/>
  <c r="CR59" i="38" s="1"/>
  <c r="CS59" i="38" s="1"/>
  <c r="CT59" i="38" s="1"/>
  <c r="CI143" i="38"/>
  <c r="CJ143" i="38" s="1"/>
  <c r="CK143" i="38" s="1"/>
  <c r="CL143" i="38" s="1"/>
  <c r="CM143" i="38" s="1"/>
  <c r="CN143" i="38" s="1"/>
  <c r="CO143" i="38" s="1"/>
  <c r="CP143" i="38" s="1"/>
  <c r="CQ143" i="38" s="1"/>
  <c r="CR143" i="38" s="1"/>
  <c r="CS143" i="38" s="1"/>
  <c r="CT143" i="38" s="1"/>
  <c r="CQ48" i="38"/>
  <c r="CR48" i="38" s="1"/>
  <c r="CS48" i="38" s="1"/>
  <c r="CT48" i="38" s="1"/>
  <c r="CU48" i="38" s="1"/>
  <c r="CV48" i="38" s="1"/>
  <c r="CM112" i="38"/>
  <c r="CN112" i="38" s="1"/>
  <c r="CO112" i="38" s="1"/>
  <c r="CP112" i="38" s="1"/>
  <c r="CM70" i="38"/>
  <c r="CN70" i="38" s="1"/>
  <c r="CO70" i="38" s="1"/>
  <c r="CP70" i="38" s="1"/>
  <c r="CQ90" i="38"/>
  <c r="CR90" i="38" s="1"/>
  <c r="CS90" i="38" s="1"/>
  <c r="CT90" i="38" s="1"/>
  <c r="CU90" i="38" s="1"/>
  <c r="CV90" i="38" s="1"/>
  <c r="CQ60" i="38"/>
  <c r="CR60" i="38" s="1"/>
  <c r="CS60" i="38" s="1"/>
  <c r="CT60" i="38" s="1"/>
  <c r="CU60" i="38" s="1"/>
  <c r="CV60" i="38" s="1"/>
  <c r="CQ49" i="38"/>
  <c r="CR49" i="38" s="1"/>
  <c r="CS49" i="38" s="1"/>
  <c r="CT49" i="38" s="1"/>
  <c r="CE106" i="38"/>
  <c r="CF106" i="38" s="1"/>
  <c r="CG106" i="38" s="1"/>
  <c r="CH106" i="38" s="1"/>
  <c r="CI106" i="38" s="1"/>
  <c r="CJ106" i="38" s="1"/>
  <c r="CK106" i="38" s="1"/>
  <c r="CL106" i="38" s="1"/>
  <c r="CM106" i="38" s="1"/>
  <c r="CN106" i="38" s="1"/>
  <c r="CO106" i="38" s="1"/>
  <c r="CP106" i="38" s="1"/>
  <c r="CQ106" i="38" s="1"/>
  <c r="CR106" i="38" s="1"/>
  <c r="CS106" i="38" s="1"/>
  <c r="CT106" i="38" s="1"/>
  <c r="CE130" i="38"/>
  <c r="CF130" i="38" s="1"/>
  <c r="CG130" i="38" s="1"/>
  <c r="CH130" i="38" s="1"/>
  <c r="CI130" i="38" s="1"/>
  <c r="CJ130" i="38" s="1"/>
  <c r="CK130" i="38" s="1"/>
  <c r="CL130" i="38" s="1"/>
  <c r="CM130" i="38" s="1"/>
  <c r="CN130" i="38" s="1"/>
  <c r="CO130" i="38" s="1"/>
  <c r="CP130" i="38" s="1"/>
  <c r="CQ130" i="38" s="1"/>
  <c r="CR130" i="38" s="1"/>
  <c r="CS130" i="38" s="1"/>
  <c r="CT130" i="38" s="1"/>
  <c r="CM65" i="38"/>
  <c r="CN65" i="38" s="1"/>
  <c r="CO65" i="38" s="1"/>
  <c r="CP65" i="38" s="1"/>
  <c r="CM62" i="38"/>
  <c r="CN62" i="38" s="1"/>
  <c r="CO62" i="38" s="1"/>
  <c r="CP62" i="38" s="1"/>
  <c r="CQ57" i="38"/>
  <c r="CR57" i="38" s="1"/>
  <c r="CS57" i="38" s="1"/>
  <c r="CT57" i="38" s="1"/>
  <c r="CU89" i="38"/>
  <c r="CV89" i="38" s="1"/>
  <c r="CQ45" i="38"/>
  <c r="CR45" i="38" s="1"/>
  <c r="CS45" i="38" s="1"/>
  <c r="CT45" i="38" s="1"/>
  <c r="CE108" i="38"/>
  <c r="CF108" i="38" s="1"/>
  <c r="CG108" i="38" s="1"/>
  <c r="CH108" i="38" s="1"/>
  <c r="CI108" i="38" s="1"/>
  <c r="CJ108" i="38" s="1"/>
  <c r="CK108" i="38" s="1"/>
  <c r="CL108" i="38" s="1"/>
  <c r="CI66" i="38"/>
  <c r="CJ66" i="38" s="1"/>
  <c r="CK66" i="38" s="1"/>
  <c r="CL66" i="38" s="1"/>
  <c r="CM66" i="38" s="1"/>
  <c r="CN66" i="38" s="1"/>
  <c r="CO66" i="38" s="1"/>
  <c r="CP66" i="38" s="1"/>
  <c r="CA113" i="38"/>
  <c r="CB113" i="38" s="1"/>
  <c r="CC113" i="38" s="1"/>
  <c r="CD113" i="38" s="1"/>
  <c r="CE134" i="38"/>
  <c r="CF134" i="38" s="1"/>
  <c r="CG134" i="38" s="1"/>
  <c r="CH134" i="38" s="1"/>
  <c r="CM97" i="38"/>
  <c r="CN97" i="38" s="1"/>
  <c r="CO97" i="38" s="1"/>
  <c r="CP97" i="38" s="1"/>
  <c r="CQ97" i="38" s="1"/>
  <c r="CR97" i="38" s="1"/>
  <c r="CS97" i="38" s="1"/>
  <c r="CT97" i="38" s="1"/>
  <c r="CU88" i="38"/>
  <c r="CV88" i="38" s="1"/>
  <c r="CQ61" i="38"/>
  <c r="CR61" i="38" s="1"/>
  <c r="CS61" i="38" s="1"/>
  <c r="CT61" i="38" s="1"/>
  <c r="CU61" i="38" s="1"/>
  <c r="CV61" i="38" s="1"/>
  <c r="CA109" i="38"/>
  <c r="CB109" i="38" s="1"/>
  <c r="CC109" i="38" s="1"/>
  <c r="CD109" i="38" s="1"/>
  <c r="CE109" i="38" s="1"/>
  <c r="CF109" i="38" s="1"/>
  <c r="CG109" i="38" s="1"/>
  <c r="CH109" i="38" s="1"/>
  <c r="CE128" i="38"/>
  <c r="CF128" i="38" s="1"/>
  <c r="CG128" i="38" s="1"/>
  <c r="CH128" i="38" s="1"/>
  <c r="CI128" i="38" s="1"/>
  <c r="CJ128" i="38" s="1"/>
  <c r="CK128" i="38" s="1"/>
  <c r="CL128" i="38" s="1"/>
  <c r="CQ47" i="38"/>
  <c r="CR47" i="38" s="1"/>
  <c r="CS47" i="38" s="1"/>
  <c r="CT47" i="38" s="1"/>
  <c r="CI139" i="38"/>
  <c r="CJ139" i="38" s="1"/>
  <c r="CK139" i="38" s="1"/>
  <c r="CL139" i="38" s="1"/>
  <c r="CM139" i="38" s="1"/>
  <c r="CN139" i="38" s="1"/>
  <c r="CO139" i="38" s="1"/>
  <c r="CP139" i="38" s="1"/>
  <c r="CQ139" i="38" s="1"/>
  <c r="CR139" i="38" s="1"/>
  <c r="CS139" i="38" s="1"/>
  <c r="CT139" i="38" s="1"/>
  <c r="CU139" i="38" s="1"/>
  <c r="CV139" i="38" s="1"/>
  <c r="CI133" i="38"/>
  <c r="CJ133" i="38" s="1"/>
  <c r="CK133" i="38" s="1"/>
  <c r="CL133" i="38" s="1"/>
  <c r="CM133" i="38" s="1"/>
  <c r="CN133" i="38" s="1"/>
  <c r="CO133" i="38" s="1"/>
  <c r="CP133" i="38" s="1"/>
  <c r="CQ133" i="38" s="1"/>
  <c r="CR133" i="38" s="1"/>
  <c r="CS133" i="38" s="1"/>
  <c r="CT133" i="38" s="1"/>
  <c r="CU133" i="38" s="1"/>
  <c r="CV133" i="38" s="1"/>
  <c r="GW152" i="14"/>
  <c r="GZ152" i="14" s="1"/>
  <c r="HA152" i="14" s="1"/>
  <c r="HB152" i="14" s="1"/>
  <c r="HC152" i="14" s="1"/>
  <c r="HE150" i="14"/>
  <c r="EJ145" i="14"/>
  <c r="HE152" i="14"/>
  <c r="EM150" i="14"/>
  <c r="EP150" i="14" s="1"/>
  <c r="EQ150" i="14" s="1"/>
  <c r="ER150" i="14" s="1"/>
  <c r="EU145" i="14"/>
  <c r="HM152" i="14"/>
  <c r="HM150" i="14"/>
  <c r="HE145" i="14"/>
  <c r="HH88" i="14"/>
  <c r="HI88" i="14" s="1"/>
  <c r="HJ88" i="14" s="1"/>
  <c r="HK88" i="14" s="1"/>
  <c r="HP88" i="14" s="1"/>
  <c r="HQ88" i="14" s="1"/>
  <c r="HR88" i="14" s="1"/>
  <c r="HS88" i="14" s="1"/>
  <c r="HX88" i="14" s="1"/>
  <c r="EM152" i="14"/>
  <c r="EP152" i="14" s="1"/>
  <c r="EQ152" i="14" s="1"/>
  <c r="ER152" i="14" s="1"/>
  <c r="GW150" i="14"/>
  <c r="GZ150" i="14" s="1"/>
  <c r="HA150" i="14" s="1"/>
  <c r="HB150" i="14" s="1"/>
  <c r="HC150" i="14" s="1"/>
  <c r="HM145" i="14"/>
  <c r="HH89" i="14"/>
  <c r="HI89" i="14" s="1"/>
  <c r="HJ89" i="14" s="1"/>
  <c r="HK89" i="14" s="1"/>
  <c r="HP89" i="14" s="1"/>
  <c r="HQ89" i="14" s="1"/>
  <c r="HR89" i="14" s="1"/>
  <c r="HS89" i="14" s="1"/>
  <c r="HX89" i="14" s="1"/>
  <c r="CX56" i="38"/>
  <c r="EX88" i="14"/>
  <c r="EY88" i="14" s="1"/>
  <c r="EZ88" i="14" s="1"/>
  <c r="FA88" i="14" s="1"/>
  <c r="FF88" i="14" s="1"/>
  <c r="FG88" i="14" s="1"/>
  <c r="FH88" i="14" s="1"/>
  <c r="FI88" i="14" s="1"/>
  <c r="FN88" i="14" s="1"/>
  <c r="HM141" i="14"/>
  <c r="EM124" i="14"/>
  <c r="EP124" i="14" s="1"/>
  <c r="EQ124" i="14" s="1"/>
  <c r="ER124" i="14" s="1"/>
  <c r="FC151" i="14"/>
  <c r="EU120" i="14"/>
  <c r="HE120" i="14"/>
  <c r="HM120" i="14"/>
  <c r="EM120" i="14"/>
  <c r="EP120" i="14" s="1"/>
  <c r="EQ120" i="14" s="1"/>
  <c r="ER120" i="14" s="1"/>
  <c r="GW120" i="14"/>
  <c r="GZ120" i="14" s="1"/>
  <c r="HA120" i="14" s="1"/>
  <c r="HB120" i="14" s="1"/>
  <c r="HC120" i="14" s="1"/>
  <c r="GW141" i="14"/>
  <c r="GZ141" i="14" s="1"/>
  <c r="HA141" i="14" s="1"/>
  <c r="HB141" i="14" s="1"/>
  <c r="HC141" i="14" s="1"/>
  <c r="HH141" i="14" s="1"/>
  <c r="HI141" i="14" s="1"/>
  <c r="HJ141" i="14" s="1"/>
  <c r="HK141" i="14" s="1"/>
  <c r="FC141" i="14"/>
  <c r="EU141" i="14"/>
  <c r="EJ141" i="14"/>
  <c r="EM141" i="14"/>
  <c r="EP141" i="14" s="1"/>
  <c r="EQ141" i="14" s="1"/>
  <c r="ER141" i="14" s="1"/>
  <c r="ES128" i="14"/>
  <c r="EX128" i="14" s="1"/>
  <c r="EY128" i="14" s="1"/>
  <c r="EZ128" i="14" s="1"/>
  <c r="FA128" i="14" s="1"/>
  <c r="FF128" i="14" s="1"/>
  <c r="FG128" i="14" s="1"/>
  <c r="FH128" i="14" s="1"/>
  <c r="FI128" i="14" s="1"/>
  <c r="FN128" i="14" s="1"/>
  <c r="HE124" i="14"/>
  <c r="FC124" i="14"/>
  <c r="GW124" i="14"/>
  <c r="GZ124" i="14" s="1"/>
  <c r="HA124" i="14" s="1"/>
  <c r="HB124" i="14" s="1"/>
  <c r="HC124" i="14" s="1"/>
  <c r="EJ124" i="14"/>
  <c r="FC144" i="14"/>
  <c r="HE144" i="14"/>
  <c r="HM122" i="14"/>
  <c r="HH121" i="14"/>
  <c r="HI121" i="14" s="1"/>
  <c r="HJ121" i="14" s="1"/>
  <c r="HK121" i="14" s="1"/>
  <c r="HP121" i="14" s="1"/>
  <c r="HQ121" i="14" s="1"/>
  <c r="HR121" i="14" s="1"/>
  <c r="HS121" i="14" s="1"/>
  <c r="HX121" i="14" s="1"/>
  <c r="EU144" i="14"/>
  <c r="EM144" i="14"/>
  <c r="EP144" i="14" s="1"/>
  <c r="EQ144" i="14" s="1"/>
  <c r="ER144" i="14" s="1"/>
  <c r="GW144" i="14"/>
  <c r="GZ144" i="14" s="1"/>
  <c r="HA144" i="14" s="1"/>
  <c r="HB144" i="14" s="1"/>
  <c r="HC144" i="14" s="1"/>
  <c r="EJ144" i="14"/>
  <c r="ES127" i="14"/>
  <c r="EX127" i="14" s="1"/>
  <c r="EY127" i="14" s="1"/>
  <c r="EZ127" i="14" s="1"/>
  <c r="FA127" i="14" s="1"/>
  <c r="FF127" i="14" s="1"/>
  <c r="FG127" i="14" s="1"/>
  <c r="FH127" i="14" s="1"/>
  <c r="FI127" i="14" s="1"/>
  <c r="FN127" i="14" s="1"/>
  <c r="EM122" i="14"/>
  <c r="EP122" i="14" s="1"/>
  <c r="EQ122" i="14" s="1"/>
  <c r="ER122" i="14" s="1"/>
  <c r="HP128" i="14"/>
  <c r="HQ128" i="14" s="1"/>
  <c r="HR128" i="14" s="1"/>
  <c r="HS128" i="14" s="1"/>
  <c r="HX128" i="14" s="1"/>
  <c r="EJ122" i="14"/>
  <c r="HE122" i="14"/>
  <c r="HH129" i="14"/>
  <c r="HI129" i="14" s="1"/>
  <c r="HJ129" i="14" s="1"/>
  <c r="HK129" i="14" s="1"/>
  <c r="HP129" i="14" s="1"/>
  <c r="HQ129" i="14" s="1"/>
  <c r="HR129" i="14" s="1"/>
  <c r="HS129" i="14" s="1"/>
  <c r="HX129" i="14" s="1"/>
  <c r="EU122" i="14"/>
  <c r="GW122" i="14"/>
  <c r="GZ122" i="14" s="1"/>
  <c r="HA122" i="14" s="1"/>
  <c r="HB122" i="14" s="1"/>
  <c r="HC122" i="14" s="1"/>
  <c r="EM123" i="14"/>
  <c r="EP123" i="14" s="1"/>
  <c r="EQ123" i="14" s="1"/>
  <c r="ER123" i="14" s="1"/>
  <c r="EX80" i="14"/>
  <c r="EY80" i="14" s="1"/>
  <c r="EZ80" i="14" s="1"/>
  <c r="FA80" i="14" s="1"/>
  <c r="FF80" i="14" s="1"/>
  <c r="FG80" i="14" s="1"/>
  <c r="FH80" i="14" s="1"/>
  <c r="FI80" i="14" s="1"/>
  <c r="FN80" i="14" s="1"/>
  <c r="HM160" i="14"/>
  <c r="EU160" i="14"/>
  <c r="HE160" i="14"/>
  <c r="HH125" i="14"/>
  <c r="HI125" i="14" s="1"/>
  <c r="HJ125" i="14" s="1"/>
  <c r="HK125" i="14" s="1"/>
  <c r="HP125" i="14" s="1"/>
  <c r="HQ125" i="14" s="1"/>
  <c r="HR125" i="14" s="1"/>
  <c r="HS125" i="14" s="1"/>
  <c r="HX125" i="14" s="1"/>
  <c r="ES81" i="14"/>
  <c r="EX81" i="14" s="1"/>
  <c r="EY81" i="14" s="1"/>
  <c r="EZ81" i="14" s="1"/>
  <c r="FA81" i="14" s="1"/>
  <c r="FF81" i="14" s="1"/>
  <c r="FG81" i="14" s="1"/>
  <c r="FH81" i="14" s="1"/>
  <c r="FI81" i="14" s="1"/>
  <c r="FN81" i="14" s="1"/>
  <c r="HE123" i="14"/>
  <c r="HH81" i="14"/>
  <c r="HI81" i="14" s="1"/>
  <c r="HJ81" i="14" s="1"/>
  <c r="HK81" i="14" s="1"/>
  <c r="HP81" i="14" s="1"/>
  <c r="HQ81" i="14" s="1"/>
  <c r="HR81" i="14" s="1"/>
  <c r="HS81" i="14" s="1"/>
  <c r="HX81" i="14" s="1"/>
  <c r="ES125" i="14"/>
  <c r="EX125" i="14" s="1"/>
  <c r="EY125" i="14" s="1"/>
  <c r="EZ125" i="14" s="1"/>
  <c r="FA125" i="14" s="1"/>
  <c r="FF125" i="14" s="1"/>
  <c r="FG125" i="14" s="1"/>
  <c r="FH125" i="14" s="1"/>
  <c r="FI125" i="14" s="1"/>
  <c r="FN125" i="14" s="1"/>
  <c r="HM123" i="14"/>
  <c r="GW123" i="14"/>
  <c r="GZ123" i="14" s="1"/>
  <c r="HA123" i="14" s="1"/>
  <c r="HB123" i="14" s="1"/>
  <c r="HC123" i="14" s="1"/>
  <c r="CX86" i="38"/>
  <c r="EX86" i="14"/>
  <c r="EY86" i="14" s="1"/>
  <c r="EZ86" i="14" s="1"/>
  <c r="FA86" i="14" s="1"/>
  <c r="FF86" i="14" s="1"/>
  <c r="FG86" i="14" s="1"/>
  <c r="FH86" i="14" s="1"/>
  <c r="FI86" i="14" s="1"/>
  <c r="FN86" i="14" s="1"/>
  <c r="CA44" i="38"/>
  <c r="CB44" i="38" s="1"/>
  <c r="CC44" i="38" s="1"/>
  <c r="HP127" i="14"/>
  <c r="HQ127" i="14" s="1"/>
  <c r="HR127" i="14" s="1"/>
  <c r="HS127" i="14" s="1"/>
  <c r="HX127" i="14" s="1"/>
  <c r="ES89" i="14"/>
  <c r="EX89" i="14" s="1"/>
  <c r="EY89" i="14" s="1"/>
  <c r="EZ89" i="14" s="1"/>
  <c r="FA89" i="14" s="1"/>
  <c r="FF89" i="14" s="1"/>
  <c r="FG89" i="14" s="1"/>
  <c r="FH89" i="14" s="1"/>
  <c r="FI89" i="14" s="1"/>
  <c r="FN89" i="14" s="1"/>
  <c r="EJ123" i="14"/>
  <c r="EU123" i="14"/>
  <c r="HH86" i="14"/>
  <c r="HI86" i="14" s="1"/>
  <c r="HJ86" i="14" s="1"/>
  <c r="HK86" i="14" s="1"/>
  <c r="HP86" i="14" s="1"/>
  <c r="HQ86" i="14" s="1"/>
  <c r="HR86" i="14" s="1"/>
  <c r="HS86" i="14" s="1"/>
  <c r="HX86" i="14" s="1"/>
  <c r="ES129" i="14"/>
  <c r="EX129" i="14" s="1"/>
  <c r="EY129" i="14" s="1"/>
  <c r="EZ129" i="14" s="1"/>
  <c r="FA129" i="14" s="1"/>
  <c r="FF129" i="14" s="1"/>
  <c r="FG129" i="14" s="1"/>
  <c r="FH129" i="14" s="1"/>
  <c r="FI129" i="14" s="1"/>
  <c r="FN129" i="14" s="1"/>
  <c r="ES85" i="14"/>
  <c r="EX85" i="14" s="1"/>
  <c r="EY85" i="14" s="1"/>
  <c r="EZ85" i="14" s="1"/>
  <c r="FA85" i="14" s="1"/>
  <c r="FF85" i="14" s="1"/>
  <c r="FG85" i="14" s="1"/>
  <c r="FH85" i="14" s="1"/>
  <c r="FI85" i="14" s="1"/>
  <c r="FN85" i="14" s="1"/>
  <c r="HH85" i="14"/>
  <c r="HI85" i="14" s="1"/>
  <c r="HJ85" i="14" s="1"/>
  <c r="HK85" i="14" s="1"/>
  <c r="HP85" i="14" s="1"/>
  <c r="HQ85" i="14" s="1"/>
  <c r="HR85" i="14" s="1"/>
  <c r="HS85" i="14" s="1"/>
  <c r="HM126" i="14"/>
  <c r="EJ126" i="14"/>
  <c r="FC126" i="14"/>
  <c r="EU126" i="14"/>
  <c r="HE126" i="14"/>
  <c r="GW126" i="14"/>
  <c r="GZ126" i="14" s="1"/>
  <c r="HA126" i="14" s="1"/>
  <c r="HB126" i="14" s="1"/>
  <c r="HC126" i="14" s="1"/>
  <c r="EM126" i="14"/>
  <c r="EP126" i="14" s="1"/>
  <c r="EQ126" i="14" s="1"/>
  <c r="ER126" i="14" s="1"/>
  <c r="ES121" i="14"/>
  <c r="EX121" i="14" s="1"/>
  <c r="EY121" i="14" s="1"/>
  <c r="EZ121" i="14" s="1"/>
  <c r="FA121" i="14" s="1"/>
  <c r="FF121" i="14" s="1"/>
  <c r="FG121" i="14" s="1"/>
  <c r="FH121" i="14" s="1"/>
  <c r="FI121" i="14" s="1"/>
  <c r="FO121" i="14" s="1"/>
  <c r="HH83" i="14"/>
  <c r="HI83" i="14" s="1"/>
  <c r="HJ83" i="14" s="1"/>
  <c r="HK83" i="14" s="1"/>
  <c r="HP83" i="14" s="1"/>
  <c r="HQ83" i="14" s="1"/>
  <c r="HR83" i="14" s="1"/>
  <c r="HS83" i="14" s="1"/>
  <c r="HX83" i="14" s="1"/>
  <c r="ES83" i="14"/>
  <c r="EX83" i="14" s="1"/>
  <c r="EY83" i="14" s="1"/>
  <c r="EZ83" i="14" s="1"/>
  <c r="FA83" i="14" s="1"/>
  <c r="FF83" i="14" s="1"/>
  <c r="FG83" i="14" s="1"/>
  <c r="FH83" i="14" s="1"/>
  <c r="FI83" i="14" s="1"/>
  <c r="FN83" i="14" s="1"/>
  <c r="ES87" i="14"/>
  <c r="EX87" i="14" s="1"/>
  <c r="EY87" i="14" s="1"/>
  <c r="EZ87" i="14" s="1"/>
  <c r="FA87" i="14" s="1"/>
  <c r="FF87" i="14" s="1"/>
  <c r="FG87" i="14" s="1"/>
  <c r="FH87" i="14" s="1"/>
  <c r="FI87" i="14" s="1"/>
  <c r="FN87" i="14" s="1"/>
  <c r="HH87" i="14"/>
  <c r="HI87" i="14" s="1"/>
  <c r="HJ87" i="14" s="1"/>
  <c r="HK87" i="14" s="1"/>
  <c r="HP87" i="14" s="1"/>
  <c r="HQ87" i="14" s="1"/>
  <c r="HR87" i="14" s="1"/>
  <c r="HS87" i="14" s="1"/>
  <c r="HX87" i="14" s="1"/>
  <c r="FL66" i="14"/>
  <c r="FO66" i="14"/>
  <c r="FN110" i="14"/>
  <c r="FO110" i="14"/>
  <c r="FN119" i="14"/>
  <c r="FO119" i="14"/>
  <c r="HX110" i="14"/>
  <c r="HY110" i="14"/>
  <c r="GA92" i="14"/>
  <c r="GA91" i="14"/>
  <c r="GA94" i="14"/>
  <c r="GA96" i="14"/>
  <c r="GA70" i="14"/>
  <c r="FN111" i="14"/>
  <c r="FO111" i="14"/>
  <c r="GA82" i="14"/>
  <c r="GA101" i="14"/>
  <c r="GA81" i="14"/>
  <c r="GA76" i="14"/>
  <c r="HV62" i="14"/>
  <c r="HY62" i="14"/>
  <c r="FN113" i="14"/>
  <c r="FO113" i="14"/>
  <c r="FN116" i="14"/>
  <c r="FO116" i="14"/>
  <c r="FN115" i="14"/>
  <c r="FO115" i="14"/>
  <c r="GA100" i="14"/>
  <c r="GA75" i="14"/>
  <c r="GA88" i="14"/>
  <c r="GA97" i="14"/>
  <c r="FL68" i="14"/>
  <c r="FO68" i="14"/>
  <c r="HV67" i="14"/>
  <c r="HY67" i="14"/>
  <c r="FL62" i="14"/>
  <c r="FO62" i="14"/>
  <c r="FN118" i="14"/>
  <c r="FO118" i="14"/>
  <c r="FN112" i="14"/>
  <c r="FO112" i="14"/>
  <c r="HV61" i="14"/>
  <c r="HY61" i="14"/>
  <c r="GA95" i="14"/>
  <c r="GA80" i="14"/>
  <c r="GA73" i="14"/>
  <c r="GA93" i="14"/>
  <c r="GA85" i="14"/>
  <c r="HV64" i="14"/>
  <c r="HY64" i="14"/>
  <c r="HV69" i="14"/>
  <c r="HY69" i="14"/>
  <c r="FL60" i="14"/>
  <c r="FO60" i="14"/>
  <c r="HV60" i="14"/>
  <c r="HY60" i="14"/>
  <c r="HX111" i="14"/>
  <c r="HY111" i="14"/>
  <c r="HX118" i="14"/>
  <c r="HY118" i="14"/>
  <c r="FL61" i="14"/>
  <c r="FO61" i="14"/>
  <c r="GA78" i="14"/>
  <c r="GA87" i="14"/>
  <c r="GA104" i="14"/>
  <c r="GA77" i="14"/>
  <c r="FL65" i="14"/>
  <c r="FO65" i="14"/>
  <c r="FL69" i="14"/>
  <c r="FO69" i="14"/>
  <c r="HV66" i="14"/>
  <c r="HY66" i="14"/>
  <c r="HV68" i="14"/>
  <c r="HY68" i="14"/>
  <c r="HX116" i="14"/>
  <c r="HY116" i="14"/>
  <c r="HX112" i="14"/>
  <c r="HY112" i="14"/>
  <c r="GA69" i="14"/>
  <c r="GA62" i="14"/>
  <c r="GA67" i="14"/>
  <c r="GA60" i="14"/>
  <c r="GA64" i="14"/>
  <c r="GA63" i="14"/>
  <c r="GA66" i="14"/>
  <c r="GA65" i="14"/>
  <c r="GA68" i="14"/>
  <c r="GA90" i="14"/>
  <c r="GA102" i="14"/>
  <c r="GA74" i="14"/>
  <c r="GA99" i="14"/>
  <c r="GA71" i="14"/>
  <c r="FL67" i="14"/>
  <c r="FO67" i="14"/>
  <c r="FL63" i="14"/>
  <c r="FO63" i="14"/>
  <c r="HX114" i="14"/>
  <c r="HY114" i="14"/>
  <c r="FN114" i="14"/>
  <c r="FO114" i="14"/>
  <c r="HX113" i="14"/>
  <c r="HY113" i="14"/>
  <c r="HX119" i="14"/>
  <c r="HY119" i="14"/>
  <c r="GA79" i="14"/>
  <c r="GA72" i="14"/>
  <c r="GA89" i="14"/>
  <c r="FL64" i="14"/>
  <c r="FO64" i="14"/>
  <c r="HV65" i="14"/>
  <c r="HY65" i="14"/>
  <c r="HV63" i="14"/>
  <c r="HY63" i="14"/>
  <c r="HX115" i="14"/>
  <c r="HY115" i="14"/>
  <c r="HX117" i="14"/>
  <c r="HY117" i="14"/>
  <c r="GA84" i="14"/>
  <c r="GA61" i="14"/>
  <c r="GA83" i="14"/>
  <c r="GA103" i="14"/>
  <c r="GA86" i="14"/>
  <c r="ES147" i="14"/>
  <c r="EX147" i="14" s="1"/>
  <c r="EY147" i="14" s="1"/>
  <c r="EZ147" i="14" s="1"/>
  <c r="FA147" i="14" s="1"/>
  <c r="FF147" i="14" s="1"/>
  <c r="FG147" i="14" s="1"/>
  <c r="FH147" i="14" s="1"/>
  <c r="FI147" i="14" s="1"/>
  <c r="FN147" i="14" s="1"/>
  <c r="FN117" i="14"/>
  <c r="HH147" i="14"/>
  <c r="HI147" i="14" s="1"/>
  <c r="HJ147" i="14" s="1"/>
  <c r="HK147" i="14" s="1"/>
  <c r="HP147" i="14" s="1"/>
  <c r="HQ147" i="14" s="1"/>
  <c r="HR147" i="14" s="1"/>
  <c r="HS147" i="14" s="1"/>
  <c r="HX147" i="14" s="1"/>
  <c r="HH143" i="14"/>
  <c r="HI143" i="14" s="1"/>
  <c r="HJ143" i="14" s="1"/>
  <c r="HK143" i="14" s="1"/>
  <c r="HP143" i="14" s="1"/>
  <c r="HQ143" i="14" s="1"/>
  <c r="HR143" i="14" s="1"/>
  <c r="HS143" i="14" s="1"/>
  <c r="HH148" i="14"/>
  <c r="HI148" i="14" s="1"/>
  <c r="HJ148" i="14" s="1"/>
  <c r="HK148" i="14" s="1"/>
  <c r="HP148" i="14" s="1"/>
  <c r="HQ148" i="14" s="1"/>
  <c r="HR148" i="14" s="1"/>
  <c r="HS148" i="14" s="1"/>
  <c r="HX148" i="14" s="1"/>
  <c r="ES143" i="14"/>
  <c r="EX143" i="14" s="1"/>
  <c r="EY143" i="14" s="1"/>
  <c r="EZ143" i="14" s="1"/>
  <c r="FA143" i="14" s="1"/>
  <c r="FF143" i="14" s="1"/>
  <c r="FG143" i="14" s="1"/>
  <c r="FH143" i="14" s="1"/>
  <c r="FI143" i="14" s="1"/>
  <c r="ES148" i="14"/>
  <c r="EX148" i="14" s="1"/>
  <c r="EY148" i="14" s="1"/>
  <c r="EZ148" i="14" s="1"/>
  <c r="FA148" i="14" s="1"/>
  <c r="FF148" i="14" s="1"/>
  <c r="FG148" i="14" s="1"/>
  <c r="FH148" i="14" s="1"/>
  <c r="FI148" i="14" s="1"/>
  <c r="FN148" i="14" s="1"/>
  <c r="HH140" i="14"/>
  <c r="HI140" i="14" s="1"/>
  <c r="HJ140" i="14" s="1"/>
  <c r="HK140" i="14" s="1"/>
  <c r="HP140" i="14" s="1"/>
  <c r="HQ140" i="14" s="1"/>
  <c r="HR140" i="14" s="1"/>
  <c r="HS140" i="14" s="1"/>
  <c r="HH142" i="14"/>
  <c r="HI142" i="14" s="1"/>
  <c r="HJ142" i="14" s="1"/>
  <c r="HK142" i="14" s="1"/>
  <c r="HP142" i="14" s="1"/>
  <c r="HQ142" i="14" s="1"/>
  <c r="HR142" i="14" s="1"/>
  <c r="HS142" i="14" s="1"/>
  <c r="HX142" i="14" s="1"/>
  <c r="ES140" i="14"/>
  <c r="EX140" i="14" s="1"/>
  <c r="EY140" i="14" s="1"/>
  <c r="EZ140" i="14" s="1"/>
  <c r="FA140" i="14" s="1"/>
  <c r="FF140" i="14" s="1"/>
  <c r="FG140" i="14" s="1"/>
  <c r="FH140" i="14" s="1"/>
  <c r="FI140" i="14" s="1"/>
  <c r="ES142" i="14"/>
  <c r="EX142" i="14" s="1"/>
  <c r="EY142" i="14" s="1"/>
  <c r="EZ142" i="14" s="1"/>
  <c r="FA142" i="14" s="1"/>
  <c r="FF142" i="14" s="1"/>
  <c r="FG142" i="14" s="1"/>
  <c r="FH142" i="14" s="1"/>
  <c r="FI142" i="14" s="1"/>
  <c r="HH158" i="14"/>
  <c r="HI158" i="14" s="1"/>
  <c r="HJ158" i="14" s="1"/>
  <c r="HK158" i="14" s="1"/>
  <c r="HP158" i="14" s="1"/>
  <c r="HQ158" i="14" s="1"/>
  <c r="HR158" i="14" s="1"/>
  <c r="HS158" i="14" s="1"/>
  <c r="ES158" i="14"/>
  <c r="EX158" i="14" s="1"/>
  <c r="EY158" i="14" s="1"/>
  <c r="EZ158" i="14" s="1"/>
  <c r="FA158" i="14" s="1"/>
  <c r="FF158" i="14" s="1"/>
  <c r="FG158" i="14" s="1"/>
  <c r="FH158" i="14" s="1"/>
  <c r="FI158" i="14" s="1"/>
  <c r="HH154" i="14"/>
  <c r="HI154" i="14" s="1"/>
  <c r="HJ154" i="14" s="1"/>
  <c r="HK154" i="14" s="1"/>
  <c r="HP154" i="14" s="1"/>
  <c r="HQ154" i="14" s="1"/>
  <c r="HR154" i="14" s="1"/>
  <c r="HS154" i="14" s="1"/>
  <c r="HH157" i="14"/>
  <c r="HI157" i="14" s="1"/>
  <c r="HJ157" i="14" s="1"/>
  <c r="HK157" i="14" s="1"/>
  <c r="HP157" i="14" s="1"/>
  <c r="HQ157" i="14" s="1"/>
  <c r="HR157" i="14" s="1"/>
  <c r="HS157" i="14" s="1"/>
  <c r="ES159" i="14"/>
  <c r="EX159" i="14" s="1"/>
  <c r="EY159" i="14" s="1"/>
  <c r="EZ159" i="14" s="1"/>
  <c r="FA159" i="14" s="1"/>
  <c r="FF159" i="14" s="1"/>
  <c r="FG159" i="14" s="1"/>
  <c r="FH159" i="14" s="1"/>
  <c r="FI159" i="14" s="1"/>
  <c r="HH159" i="14"/>
  <c r="HI159" i="14" s="1"/>
  <c r="HJ159" i="14" s="1"/>
  <c r="HK159" i="14" s="1"/>
  <c r="HP159" i="14" s="1"/>
  <c r="HQ159" i="14" s="1"/>
  <c r="HR159" i="14" s="1"/>
  <c r="HS159" i="14" s="1"/>
  <c r="ES157" i="14"/>
  <c r="EX157" i="14" s="1"/>
  <c r="EY157" i="14" s="1"/>
  <c r="EZ157" i="14" s="1"/>
  <c r="FA157" i="14" s="1"/>
  <c r="FF157" i="14" s="1"/>
  <c r="FG157" i="14" s="1"/>
  <c r="FH157" i="14" s="1"/>
  <c r="FI157" i="14" s="1"/>
  <c r="ES154" i="14"/>
  <c r="EX154" i="14" s="1"/>
  <c r="EY154" i="14" s="1"/>
  <c r="EZ154" i="14" s="1"/>
  <c r="FA154" i="14" s="1"/>
  <c r="FF154" i="14" s="1"/>
  <c r="FG154" i="14" s="1"/>
  <c r="FH154" i="14" s="1"/>
  <c r="FI154" i="14" s="1"/>
  <c r="GL77" i="14" l="1"/>
  <c r="GL79" i="14"/>
  <c r="GL76" i="14"/>
  <c r="AE60" i="38" s="1"/>
  <c r="GL73" i="14"/>
  <c r="AL59" i="15" s="1"/>
  <c r="GH124" i="14"/>
  <c r="GH130" i="14"/>
  <c r="GH125" i="14"/>
  <c r="GL75" i="14"/>
  <c r="AE59" i="38" s="1"/>
  <c r="GL74" i="14"/>
  <c r="AL60" i="15" s="1"/>
  <c r="GL71" i="14"/>
  <c r="AL57" i="15" s="1"/>
  <c r="HH146" i="14"/>
  <c r="HI146" i="14" s="1"/>
  <c r="HJ146" i="14" s="1"/>
  <c r="HK146" i="14" s="1"/>
  <c r="HP146" i="14" s="1"/>
  <c r="HQ146" i="14" s="1"/>
  <c r="HR146" i="14" s="1"/>
  <c r="HS146" i="14" s="1"/>
  <c r="GK64" i="14"/>
  <c r="AK50" i="15" s="1"/>
  <c r="GK74" i="14"/>
  <c r="GL72" i="14"/>
  <c r="AL58" i="15" s="1"/>
  <c r="GK63" i="14"/>
  <c r="AK49" i="15" s="1"/>
  <c r="GK76" i="14"/>
  <c r="AD60" i="38" s="1"/>
  <c r="ES149" i="14"/>
  <c r="EX149" i="14" s="1"/>
  <c r="EY149" i="14" s="1"/>
  <c r="EZ149" i="14" s="1"/>
  <c r="FA149" i="14" s="1"/>
  <c r="FF149" i="14" s="1"/>
  <c r="FG149" i="14" s="1"/>
  <c r="FH149" i="14" s="1"/>
  <c r="FI149" i="14" s="1"/>
  <c r="FN149" i="14" s="1"/>
  <c r="GH111" i="14"/>
  <c r="GH133" i="14"/>
  <c r="GH106" i="14"/>
  <c r="GH129" i="14"/>
  <c r="GH115" i="14"/>
  <c r="GH105" i="14"/>
  <c r="GH104" i="14"/>
  <c r="GH132" i="14"/>
  <c r="GH121" i="14"/>
  <c r="GH127" i="14"/>
  <c r="GH134" i="14"/>
  <c r="GH118" i="14"/>
  <c r="GH112" i="14"/>
  <c r="GH113" i="14"/>
  <c r="GH123" i="14"/>
  <c r="GH131" i="14"/>
  <c r="GH117" i="14"/>
  <c r="GH114" i="14"/>
  <c r="GH122" i="14"/>
  <c r="GH119" i="14"/>
  <c r="GH109" i="14"/>
  <c r="GL109" i="14" s="1"/>
  <c r="AL95" i="15" s="1"/>
  <c r="GH116" i="14"/>
  <c r="GH128" i="14"/>
  <c r="GH120" i="14"/>
  <c r="GH108" i="14"/>
  <c r="GA126" i="14"/>
  <c r="GA107" i="14"/>
  <c r="GH126" i="14"/>
  <c r="GH101" i="14"/>
  <c r="GH97" i="14"/>
  <c r="GH90" i="14"/>
  <c r="GL90" i="14" s="1"/>
  <c r="AL76" i="15" s="1"/>
  <c r="GH92" i="14"/>
  <c r="GA106" i="14"/>
  <c r="GA109" i="14"/>
  <c r="GH99" i="14"/>
  <c r="GH94" i="14"/>
  <c r="GH93" i="14"/>
  <c r="GA133" i="14"/>
  <c r="GH103" i="14"/>
  <c r="GL103" i="14" s="1"/>
  <c r="AL89" i="15" s="1"/>
  <c r="GH95" i="14"/>
  <c r="GH91" i="14"/>
  <c r="GL91" i="14" s="1"/>
  <c r="GA129" i="14"/>
  <c r="GH96" i="14"/>
  <c r="GA110" i="14"/>
  <c r="HH155" i="14"/>
  <c r="HI155" i="14" s="1"/>
  <c r="HJ155" i="14" s="1"/>
  <c r="HK155" i="14" s="1"/>
  <c r="HP155" i="14" s="1"/>
  <c r="HQ155" i="14" s="1"/>
  <c r="HR155" i="14" s="1"/>
  <c r="HS155" i="14" s="1"/>
  <c r="HY155" i="14" s="1"/>
  <c r="GA138" i="14"/>
  <c r="GA108" i="14"/>
  <c r="GI92" i="14"/>
  <c r="GK62" i="14"/>
  <c r="AK48" i="15" s="1"/>
  <c r="GI102" i="14"/>
  <c r="GI97" i="14"/>
  <c r="GI99" i="14"/>
  <c r="GI95" i="14"/>
  <c r="GI104" i="14"/>
  <c r="GI98" i="14"/>
  <c r="GI101" i="14"/>
  <c r="GK65" i="14"/>
  <c r="AK51" i="15" s="1"/>
  <c r="GI107" i="14"/>
  <c r="GL107" i="14" s="1"/>
  <c r="GI96" i="14"/>
  <c r="GK66" i="14"/>
  <c r="AK52" i="15" s="1"/>
  <c r="GA98" i="14"/>
  <c r="GI100" i="14"/>
  <c r="GI108" i="14"/>
  <c r="GI106" i="14"/>
  <c r="GI94" i="14"/>
  <c r="GK61" i="14"/>
  <c r="AK47" i="15" s="1"/>
  <c r="FO127" i="14"/>
  <c r="GI93" i="14"/>
  <c r="GI105" i="14"/>
  <c r="GA123" i="14"/>
  <c r="GA137" i="14"/>
  <c r="GA127" i="14"/>
  <c r="GA121" i="14"/>
  <c r="GA139" i="14"/>
  <c r="GA113" i="14"/>
  <c r="GA111" i="14"/>
  <c r="GA112" i="14"/>
  <c r="GA132" i="14"/>
  <c r="GA120" i="14"/>
  <c r="GA124" i="14"/>
  <c r="GA118" i="14"/>
  <c r="GA114" i="14"/>
  <c r="GA136" i="14"/>
  <c r="GA135" i="14"/>
  <c r="GA117" i="14"/>
  <c r="GA125" i="14"/>
  <c r="GA116" i="14"/>
  <c r="GA130" i="14"/>
  <c r="GA128" i="14"/>
  <c r="GA119" i="14"/>
  <c r="GA122" i="14"/>
  <c r="GA134" i="14"/>
  <c r="GH86" i="14"/>
  <c r="GL86" i="14" s="1"/>
  <c r="GA131" i="14"/>
  <c r="GA115" i="14"/>
  <c r="GL82" i="14"/>
  <c r="AE66" i="38" s="1"/>
  <c r="GH81" i="14"/>
  <c r="GL81" i="14" s="1"/>
  <c r="AL67" i="15" s="1"/>
  <c r="ES155" i="14"/>
  <c r="EX155" i="14" s="1"/>
  <c r="EY155" i="14" s="1"/>
  <c r="EZ155" i="14" s="1"/>
  <c r="FA155" i="14" s="1"/>
  <c r="FF155" i="14" s="1"/>
  <c r="FG155" i="14" s="1"/>
  <c r="FH155" i="14" s="1"/>
  <c r="FI155" i="14" s="1"/>
  <c r="FO155" i="14" s="1"/>
  <c r="GH89" i="14"/>
  <c r="GL89" i="14" s="1"/>
  <c r="GH88" i="14"/>
  <c r="GL88" i="14" s="1"/>
  <c r="AL74" i="15" s="1"/>
  <c r="GH84" i="14"/>
  <c r="GL84" i="14" s="1"/>
  <c r="GH80" i="14"/>
  <c r="GL80" i="14" s="1"/>
  <c r="AE64" i="38" s="1"/>
  <c r="HP149" i="14"/>
  <c r="HQ149" i="14" s="1"/>
  <c r="HR149" i="14" s="1"/>
  <c r="HS149" i="14" s="1"/>
  <c r="HX149" i="14" s="1"/>
  <c r="GK79" i="14"/>
  <c r="AK65" i="15" s="1"/>
  <c r="FZ84" i="14"/>
  <c r="GK84" i="14" s="1"/>
  <c r="FZ88" i="14"/>
  <c r="GK88" i="14" s="1"/>
  <c r="FZ80" i="14"/>
  <c r="GK80" i="14" s="1"/>
  <c r="AK66" i="15" s="1"/>
  <c r="FZ85" i="14"/>
  <c r="GK85" i="14" s="1"/>
  <c r="FZ87" i="14"/>
  <c r="GK87" i="14" s="1"/>
  <c r="FZ83" i="14"/>
  <c r="GK83" i="14" s="1"/>
  <c r="AK69" i="15" s="1"/>
  <c r="FZ82" i="14"/>
  <c r="GK82" i="14" s="1"/>
  <c r="AK68" i="15" s="1"/>
  <c r="FZ81" i="14"/>
  <c r="GK81" i="14" s="1"/>
  <c r="FZ86" i="14"/>
  <c r="GK86" i="14" s="1"/>
  <c r="AK72" i="15" s="1"/>
  <c r="FZ89" i="14"/>
  <c r="GK89" i="14" s="1"/>
  <c r="AK75" i="15" s="1"/>
  <c r="GK78" i="14"/>
  <c r="AK64" i="15" s="1"/>
  <c r="HV85" i="14"/>
  <c r="HX85" i="14"/>
  <c r="GH110" i="14"/>
  <c r="GH83" i="14"/>
  <c r="GL83" i="14" s="1"/>
  <c r="GH85" i="14"/>
  <c r="GL85" i="14" s="1"/>
  <c r="AL71" i="15" s="1"/>
  <c r="GH87" i="14"/>
  <c r="GL87" i="14" s="1"/>
  <c r="FZ99" i="14"/>
  <c r="GK99" i="14" s="1"/>
  <c r="FZ95" i="14"/>
  <c r="GK95" i="14" s="1"/>
  <c r="FZ96" i="14"/>
  <c r="GK96" i="14" s="1"/>
  <c r="AK82" i="15" s="1"/>
  <c r="FZ91" i="14"/>
  <c r="GK91" i="14" s="1"/>
  <c r="FZ97" i="14"/>
  <c r="GK97" i="14" s="1"/>
  <c r="FZ92" i="14"/>
  <c r="GK92" i="14" s="1"/>
  <c r="FZ98" i="14"/>
  <c r="FZ93" i="14"/>
  <c r="GK93" i="14" s="1"/>
  <c r="FZ90" i="14"/>
  <c r="GK90" i="14" s="1"/>
  <c r="FZ94" i="14"/>
  <c r="GK94" i="14" s="1"/>
  <c r="FZ141" i="14"/>
  <c r="FZ104" i="14"/>
  <c r="GK104" i="14" s="1"/>
  <c r="FZ103" i="14"/>
  <c r="GK103" i="14" s="1"/>
  <c r="FZ102" i="14"/>
  <c r="GK102" i="14" s="1"/>
  <c r="FZ105" i="14"/>
  <c r="GK105" i="14" s="1"/>
  <c r="FZ109" i="14"/>
  <c r="FZ108" i="14"/>
  <c r="FZ100" i="14"/>
  <c r="GK100" i="14" s="1"/>
  <c r="FZ107" i="14"/>
  <c r="FZ101" i="14"/>
  <c r="GK101" i="14" s="1"/>
  <c r="FZ106" i="14"/>
  <c r="GA144" i="14"/>
  <c r="GK144" i="14" s="1"/>
  <c r="AK130" i="15" s="1"/>
  <c r="GA140" i="14"/>
  <c r="GA143" i="14"/>
  <c r="GK143" i="14" s="1"/>
  <c r="AK129" i="15" s="1"/>
  <c r="GA158" i="14"/>
  <c r="GK158" i="14" s="1"/>
  <c r="AK144" i="15" s="1"/>
  <c r="GK60" i="14"/>
  <c r="AK46" i="15" s="1"/>
  <c r="GA146" i="14"/>
  <c r="GK146" i="14" s="1"/>
  <c r="GA159" i="14"/>
  <c r="GK159" i="14" s="1"/>
  <c r="AK145" i="15" s="1"/>
  <c r="GA156" i="14"/>
  <c r="GK156" i="14" s="1"/>
  <c r="AK142" i="15" s="1"/>
  <c r="GA149" i="14"/>
  <c r="GA160" i="14"/>
  <c r="GK160" i="14" s="1"/>
  <c r="AD144" i="38" s="1"/>
  <c r="GA153" i="14"/>
  <c r="GK153" i="14" s="1"/>
  <c r="AK139" i="15" s="1"/>
  <c r="GA151" i="14"/>
  <c r="GK151" i="14" s="1"/>
  <c r="AK137" i="15" s="1"/>
  <c r="GA145" i="14"/>
  <c r="GA155" i="14"/>
  <c r="GK155" i="14" s="1"/>
  <c r="GA150" i="14"/>
  <c r="GK150" i="14" s="1"/>
  <c r="AD134" i="38" s="1"/>
  <c r="GK71" i="14"/>
  <c r="AK57" i="15" s="1"/>
  <c r="GA147" i="14"/>
  <c r="GA142" i="14"/>
  <c r="GA157" i="14"/>
  <c r="GK157" i="14" s="1"/>
  <c r="AD141" i="38" s="1"/>
  <c r="GA154" i="14"/>
  <c r="GK154" i="14" s="1"/>
  <c r="AD138" i="38" s="1"/>
  <c r="GA152" i="14"/>
  <c r="GK152" i="14" s="1"/>
  <c r="AD136" i="38" s="1"/>
  <c r="GA141" i="14"/>
  <c r="GA148" i="14"/>
  <c r="FO143" i="14"/>
  <c r="FN143" i="14"/>
  <c r="FZ140" i="14"/>
  <c r="FZ138" i="14"/>
  <c r="FZ126" i="14"/>
  <c r="GK126" i="14" s="1"/>
  <c r="AK112" i="15" s="1"/>
  <c r="FZ111" i="14"/>
  <c r="FZ130" i="14"/>
  <c r="FZ137" i="14"/>
  <c r="FZ114" i="14"/>
  <c r="FZ121" i="14"/>
  <c r="FZ120" i="14"/>
  <c r="FZ149" i="14"/>
  <c r="FZ113" i="14"/>
  <c r="FZ128" i="14"/>
  <c r="FZ135" i="14"/>
  <c r="FZ117" i="14"/>
  <c r="FZ132" i="14"/>
  <c r="FZ131" i="14"/>
  <c r="FZ119" i="14"/>
  <c r="FZ118" i="14"/>
  <c r="FZ139" i="14"/>
  <c r="GK139" i="14" s="1"/>
  <c r="FZ123" i="14"/>
  <c r="FZ133" i="14"/>
  <c r="FZ110" i="14"/>
  <c r="FZ116" i="14"/>
  <c r="FZ122" i="14"/>
  <c r="FZ115" i="14"/>
  <c r="FZ129" i="14"/>
  <c r="FZ136" i="14"/>
  <c r="FZ127" i="14"/>
  <c r="FZ124" i="14"/>
  <c r="FZ112" i="14"/>
  <c r="FZ125" i="14"/>
  <c r="FZ134" i="14"/>
  <c r="GH141" i="14"/>
  <c r="FO142" i="14"/>
  <c r="FN142" i="14"/>
  <c r="GK67" i="14"/>
  <c r="AK53" i="15" s="1"/>
  <c r="GK77" i="14"/>
  <c r="AK63" i="15" s="1"/>
  <c r="HY143" i="14"/>
  <c r="HX143" i="14"/>
  <c r="GK72" i="14"/>
  <c r="AK58" i="15" s="1"/>
  <c r="FZ148" i="14"/>
  <c r="GH144" i="14"/>
  <c r="FO140" i="14"/>
  <c r="FN140" i="14"/>
  <c r="GK70" i="14"/>
  <c r="AK56" i="15" s="1"/>
  <c r="GH149" i="14"/>
  <c r="FZ147" i="14"/>
  <c r="HY140" i="14"/>
  <c r="HX140" i="14"/>
  <c r="FZ145" i="14"/>
  <c r="GH146" i="14"/>
  <c r="GH147" i="14"/>
  <c r="FZ142" i="14"/>
  <c r="GH142" i="14"/>
  <c r="GH102" i="14"/>
  <c r="FO129" i="14"/>
  <c r="HH156" i="14"/>
  <c r="HI156" i="14" s="1"/>
  <c r="HJ156" i="14" s="1"/>
  <c r="HK156" i="14" s="1"/>
  <c r="HP156" i="14" s="1"/>
  <c r="HQ156" i="14" s="1"/>
  <c r="HR156" i="14" s="1"/>
  <c r="HS156" i="14" s="1"/>
  <c r="HY156" i="14" s="1"/>
  <c r="GH100" i="14"/>
  <c r="GK68" i="14"/>
  <c r="AK54" i="15" s="1"/>
  <c r="AE48" i="38"/>
  <c r="FO128" i="14"/>
  <c r="HY121" i="14"/>
  <c r="EX156" i="14"/>
  <c r="EY156" i="14" s="1"/>
  <c r="EZ156" i="14" s="1"/>
  <c r="FA156" i="14" s="1"/>
  <c r="FF156" i="14" s="1"/>
  <c r="FG156" i="14" s="1"/>
  <c r="FH156" i="14" s="1"/>
  <c r="FI156" i="14" s="1"/>
  <c r="FO156" i="14" s="1"/>
  <c r="GK69" i="14"/>
  <c r="AD53" i="38" s="1"/>
  <c r="ES153" i="14"/>
  <c r="EX153" i="14" s="1"/>
  <c r="EY153" i="14" s="1"/>
  <c r="EZ153" i="14" s="1"/>
  <c r="FA153" i="14" s="1"/>
  <c r="FF153" i="14" s="1"/>
  <c r="FG153" i="14" s="1"/>
  <c r="FH153" i="14" s="1"/>
  <c r="FI153" i="14" s="1"/>
  <c r="FO153" i="14" s="1"/>
  <c r="HY129" i="14"/>
  <c r="F21" i="16"/>
  <c r="U36" i="1" s="1"/>
  <c r="AE57" i="38"/>
  <c r="HY127" i="14"/>
  <c r="HY128" i="14"/>
  <c r="G22" i="16"/>
  <c r="V37" i="1" s="1"/>
  <c r="HY125" i="14"/>
  <c r="GK73" i="14"/>
  <c r="AK59" i="15" s="1"/>
  <c r="ES120" i="14"/>
  <c r="EX120" i="14" s="1"/>
  <c r="EY120" i="14" s="1"/>
  <c r="EZ120" i="14" s="1"/>
  <c r="FA120" i="14" s="1"/>
  <c r="FF120" i="14" s="1"/>
  <c r="FG120" i="14" s="1"/>
  <c r="FH120" i="14" s="1"/>
  <c r="FI120" i="14" s="1"/>
  <c r="GK75" i="14"/>
  <c r="AK61" i="15" s="1"/>
  <c r="GH135" i="14"/>
  <c r="GH137" i="14"/>
  <c r="GH98" i="14"/>
  <c r="GH138" i="14"/>
  <c r="GH136" i="14"/>
  <c r="GI120" i="14"/>
  <c r="GI121" i="14"/>
  <c r="GI113" i="14"/>
  <c r="GI110" i="14"/>
  <c r="GI114" i="14"/>
  <c r="GI111" i="14"/>
  <c r="GI119" i="14"/>
  <c r="GI118" i="14"/>
  <c r="GI115" i="14"/>
  <c r="GI112" i="14"/>
  <c r="GI117" i="14"/>
  <c r="GI116" i="14"/>
  <c r="FO125" i="14"/>
  <c r="GI129" i="14"/>
  <c r="GI130" i="14"/>
  <c r="GI150" i="14"/>
  <c r="GL150" i="14" s="1"/>
  <c r="GI148" i="14"/>
  <c r="GL148" i="14" s="1"/>
  <c r="GI140" i="14"/>
  <c r="GL140" i="14" s="1"/>
  <c r="GI138" i="14"/>
  <c r="GI124" i="14"/>
  <c r="GL124" i="14" s="1"/>
  <c r="GI152" i="14"/>
  <c r="GL152" i="14" s="1"/>
  <c r="GI151" i="14"/>
  <c r="GL151" i="14" s="1"/>
  <c r="GI144" i="14"/>
  <c r="GI155" i="14"/>
  <c r="GL155" i="14" s="1"/>
  <c r="GI127" i="14"/>
  <c r="GI131" i="14"/>
  <c r="GI133" i="14"/>
  <c r="GI158" i="14"/>
  <c r="GL158" i="14" s="1"/>
  <c r="GI157" i="14"/>
  <c r="GL157" i="14" s="1"/>
  <c r="GI156" i="14"/>
  <c r="GL156" i="14" s="1"/>
  <c r="GI128" i="14"/>
  <c r="GI132" i="14"/>
  <c r="GI147" i="14"/>
  <c r="GI136" i="14"/>
  <c r="GI137" i="14"/>
  <c r="GI143" i="14"/>
  <c r="GL143" i="14" s="1"/>
  <c r="GI153" i="14"/>
  <c r="GL153" i="14" s="1"/>
  <c r="GI146" i="14"/>
  <c r="GI145" i="14"/>
  <c r="GL145" i="14" s="1"/>
  <c r="GI141" i="14"/>
  <c r="GI160" i="14"/>
  <c r="GL160" i="14" s="1"/>
  <c r="GI126" i="14"/>
  <c r="GI123" i="14"/>
  <c r="GI125" i="14"/>
  <c r="GL125" i="14" s="1"/>
  <c r="GI159" i="14"/>
  <c r="GL159" i="14" s="1"/>
  <c r="GI149" i="14"/>
  <c r="GI122" i="14"/>
  <c r="GI134" i="14"/>
  <c r="GI154" i="14"/>
  <c r="GL154" i="14" s="1"/>
  <c r="GI139" i="14"/>
  <c r="GL139" i="14" s="1"/>
  <c r="GI142" i="14"/>
  <c r="GI135" i="14"/>
  <c r="AL54" i="15"/>
  <c r="AE52" i="38"/>
  <c r="AL65" i="15"/>
  <c r="AE63" i="38"/>
  <c r="AL51" i="15"/>
  <c r="AE49" i="38"/>
  <c r="AL52" i="15"/>
  <c r="AE50" i="38"/>
  <c r="AL63" i="15"/>
  <c r="AE61" i="38"/>
  <c r="AL56" i="15"/>
  <c r="AE54" i="38"/>
  <c r="AL47" i="15"/>
  <c r="AE45" i="38"/>
  <c r="AL53" i="15"/>
  <c r="AE51" i="38"/>
  <c r="AL46" i="15"/>
  <c r="AE44" i="38"/>
  <c r="AL49" i="15"/>
  <c r="AE47" i="38"/>
  <c r="AL64" i="15"/>
  <c r="AE62" i="38"/>
  <c r="AL48" i="15"/>
  <c r="AE46" i="38"/>
  <c r="AL55" i="15"/>
  <c r="AE53" i="38"/>
  <c r="FM88" i="14"/>
  <c r="FL88" i="14"/>
  <c r="HW87" i="14"/>
  <c r="HV87" i="14"/>
  <c r="FM89" i="14"/>
  <c r="FL89" i="14"/>
  <c r="HW89" i="14"/>
  <c r="HV89" i="14"/>
  <c r="FM87" i="14"/>
  <c r="FL87" i="14"/>
  <c r="FM86" i="14"/>
  <c r="FL86" i="14"/>
  <c r="HW88" i="14"/>
  <c r="HV88" i="14"/>
  <c r="FM85" i="14"/>
  <c r="FL85" i="14"/>
  <c r="HW86" i="14"/>
  <c r="HV86" i="14"/>
  <c r="G21" i="16"/>
  <c r="F22" i="16"/>
  <c r="U37" i="46" s="1"/>
  <c r="FL81" i="14"/>
  <c r="FM81" i="14"/>
  <c r="HV80" i="14"/>
  <c r="HW80" i="14"/>
  <c r="FL80" i="14"/>
  <c r="FM80" i="14"/>
  <c r="FL83" i="14"/>
  <c r="FM83" i="14"/>
  <c r="HV83" i="14"/>
  <c r="HW83" i="14"/>
  <c r="HV81" i="14"/>
  <c r="HW81" i="14"/>
  <c r="ES160" i="14"/>
  <c r="EX160" i="14" s="1"/>
  <c r="EY160" i="14" s="1"/>
  <c r="EZ160" i="14" s="1"/>
  <c r="FA160" i="14" s="1"/>
  <c r="FF160" i="14" s="1"/>
  <c r="FG160" i="14" s="1"/>
  <c r="FH160" i="14" s="1"/>
  <c r="FI160" i="14" s="1"/>
  <c r="FO160" i="14" s="1"/>
  <c r="ES146" i="14"/>
  <c r="EX146" i="14" s="1"/>
  <c r="EY146" i="14" s="1"/>
  <c r="EZ146" i="14" s="1"/>
  <c r="FA146" i="14" s="1"/>
  <c r="FF146" i="14" s="1"/>
  <c r="FG146" i="14" s="1"/>
  <c r="FH146" i="14" s="1"/>
  <c r="FI146" i="14" s="1"/>
  <c r="FN146" i="14" s="1"/>
  <c r="ES145" i="14"/>
  <c r="EX145" i="14" s="1"/>
  <c r="EY145" i="14" s="1"/>
  <c r="EZ145" i="14" s="1"/>
  <c r="FA145" i="14" s="1"/>
  <c r="FF145" i="14" s="1"/>
  <c r="FG145" i="14" s="1"/>
  <c r="FH145" i="14" s="1"/>
  <c r="FI145" i="14" s="1"/>
  <c r="HH153" i="14"/>
  <c r="HI153" i="14" s="1"/>
  <c r="HJ153" i="14" s="1"/>
  <c r="HK153" i="14" s="1"/>
  <c r="HP153" i="14" s="1"/>
  <c r="HQ153" i="14" s="1"/>
  <c r="HR153" i="14" s="1"/>
  <c r="HS153" i="14" s="1"/>
  <c r="HY153" i="14" s="1"/>
  <c r="HH145" i="14"/>
  <c r="HI145" i="14" s="1"/>
  <c r="HJ145" i="14" s="1"/>
  <c r="HK145" i="14" s="1"/>
  <c r="HP145" i="14" s="1"/>
  <c r="HQ145" i="14" s="1"/>
  <c r="HR145" i="14" s="1"/>
  <c r="HS145" i="14" s="1"/>
  <c r="CW88" i="38"/>
  <c r="Z89" i="40"/>
  <c r="CW91" i="38"/>
  <c r="Z92" i="40"/>
  <c r="CW142" i="38"/>
  <c r="Z143" i="40"/>
  <c r="CW115" i="38"/>
  <c r="Z116" i="40"/>
  <c r="CW95" i="38"/>
  <c r="Z96" i="40"/>
  <c r="CW72" i="38"/>
  <c r="Z73" i="40"/>
  <c r="CW141" i="38"/>
  <c r="Z142" i="40"/>
  <c r="CW133" i="38"/>
  <c r="Z134" i="40"/>
  <c r="CW48" i="38"/>
  <c r="Z49" i="40"/>
  <c r="CW78" i="38"/>
  <c r="Z79" i="40"/>
  <c r="CW75" i="38"/>
  <c r="Z76" i="40"/>
  <c r="CW87" i="38"/>
  <c r="Z88" i="40"/>
  <c r="CW139" i="38"/>
  <c r="Z140" i="40"/>
  <c r="CW125" i="38"/>
  <c r="Z126" i="40"/>
  <c r="CW53" i="38"/>
  <c r="Z54" i="40"/>
  <c r="CW77" i="38"/>
  <c r="Z78" i="40"/>
  <c r="CW122" i="38"/>
  <c r="Z123" i="40"/>
  <c r="CW138" i="38"/>
  <c r="Z139" i="40"/>
  <c r="CW51" i="38"/>
  <c r="Z52" i="40"/>
  <c r="CW140" i="38"/>
  <c r="Z141" i="40"/>
  <c r="CW81" i="38"/>
  <c r="Z82" i="40"/>
  <c r="CW84" i="38"/>
  <c r="Z85" i="40"/>
  <c r="CW60" i="38"/>
  <c r="Z61" i="40"/>
  <c r="CW99" i="38"/>
  <c r="Z100" i="40"/>
  <c r="CW61" i="38"/>
  <c r="Z62" i="40"/>
  <c r="CW89" i="38"/>
  <c r="Z90" i="40"/>
  <c r="CW90" i="38"/>
  <c r="Z91" i="40"/>
  <c r="CW117" i="38"/>
  <c r="Z118" i="40"/>
  <c r="CW132" i="38"/>
  <c r="Z133" i="40"/>
  <c r="CW74" i="38"/>
  <c r="Z75" i="40"/>
  <c r="ES141" i="14"/>
  <c r="EX141" i="14" s="1"/>
  <c r="EY141" i="14" s="1"/>
  <c r="EZ141" i="14" s="1"/>
  <c r="FA141" i="14" s="1"/>
  <c r="FF141" i="14" s="1"/>
  <c r="FG141" i="14" s="1"/>
  <c r="FH141" i="14" s="1"/>
  <c r="FI141" i="14" s="1"/>
  <c r="HH150" i="14"/>
  <c r="HI150" i="14" s="1"/>
  <c r="HJ150" i="14" s="1"/>
  <c r="HK150" i="14" s="1"/>
  <c r="HP150" i="14" s="1"/>
  <c r="HQ150" i="14" s="1"/>
  <c r="HR150" i="14" s="1"/>
  <c r="HS150" i="14" s="1"/>
  <c r="HY150" i="14" s="1"/>
  <c r="ES151" i="14"/>
  <c r="EX151" i="14" s="1"/>
  <c r="EY151" i="14" s="1"/>
  <c r="EZ151" i="14" s="1"/>
  <c r="FA151" i="14" s="1"/>
  <c r="FF151" i="14" s="1"/>
  <c r="FG151" i="14" s="1"/>
  <c r="FH151" i="14" s="1"/>
  <c r="FI151" i="14" s="1"/>
  <c r="FO151" i="14" s="1"/>
  <c r="HH160" i="14"/>
  <c r="HI160" i="14" s="1"/>
  <c r="HJ160" i="14" s="1"/>
  <c r="HK160" i="14" s="1"/>
  <c r="HP160" i="14" s="1"/>
  <c r="HQ160" i="14" s="1"/>
  <c r="HR160" i="14" s="1"/>
  <c r="HS160" i="14" s="1"/>
  <c r="HY160" i="14" s="1"/>
  <c r="ES150" i="14"/>
  <c r="EX150" i="14" s="1"/>
  <c r="EY150" i="14" s="1"/>
  <c r="EZ150" i="14" s="1"/>
  <c r="FA150" i="14" s="1"/>
  <c r="FF150" i="14" s="1"/>
  <c r="FG150" i="14" s="1"/>
  <c r="FH150" i="14" s="1"/>
  <c r="FI150" i="14" s="1"/>
  <c r="FO150" i="14" s="1"/>
  <c r="ES152" i="14"/>
  <c r="EX152" i="14" s="1"/>
  <c r="EY152" i="14" s="1"/>
  <c r="EZ152" i="14" s="1"/>
  <c r="FA152" i="14" s="1"/>
  <c r="FF152" i="14" s="1"/>
  <c r="FG152" i="14" s="1"/>
  <c r="FH152" i="14" s="1"/>
  <c r="FI152" i="14" s="1"/>
  <c r="FO152" i="14" s="1"/>
  <c r="HH151" i="14"/>
  <c r="HI151" i="14" s="1"/>
  <c r="HJ151" i="14" s="1"/>
  <c r="HK151" i="14" s="1"/>
  <c r="HP151" i="14" s="1"/>
  <c r="HQ151" i="14" s="1"/>
  <c r="HR151" i="14" s="1"/>
  <c r="HS151" i="14" s="1"/>
  <c r="HY151" i="14" s="1"/>
  <c r="HH152" i="14"/>
  <c r="HI152" i="14" s="1"/>
  <c r="HJ152" i="14" s="1"/>
  <c r="HK152" i="14" s="1"/>
  <c r="HP152" i="14" s="1"/>
  <c r="HQ152" i="14" s="1"/>
  <c r="HR152" i="14" s="1"/>
  <c r="HS152" i="14" s="1"/>
  <c r="HY152" i="14" s="1"/>
  <c r="CI134" i="38"/>
  <c r="CJ134" i="38" s="1"/>
  <c r="CK134" i="38" s="1"/>
  <c r="CL134" i="38" s="1"/>
  <c r="CM134" i="38" s="1"/>
  <c r="CN134" i="38" s="1"/>
  <c r="CO134" i="38" s="1"/>
  <c r="CP134" i="38" s="1"/>
  <c r="CQ134" i="38" s="1"/>
  <c r="CR134" i="38" s="1"/>
  <c r="CS134" i="38" s="1"/>
  <c r="CT134" i="38" s="1"/>
  <c r="CU106" i="38"/>
  <c r="CV106" i="38" s="1"/>
  <c r="CE127" i="38"/>
  <c r="CF127" i="38" s="1"/>
  <c r="CG127" i="38" s="1"/>
  <c r="CH127" i="38" s="1"/>
  <c r="CE136" i="38"/>
  <c r="CF136" i="38" s="1"/>
  <c r="CG136" i="38" s="1"/>
  <c r="CH136" i="38" s="1"/>
  <c r="CI136" i="38" s="1"/>
  <c r="CJ136" i="38" s="1"/>
  <c r="CK136" i="38" s="1"/>
  <c r="CL136" i="38" s="1"/>
  <c r="CE113" i="38"/>
  <c r="CF113" i="38" s="1"/>
  <c r="CG113" i="38" s="1"/>
  <c r="CH113" i="38" s="1"/>
  <c r="CI113" i="38" s="1"/>
  <c r="CJ113" i="38" s="1"/>
  <c r="CK113" i="38" s="1"/>
  <c r="CL113" i="38" s="1"/>
  <c r="CM113" i="38" s="1"/>
  <c r="CN113" i="38" s="1"/>
  <c r="CO113" i="38" s="1"/>
  <c r="CP113" i="38" s="1"/>
  <c r="CQ113" i="38" s="1"/>
  <c r="CR113" i="38" s="1"/>
  <c r="CS113" i="38" s="1"/>
  <c r="CT113" i="38" s="1"/>
  <c r="CU113" i="38" s="1"/>
  <c r="CV113" i="38" s="1"/>
  <c r="CU57" i="38"/>
  <c r="CV57" i="38" s="1"/>
  <c r="Z58" i="40" s="1"/>
  <c r="CQ112" i="38"/>
  <c r="CR112" i="38" s="1"/>
  <c r="CS112" i="38" s="1"/>
  <c r="CT112" i="38" s="1"/>
  <c r="CU112" i="38" s="1"/>
  <c r="CV112" i="38" s="1"/>
  <c r="CM67" i="38"/>
  <c r="CN67" i="38" s="1"/>
  <c r="CO67" i="38" s="1"/>
  <c r="CP67" i="38" s="1"/>
  <c r="CQ126" i="38"/>
  <c r="CR126" i="38" s="1"/>
  <c r="CS126" i="38" s="1"/>
  <c r="CT126" i="38" s="1"/>
  <c r="CQ66" i="38"/>
  <c r="CR66" i="38" s="1"/>
  <c r="CS66" i="38" s="1"/>
  <c r="CT66" i="38" s="1"/>
  <c r="CU66" i="38" s="1"/>
  <c r="CV66" i="38" s="1"/>
  <c r="CQ62" i="38"/>
  <c r="CR62" i="38" s="1"/>
  <c r="CS62" i="38" s="1"/>
  <c r="CT62" i="38" s="1"/>
  <c r="CU62" i="38" s="1"/>
  <c r="CV62" i="38" s="1"/>
  <c r="CE135" i="38"/>
  <c r="CF135" i="38" s="1"/>
  <c r="CG135" i="38" s="1"/>
  <c r="CH135" i="38" s="1"/>
  <c r="CU58" i="38"/>
  <c r="CV58" i="38" s="1"/>
  <c r="CI105" i="38"/>
  <c r="CJ105" i="38" s="1"/>
  <c r="CK105" i="38" s="1"/>
  <c r="CL105" i="38" s="1"/>
  <c r="CM105" i="38" s="1"/>
  <c r="CN105" i="38" s="1"/>
  <c r="CO105" i="38" s="1"/>
  <c r="CP105" i="38" s="1"/>
  <c r="CQ105" i="38" s="1"/>
  <c r="CR105" i="38" s="1"/>
  <c r="CS105" i="38" s="1"/>
  <c r="CT105" i="38" s="1"/>
  <c r="CU105" i="38" s="1"/>
  <c r="CV105" i="38" s="1"/>
  <c r="CM108" i="38"/>
  <c r="CN108" i="38" s="1"/>
  <c r="CO108" i="38" s="1"/>
  <c r="CP108" i="38" s="1"/>
  <c r="CI137" i="38"/>
  <c r="CJ137" i="38" s="1"/>
  <c r="CK137" i="38" s="1"/>
  <c r="CL137" i="38" s="1"/>
  <c r="CM137" i="38" s="1"/>
  <c r="CN137" i="38" s="1"/>
  <c r="CO137" i="38" s="1"/>
  <c r="CP137" i="38" s="1"/>
  <c r="CU143" i="38"/>
  <c r="CV143" i="38" s="1"/>
  <c r="Z144" i="40" s="1"/>
  <c r="CM124" i="38"/>
  <c r="CN124" i="38" s="1"/>
  <c r="CO124" i="38" s="1"/>
  <c r="CP124" i="38" s="1"/>
  <c r="CQ124" i="38" s="1"/>
  <c r="CR124" i="38" s="1"/>
  <c r="CS124" i="38" s="1"/>
  <c r="CT124" i="38" s="1"/>
  <c r="CQ70" i="38"/>
  <c r="CR70" i="38" s="1"/>
  <c r="CS70" i="38" s="1"/>
  <c r="CT70" i="38" s="1"/>
  <c r="CU70" i="38" s="1"/>
  <c r="CV70" i="38" s="1"/>
  <c r="CU59" i="38"/>
  <c r="CV59" i="38" s="1"/>
  <c r="CU144" i="38"/>
  <c r="CV144" i="38" s="1"/>
  <c r="CM64" i="38"/>
  <c r="CN64" i="38" s="1"/>
  <c r="CO64" i="38" s="1"/>
  <c r="CP64" i="38" s="1"/>
  <c r="CQ68" i="38"/>
  <c r="CR68" i="38" s="1"/>
  <c r="CS68" i="38" s="1"/>
  <c r="CT68" i="38" s="1"/>
  <c r="CU68" i="38" s="1"/>
  <c r="CV68" i="38" s="1"/>
  <c r="CM71" i="38"/>
  <c r="CN71" i="38" s="1"/>
  <c r="CO71" i="38" s="1"/>
  <c r="CP71" i="38" s="1"/>
  <c r="CQ71" i="38" s="1"/>
  <c r="CR71" i="38" s="1"/>
  <c r="CS71" i="38" s="1"/>
  <c r="CT71" i="38" s="1"/>
  <c r="CU47" i="38"/>
  <c r="CV47" i="38" s="1"/>
  <c r="CU97" i="38"/>
  <c r="CV97" i="38" s="1"/>
  <c r="CU46" i="38"/>
  <c r="CV46" i="38" s="1"/>
  <c r="CI109" i="38"/>
  <c r="CJ109" i="38" s="1"/>
  <c r="CK109" i="38" s="1"/>
  <c r="CL109" i="38" s="1"/>
  <c r="CM109" i="38" s="1"/>
  <c r="CN109" i="38" s="1"/>
  <c r="CO109" i="38" s="1"/>
  <c r="CP109" i="38" s="1"/>
  <c r="CU45" i="38"/>
  <c r="CV45" i="38" s="1"/>
  <c r="CQ92" i="38"/>
  <c r="CR92" i="38" s="1"/>
  <c r="CS92" i="38" s="1"/>
  <c r="CT92" i="38" s="1"/>
  <c r="CU92" i="38" s="1"/>
  <c r="CV92" i="38" s="1"/>
  <c r="CU79" i="38"/>
  <c r="CV79" i="38" s="1"/>
  <c r="CE129" i="38"/>
  <c r="CF129" i="38" s="1"/>
  <c r="CG129" i="38" s="1"/>
  <c r="CH129" i="38" s="1"/>
  <c r="CU96" i="38"/>
  <c r="CV96" i="38" s="1"/>
  <c r="CU49" i="38"/>
  <c r="CV49" i="38" s="1"/>
  <c r="CQ85" i="38"/>
  <c r="CR85" i="38" s="1"/>
  <c r="CS85" i="38" s="1"/>
  <c r="CT85" i="38" s="1"/>
  <c r="CQ65" i="38"/>
  <c r="CR65" i="38" s="1"/>
  <c r="CS65" i="38" s="1"/>
  <c r="CT65" i="38" s="1"/>
  <c r="CU65" i="38" s="1"/>
  <c r="CV65" i="38" s="1"/>
  <c r="CU103" i="38"/>
  <c r="CV103" i="38" s="1"/>
  <c r="Z104" i="40" s="1"/>
  <c r="HH144" i="14"/>
  <c r="HI144" i="14" s="1"/>
  <c r="HJ144" i="14" s="1"/>
  <c r="HK144" i="14" s="1"/>
  <c r="HP144" i="14" s="1"/>
  <c r="HQ144" i="14" s="1"/>
  <c r="HR144" i="14" s="1"/>
  <c r="HS144" i="14" s="1"/>
  <c r="CU130" i="38"/>
  <c r="CV130" i="38" s="1"/>
  <c r="CU111" i="38"/>
  <c r="CV111" i="38" s="1"/>
  <c r="CI107" i="38"/>
  <c r="CJ107" i="38" s="1"/>
  <c r="CK107" i="38" s="1"/>
  <c r="CL107" i="38" s="1"/>
  <c r="CM107" i="38" s="1"/>
  <c r="CN107" i="38" s="1"/>
  <c r="CO107" i="38" s="1"/>
  <c r="CP107" i="38" s="1"/>
  <c r="CQ110" i="38"/>
  <c r="CR110" i="38" s="1"/>
  <c r="CS110" i="38" s="1"/>
  <c r="CT110" i="38" s="1"/>
  <c r="CI69" i="38"/>
  <c r="CJ69" i="38" s="1"/>
  <c r="CK69" i="38" s="1"/>
  <c r="CL69" i="38" s="1"/>
  <c r="CM69" i="38" s="1"/>
  <c r="CN69" i="38" s="1"/>
  <c r="CO69" i="38" s="1"/>
  <c r="CP69" i="38" s="1"/>
  <c r="CU55" i="38"/>
  <c r="CV55" i="38" s="1"/>
  <c r="CI131" i="38"/>
  <c r="CJ131" i="38" s="1"/>
  <c r="CK131" i="38" s="1"/>
  <c r="CL131" i="38" s="1"/>
  <c r="CM131" i="38" s="1"/>
  <c r="CN131" i="38" s="1"/>
  <c r="CO131" i="38" s="1"/>
  <c r="CP131" i="38" s="1"/>
  <c r="CM128" i="38"/>
  <c r="CN128" i="38" s="1"/>
  <c r="CO128" i="38" s="1"/>
  <c r="CP128" i="38" s="1"/>
  <c r="CQ128" i="38" s="1"/>
  <c r="CR128" i="38" s="1"/>
  <c r="CS128" i="38" s="1"/>
  <c r="CT128" i="38" s="1"/>
  <c r="CU128" i="38" s="1"/>
  <c r="CV128" i="38" s="1"/>
  <c r="CM76" i="38"/>
  <c r="CN76" i="38" s="1"/>
  <c r="CO76" i="38" s="1"/>
  <c r="CP76" i="38" s="1"/>
  <c r="CQ76" i="38" s="1"/>
  <c r="CR76" i="38" s="1"/>
  <c r="CS76" i="38" s="1"/>
  <c r="CT76" i="38" s="1"/>
  <c r="CU76" i="38" s="1"/>
  <c r="CV76" i="38" s="1"/>
  <c r="HP141" i="14"/>
  <c r="HQ141" i="14" s="1"/>
  <c r="HR141" i="14" s="1"/>
  <c r="HS141" i="14" s="1"/>
  <c r="ES144" i="14"/>
  <c r="EX144" i="14" s="1"/>
  <c r="EY144" i="14" s="1"/>
  <c r="EZ144" i="14" s="1"/>
  <c r="FA144" i="14" s="1"/>
  <c r="FF144" i="14" s="1"/>
  <c r="FG144" i="14" s="1"/>
  <c r="FH144" i="14" s="1"/>
  <c r="FI144" i="14" s="1"/>
  <c r="HH120" i="14"/>
  <c r="HI120" i="14" s="1"/>
  <c r="HJ120" i="14" s="1"/>
  <c r="HK120" i="14" s="1"/>
  <c r="HP120" i="14" s="1"/>
  <c r="HQ120" i="14" s="1"/>
  <c r="HR120" i="14" s="1"/>
  <c r="HS120" i="14" s="1"/>
  <c r="CX121" i="38"/>
  <c r="ES124" i="14"/>
  <c r="EX124" i="14" s="1"/>
  <c r="EY124" i="14" s="1"/>
  <c r="EZ124" i="14" s="1"/>
  <c r="FA124" i="14" s="1"/>
  <c r="FF124" i="14" s="1"/>
  <c r="FG124" i="14" s="1"/>
  <c r="FH124" i="14" s="1"/>
  <c r="FI124" i="14" s="1"/>
  <c r="CX99" i="38"/>
  <c r="HH124" i="14"/>
  <c r="HI124" i="14" s="1"/>
  <c r="HJ124" i="14" s="1"/>
  <c r="HK124" i="14" s="1"/>
  <c r="HP124" i="14" s="1"/>
  <c r="HQ124" i="14" s="1"/>
  <c r="HR124" i="14" s="1"/>
  <c r="HS124" i="14" s="1"/>
  <c r="CD44" i="38"/>
  <c r="ES123" i="14"/>
  <c r="EX123" i="14" s="1"/>
  <c r="EY123" i="14" s="1"/>
  <c r="EZ123" i="14" s="1"/>
  <c r="FA123" i="14" s="1"/>
  <c r="FF123" i="14" s="1"/>
  <c r="FG123" i="14" s="1"/>
  <c r="FH123" i="14" s="1"/>
  <c r="FI123" i="14" s="1"/>
  <c r="ES122" i="14"/>
  <c r="EX122" i="14" s="1"/>
  <c r="EY122" i="14" s="1"/>
  <c r="EZ122" i="14" s="1"/>
  <c r="FA122" i="14" s="1"/>
  <c r="FF122" i="14" s="1"/>
  <c r="FG122" i="14" s="1"/>
  <c r="FH122" i="14" s="1"/>
  <c r="FI122" i="14" s="1"/>
  <c r="HH122" i="14"/>
  <c r="HI122" i="14" s="1"/>
  <c r="HJ122" i="14" s="1"/>
  <c r="HK122" i="14" s="1"/>
  <c r="HP122" i="14" s="1"/>
  <c r="HQ122" i="14" s="1"/>
  <c r="HR122" i="14" s="1"/>
  <c r="HS122" i="14" s="1"/>
  <c r="HH123" i="14"/>
  <c r="HI123" i="14" s="1"/>
  <c r="HJ123" i="14" s="1"/>
  <c r="HK123" i="14" s="1"/>
  <c r="HP123" i="14" s="1"/>
  <c r="HQ123" i="14" s="1"/>
  <c r="HR123" i="14" s="1"/>
  <c r="HS123" i="14" s="1"/>
  <c r="CX52" i="38"/>
  <c r="CX93" i="38"/>
  <c r="CX115" i="38"/>
  <c r="CX82" i="38"/>
  <c r="FN121" i="14"/>
  <c r="ES126" i="14"/>
  <c r="EX126" i="14" s="1"/>
  <c r="EY126" i="14" s="1"/>
  <c r="EZ126" i="14" s="1"/>
  <c r="FA126" i="14" s="1"/>
  <c r="FF126" i="14" s="1"/>
  <c r="FG126" i="14" s="1"/>
  <c r="FH126" i="14" s="1"/>
  <c r="FI126" i="14" s="1"/>
  <c r="HY85" i="14"/>
  <c r="HW85" i="14"/>
  <c r="HH126" i="14"/>
  <c r="HI126" i="14" s="1"/>
  <c r="HJ126" i="14" s="1"/>
  <c r="HK126" i="14" s="1"/>
  <c r="HP126" i="14" s="1"/>
  <c r="HQ126" i="14" s="1"/>
  <c r="HR126" i="14" s="1"/>
  <c r="HS126" i="14" s="1"/>
  <c r="AK141" i="15"/>
  <c r="AD139" i="38"/>
  <c r="AK60" i="15"/>
  <c r="AD58" i="38"/>
  <c r="AD61" i="38"/>
  <c r="HY154" i="14"/>
  <c r="HY147" i="14"/>
  <c r="HY158" i="14"/>
  <c r="HY157" i="14"/>
  <c r="HY159" i="14"/>
  <c r="HY148" i="14"/>
  <c r="HY142" i="14"/>
  <c r="FO159" i="14"/>
  <c r="FO154" i="14"/>
  <c r="FO147" i="14"/>
  <c r="FO157" i="14"/>
  <c r="FO148" i="14"/>
  <c r="FO158" i="14"/>
  <c r="GL130" i="14" l="1"/>
  <c r="AL61" i="15"/>
  <c r="AL62" i="15"/>
  <c r="AE56" i="38"/>
  <c r="GL147" i="14"/>
  <c r="AL133" i="15" s="1"/>
  <c r="AE58" i="38"/>
  <c r="AX58" i="38" s="1"/>
  <c r="AE55" i="38"/>
  <c r="GK121" i="14"/>
  <c r="AK107" i="15" s="1"/>
  <c r="GL121" i="14"/>
  <c r="AL107" i="15" s="1"/>
  <c r="AD45" i="38"/>
  <c r="AX45" i="38" s="1"/>
  <c r="GK129" i="14"/>
  <c r="AD113" i="38" s="1"/>
  <c r="GK109" i="14"/>
  <c r="GK119" i="14"/>
  <c r="AD103" i="38" s="1"/>
  <c r="GL114" i="14"/>
  <c r="AL100" i="15" s="1"/>
  <c r="GK114" i="14"/>
  <c r="AK100" i="15" s="1"/>
  <c r="AX61" i="38"/>
  <c r="GL133" i="14"/>
  <c r="AL119" i="15" s="1"/>
  <c r="GL127" i="14"/>
  <c r="AL113" i="15" s="1"/>
  <c r="IA110" i="14"/>
  <c r="GL134" i="14"/>
  <c r="AL120" i="15" s="1"/>
  <c r="GL122" i="14"/>
  <c r="AE106" i="38" s="1"/>
  <c r="GL106" i="14"/>
  <c r="AL92" i="15" s="1"/>
  <c r="AD48" i="38"/>
  <c r="AX48" i="38" s="1"/>
  <c r="IA113" i="14"/>
  <c r="GK107" i="14"/>
  <c r="AD91" i="38" s="1"/>
  <c r="HZ86" i="14"/>
  <c r="FP87" i="14"/>
  <c r="AD47" i="38"/>
  <c r="AX47" i="38" s="1"/>
  <c r="GK98" i="14"/>
  <c r="AD82" i="38" s="1"/>
  <c r="GK123" i="14"/>
  <c r="AD107" i="38" s="1"/>
  <c r="AK62" i="15"/>
  <c r="GL100" i="14"/>
  <c r="AL86" i="15" s="1"/>
  <c r="GL113" i="14"/>
  <c r="AE97" i="38" s="1"/>
  <c r="GL104" i="14"/>
  <c r="AL90" i="15" s="1"/>
  <c r="GL98" i="14"/>
  <c r="AL84" i="15" s="1"/>
  <c r="AD56" i="38"/>
  <c r="GL123" i="14"/>
  <c r="AE107" i="38" s="1"/>
  <c r="AK55" i="15"/>
  <c r="BK53" i="38" s="1"/>
  <c r="AL68" i="15"/>
  <c r="GK140" i="14"/>
  <c r="AK126" i="15" s="1"/>
  <c r="GL141" i="14"/>
  <c r="AL127" i="15" s="1"/>
  <c r="AD63" i="38"/>
  <c r="AX63" i="38" s="1"/>
  <c r="AK67" i="15"/>
  <c r="BK65" i="38" s="1"/>
  <c r="AD65" i="38"/>
  <c r="GK124" i="14"/>
  <c r="AK110" i="15" s="1"/>
  <c r="GK130" i="14"/>
  <c r="AK116" i="15" s="1"/>
  <c r="GK127" i="14"/>
  <c r="AD111" i="38" s="1"/>
  <c r="GK147" i="14"/>
  <c r="AK133" i="15" s="1"/>
  <c r="GL108" i="14"/>
  <c r="AL94" i="15" s="1"/>
  <c r="AD49" i="38"/>
  <c r="AX49" i="38" s="1"/>
  <c r="GL111" i="14"/>
  <c r="AL97" i="15" s="1"/>
  <c r="GK128" i="14"/>
  <c r="AK114" i="15" s="1"/>
  <c r="GK118" i="14"/>
  <c r="AK104" i="15" s="1"/>
  <c r="GK149" i="14"/>
  <c r="AK135" i="15" s="1"/>
  <c r="GL97" i="14"/>
  <c r="AE81" i="38" s="1"/>
  <c r="AD46" i="38"/>
  <c r="AX46" i="38" s="1"/>
  <c r="GL117" i="14"/>
  <c r="AL103" i="15" s="1"/>
  <c r="GL126" i="14"/>
  <c r="AL112" i="15" s="1"/>
  <c r="AM112" i="15" s="1"/>
  <c r="AP112" i="15" s="1"/>
  <c r="AD50" i="38"/>
  <c r="AX50" i="38" s="1"/>
  <c r="GL118" i="14"/>
  <c r="AL104" i="15" s="1"/>
  <c r="GK110" i="14"/>
  <c r="AK96" i="15" s="1"/>
  <c r="GL119" i="14"/>
  <c r="AL105" i="15" s="1"/>
  <c r="GL129" i="14"/>
  <c r="AL115" i="15" s="1"/>
  <c r="HZ85" i="14"/>
  <c r="AK140" i="15"/>
  <c r="AD69" i="38"/>
  <c r="AK71" i="15"/>
  <c r="AM71" i="15" s="1"/>
  <c r="AP71" i="15" s="1"/>
  <c r="U37" i="1"/>
  <c r="GL112" i="14"/>
  <c r="AE96" i="38" s="1"/>
  <c r="GL115" i="14"/>
  <c r="AL101" i="15" s="1"/>
  <c r="GL94" i="14"/>
  <c r="AL80" i="15" s="1"/>
  <c r="AD54" i="38"/>
  <c r="AX54" i="38" s="1"/>
  <c r="GK108" i="14"/>
  <c r="AK94" i="15" s="1"/>
  <c r="AE87" i="38"/>
  <c r="AD135" i="38"/>
  <c r="GL128" i="14"/>
  <c r="AE112" i="38" s="1"/>
  <c r="GK138" i="14"/>
  <c r="AK124" i="15" s="1"/>
  <c r="AD142" i="38"/>
  <c r="GK133" i="14"/>
  <c r="AK119" i="15" s="1"/>
  <c r="GK135" i="14"/>
  <c r="AK121" i="15" s="1"/>
  <c r="GK141" i="14"/>
  <c r="AD125" i="38" s="1"/>
  <c r="AE72" i="38"/>
  <c r="GL116" i="14"/>
  <c r="AL102" i="15" s="1"/>
  <c r="GK111" i="14"/>
  <c r="GL105" i="14"/>
  <c r="AL91" i="15" s="1"/>
  <c r="GL92" i="14"/>
  <c r="AL78" i="15" s="1"/>
  <c r="GL95" i="14"/>
  <c r="AL81" i="15" s="1"/>
  <c r="GK122" i="14"/>
  <c r="AD106" i="38" s="1"/>
  <c r="AK143" i="15"/>
  <c r="AD127" i="38"/>
  <c r="AD62" i="38"/>
  <c r="AX62" i="38" s="1"/>
  <c r="AE93" i="38"/>
  <c r="AE74" i="38"/>
  <c r="AD137" i="38"/>
  <c r="GL131" i="14"/>
  <c r="AL117" i="15" s="1"/>
  <c r="GL99" i="14"/>
  <c r="AL85" i="15" s="1"/>
  <c r="GL120" i="14"/>
  <c r="AL106" i="15" s="1"/>
  <c r="GL101" i="14"/>
  <c r="AL87" i="15" s="1"/>
  <c r="GL132" i="14"/>
  <c r="AE116" i="38" s="1"/>
  <c r="GK136" i="14"/>
  <c r="AD120" i="38" s="1"/>
  <c r="GK113" i="14"/>
  <c r="AK99" i="15" s="1"/>
  <c r="GL93" i="14"/>
  <c r="AE77" i="38" s="1"/>
  <c r="AE75" i="38"/>
  <c r="AL77" i="15"/>
  <c r="FO146" i="14"/>
  <c r="AD44" i="38"/>
  <c r="AX44" i="38" s="1"/>
  <c r="AK138" i="15"/>
  <c r="GK106" i="14"/>
  <c r="AD90" i="38" s="1"/>
  <c r="GL96" i="14"/>
  <c r="AL82" i="15" s="1"/>
  <c r="AK132" i="15"/>
  <c r="AD130" i="38"/>
  <c r="AE91" i="38"/>
  <c r="AL93" i="15"/>
  <c r="GL110" i="14"/>
  <c r="AE94" i="38" s="1"/>
  <c r="GK117" i="14"/>
  <c r="AD101" i="38" s="1"/>
  <c r="HY149" i="14"/>
  <c r="GK115" i="14"/>
  <c r="AK101" i="15" s="1"/>
  <c r="GK120" i="14"/>
  <c r="AD104" i="38" s="1"/>
  <c r="GK131" i="14"/>
  <c r="AD115" i="38" s="1"/>
  <c r="GK125" i="14"/>
  <c r="AK111" i="15" s="1"/>
  <c r="GK116" i="14"/>
  <c r="AD100" i="38" s="1"/>
  <c r="GK132" i="14"/>
  <c r="AK118" i="15" s="1"/>
  <c r="GL102" i="14"/>
  <c r="AL88" i="15" s="1"/>
  <c r="GK137" i="14"/>
  <c r="AD75" i="38"/>
  <c r="AK77" i="15"/>
  <c r="AK70" i="15"/>
  <c r="AD68" i="38"/>
  <c r="AL72" i="15"/>
  <c r="BK70" i="38" s="1"/>
  <c r="AE70" i="38"/>
  <c r="AD51" i="38"/>
  <c r="AX51" i="38" s="1"/>
  <c r="AD67" i="38"/>
  <c r="GK134" i="14"/>
  <c r="AK120" i="15" s="1"/>
  <c r="BK118" i="38" s="1"/>
  <c r="AD80" i="38"/>
  <c r="GK112" i="14"/>
  <c r="AK98" i="15" s="1"/>
  <c r="AK80" i="15"/>
  <c r="AD78" i="38"/>
  <c r="AK76" i="15"/>
  <c r="AM76" i="15" s="1"/>
  <c r="AP76" i="15" s="1"/>
  <c r="AD74" i="38"/>
  <c r="AK74" i="15"/>
  <c r="AM74" i="15" s="1"/>
  <c r="AP74" i="15" s="1"/>
  <c r="AD72" i="38"/>
  <c r="AL75" i="15"/>
  <c r="BK73" i="38" s="1"/>
  <c r="AE73" i="38"/>
  <c r="AE71" i="38"/>
  <c r="AL73" i="15"/>
  <c r="AL70" i="15"/>
  <c r="AE68" i="38"/>
  <c r="AL69" i="15"/>
  <c r="AM69" i="15" s="1"/>
  <c r="AP69" i="15" s="1"/>
  <c r="AE67" i="38"/>
  <c r="AK73" i="15"/>
  <c r="AD71" i="38"/>
  <c r="AD70" i="38"/>
  <c r="AK136" i="15"/>
  <c r="AE69" i="38"/>
  <c r="AD76" i="38"/>
  <c r="AK78" i="15"/>
  <c r="AK83" i="15"/>
  <c r="AD81" i="38"/>
  <c r="AK79" i="15"/>
  <c r="AD77" i="38"/>
  <c r="AK81" i="15"/>
  <c r="AD79" i="38"/>
  <c r="AK85" i="15"/>
  <c r="AD83" i="38"/>
  <c r="AD110" i="38"/>
  <c r="AD140" i="38"/>
  <c r="FO149" i="14"/>
  <c r="AK86" i="15"/>
  <c r="AD84" i="38"/>
  <c r="AK95" i="15"/>
  <c r="AM95" i="15" s="1"/>
  <c r="AP95" i="15" s="1"/>
  <c r="AD93" i="38"/>
  <c r="AK91" i="15"/>
  <c r="AD89" i="38"/>
  <c r="AK125" i="15"/>
  <c r="AD123" i="38"/>
  <c r="AK88" i="15"/>
  <c r="AD86" i="38"/>
  <c r="AD87" i="38"/>
  <c r="AK89" i="15"/>
  <c r="AM89" i="15" s="1"/>
  <c r="AP89" i="15" s="1"/>
  <c r="AK87" i="15"/>
  <c r="AD85" i="38"/>
  <c r="AK90" i="15"/>
  <c r="AD88" i="38"/>
  <c r="AD128" i="38"/>
  <c r="GL144" i="14"/>
  <c r="AL130" i="15" s="1"/>
  <c r="AM130" i="15" s="1"/>
  <c r="AP130" i="15" s="1"/>
  <c r="GK148" i="14"/>
  <c r="AD132" i="38" s="1"/>
  <c r="AD55" i="38"/>
  <c r="AD143" i="38"/>
  <c r="AX56" i="38"/>
  <c r="IA119" i="14"/>
  <c r="FQ113" i="14"/>
  <c r="FQ112" i="14"/>
  <c r="IA112" i="14"/>
  <c r="FQ110" i="14"/>
  <c r="AK146" i="15"/>
  <c r="IA68" i="14"/>
  <c r="IA116" i="14"/>
  <c r="AX53" i="38"/>
  <c r="IA117" i="14"/>
  <c r="FQ118" i="14"/>
  <c r="AD52" i="38"/>
  <c r="AX52" i="38" s="1"/>
  <c r="IA115" i="14"/>
  <c r="AD66" i="38"/>
  <c r="AX66" i="38" s="1"/>
  <c r="GL149" i="14"/>
  <c r="AL135" i="15" s="1"/>
  <c r="GL146" i="14"/>
  <c r="AL132" i="15" s="1"/>
  <c r="F24" i="16"/>
  <c r="U39" i="1" s="1"/>
  <c r="FQ119" i="14"/>
  <c r="FQ115" i="14"/>
  <c r="FQ111" i="14"/>
  <c r="AD59" i="38"/>
  <c r="AX59" i="38" s="1"/>
  <c r="GK142" i="14"/>
  <c r="AK128" i="15" s="1"/>
  <c r="IA111" i="14"/>
  <c r="FQ117" i="14"/>
  <c r="IA114" i="14"/>
  <c r="IA118" i="14"/>
  <c r="FQ116" i="14"/>
  <c r="FQ114" i="14"/>
  <c r="FQ106" i="14"/>
  <c r="FP84" i="14"/>
  <c r="HZ84" i="14"/>
  <c r="AD64" i="38"/>
  <c r="AX64" i="38" s="1"/>
  <c r="GK145" i="14"/>
  <c r="AK131" i="15" s="1"/>
  <c r="AD121" i="38"/>
  <c r="AK123" i="15"/>
  <c r="AD95" i="38"/>
  <c r="AK97" i="15"/>
  <c r="HY145" i="14"/>
  <c r="HX145" i="14"/>
  <c r="HY144" i="14"/>
  <c r="HX144" i="14"/>
  <c r="HY146" i="14"/>
  <c r="HX146" i="14"/>
  <c r="F23" i="16"/>
  <c r="FO144" i="14"/>
  <c r="FN144" i="14"/>
  <c r="FO141" i="14"/>
  <c r="FN141" i="14"/>
  <c r="FO145" i="14"/>
  <c r="FN145" i="14"/>
  <c r="GL142" i="14"/>
  <c r="AL128" i="15" s="1"/>
  <c r="HY141" i="14"/>
  <c r="HX141" i="14"/>
  <c r="HZ83" i="14"/>
  <c r="FP81" i="14"/>
  <c r="FP82" i="14"/>
  <c r="FP83" i="14"/>
  <c r="HZ82" i="14"/>
  <c r="HZ81" i="14"/>
  <c r="AD73" i="38"/>
  <c r="U36" i="46"/>
  <c r="GL136" i="14"/>
  <c r="AE120" i="38" s="1"/>
  <c r="AD57" i="38"/>
  <c r="AX57" i="38" s="1"/>
  <c r="AX60" i="38"/>
  <c r="GL138" i="14"/>
  <c r="AL124" i="15" s="1"/>
  <c r="V37" i="46"/>
  <c r="FP77" i="14"/>
  <c r="AE65" i="38"/>
  <c r="HZ67" i="14"/>
  <c r="FQ96" i="14"/>
  <c r="HZ75" i="14"/>
  <c r="HZ68" i="14"/>
  <c r="AL66" i="15"/>
  <c r="AM66" i="15" s="1"/>
  <c r="AP66" i="15" s="1"/>
  <c r="HZ74" i="14"/>
  <c r="HZ65" i="14"/>
  <c r="HZ66" i="14"/>
  <c r="HZ80" i="14"/>
  <c r="HZ63" i="14"/>
  <c r="HZ78" i="14"/>
  <c r="FP73" i="14"/>
  <c r="HZ62" i="14"/>
  <c r="AL111" i="15"/>
  <c r="AE109" i="38"/>
  <c r="FQ105" i="14"/>
  <c r="HZ69" i="14"/>
  <c r="FQ85" i="14"/>
  <c r="FP68" i="14"/>
  <c r="FQ108" i="14"/>
  <c r="FQ103" i="14"/>
  <c r="HZ77" i="14"/>
  <c r="HZ76" i="14"/>
  <c r="HZ60" i="14"/>
  <c r="FP71" i="14"/>
  <c r="FQ107" i="14"/>
  <c r="FP74" i="14"/>
  <c r="FQ109" i="14"/>
  <c r="HZ71" i="14"/>
  <c r="HZ73" i="14"/>
  <c r="HZ64" i="14"/>
  <c r="FP75" i="14"/>
  <c r="HZ70" i="14"/>
  <c r="GL137" i="14"/>
  <c r="AL123" i="15" s="1"/>
  <c r="G23" i="16"/>
  <c r="V38" i="1" s="1"/>
  <c r="HZ61" i="14"/>
  <c r="FP79" i="14"/>
  <c r="FP69" i="14"/>
  <c r="IA93" i="14"/>
  <c r="GL135" i="14"/>
  <c r="FP72" i="14"/>
  <c r="FP78" i="14"/>
  <c r="HZ72" i="14"/>
  <c r="HZ79" i="14"/>
  <c r="FP76" i="14"/>
  <c r="FP70" i="14"/>
  <c r="AE118" i="38"/>
  <c r="HX120" i="14"/>
  <c r="HY120" i="14"/>
  <c r="FN120" i="14"/>
  <c r="FO120" i="14"/>
  <c r="FS116" i="14" s="1"/>
  <c r="AL110" i="15"/>
  <c r="AE108" i="38"/>
  <c r="AL116" i="15"/>
  <c r="AE114" i="38"/>
  <c r="AL129" i="15"/>
  <c r="AM129" i="15" s="1"/>
  <c r="AP129" i="15" s="1"/>
  <c r="AE127" i="38"/>
  <c r="AL144" i="15"/>
  <c r="AM144" i="15" s="1"/>
  <c r="AP144" i="15" s="1"/>
  <c r="AE142" i="38"/>
  <c r="FN122" i="14"/>
  <c r="FO122" i="14"/>
  <c r="HX126" i="14"/>
  <c r="HY126" i="14"/>
  <c r="HX122" i="14"/>
  <c r="HY122" i="14"/>
  <c r="AL125" i="15"/>
  <c r="AM125" i="15" s="1"/>
  <c r="AP125" i="15" s="1"/>
  <c r="AE123" i="38"/>
  <c r="AL126" i="15"/>
  <c r="AE124" i="38"/>
  <c r="FN123" i="14"/>
  <c r="FO123" i="14"/>
  <c r="FN124" i="14"/>
  <c r="FO124" i="14"/>
  <c r="AL140" i="15"/>
  <c r="AE138" i="38"/>
  <c r="AX138" i="38" s="1"/>
  <c r="AL146" i="15"/>
  <c r="AE144" i="38"/>
  <c r="AX144" i="38" s="1"/>
  <c r="AE131" i="38"/>
  <c r="AL134" i="15"/>
  <c r="AE132" i="38"/>
  <c r="AL141" i="15"/>
  <c r="AM141" i="15" s="1"/>
  <c r="AP141" i="15" s="1"/>
  <c r="AE139" i="38"/>
  <c r="AX139" i="38" s="1"/>
  <c r="AL136" i="15"/>
  <c r="AE134" i="38"/>
  <c r="AX134" i="38" s="1"/>
  <c r="HX123" i="14"/>
  <c r="HY123" i="14"/>
  <c r="G24" i="16"/>
  <c r="AL131" i="15"/>
  <c r="AE129" i="38"/>
  <c r="FN126" i="14"/>
  <c r="FO126" i="14"/>
  <c r="AL142" i="15"/>
  <c r="BK140" i="38" s="1"/>
  <c r="AE140" i="38"/>
  <c r="AL137" i="15"/>
  <c r="BK135" i="38" s="1"/>
  <c r="AE135" i="38"/>
  <c r="HX124" i="14"/>
  <c r="HY124" i="14"/>
  <c r="IC100" i="14" s="1"/>
  <c r="AL145" i="15"/>
  <c r="AM145" i="15" s="1"/>
  <c r="AP145" i="15" s="1"/>
  <c r="AE143" i="38"/>
  <c r="AL139" i="15"/>
  <c r="AM139" i="15" s="1"/>
  <c r="AP139" i="15" s="1"/>
  <c r="AE137" i="38"/>
  <c r="AL143" i="15"/>
  <c r="AE141" i="38"/>
  <c r="AX141" i="38" s="1"/>
  <c r="AL138" i="15"/>
  <c r="AE136" i="38"/>
  <c r="AX136" i="38" s="1"/>
  <c r="FP85" i="14"/>
  <c r="HZ89" i="14"/>
  <c r="HZ88" i="14"/>
  <c r="FP89" i="14"/>
  <c r="FP86" i="14"/>
  <c r="HZ87" i="14"/>
  <c r="V36" i="1"/>
  <c r="V36" i="46"/>
  <c r="FP88" i="14"/>
  <c r="FP66" i="14"/>
  <c r="FQ69" i="14"/>
  <c r="FQ68" i="14"/>
  <c r="IA65" i="14"/>
  <c r="IA69" i="14"/>
  <c r="FQ84" i="14"/>
  <c r="IA71" i="14"/>
  <c r="IA70" i="14"/>
  <c r="IA72" i="14"/>
  <c r="FQ66" i="14"/>
  <c r="IA67" i="14"/>
  <c r="FQ67" i="14"/>
  <c r="IA73" i="14"/>
  <c r="FQ65" i="14"/>
  <c r="IA66" i="14"/>
  <c r="FP64" i="14"/>
  <c r="FQ72" i="14"/>
  <c r="FQ70" i="14"/>
  <c r="FP61" i="14"/>
  <c r="FP63" i="14"/>
  <c r="FP65" i="14"/>
  <c r="FP62" i="14"/>
  <c r="FP60" i="14"/>
  <c r="FQ73" i="14"/>
  <c r="FP67" i="14"/>
  <c r="FQ74" i="14"/>
  <c r="IA74" i="14"/>
  <c r="FP80" i="14"/>
  <c r="FQ71" i="14"/>
  <c r="FQ91" i="14"/>
  <c r="FQ99" i="14"/>
  <c r="FQ100" i="14"/>
  <c r="FQ97" i="14"/>
  <c r="FQ86" i="14"/>
  <c r="FQ93" i="14"/>
  <c r="FQ104" i="14"/>
  <c r="FQ87" i="14"/>
  <c r="FQ92" i="14"/>
  <c r="FQ95" i="14"/>
  <c r="FQ82" i="14"/>
  <c r="FQ98" i="14"/>
  <c r="FQ88" i="14"/>
  <c r="FQ83" i="14"/>
  <c r="FQ102" i="14"/>
  <c r="FQ101" i="14"/>
  <c r="FQ89" i="14"/>
  <c r="FQ94" i="14"/>
  <c r="FQ75" i="14"/>
  <c r="FQ90" i="14"/>
  <c r="IA80" i="14"/>
  <c r="IA84" i="14"/>
  <c r="FQ81" i="14"/>
  <c r="IA81" i="14"/>
  <c r="IA78" i="14"/>
  <c r="FQ80" i="14"/>
  <c r="IA79" i="14"/>
  <c r="IA83" i="14"/>
  <c r="IA76" i="14"/>
  <c r="FQ76" i="14"/>
  <c r="FQ79" i="14"/>
  <c r="IA77" i="14"/>
  <c r="FQ77" i="14"/>
  <c r="IA82" i="14"/>
  <c r="FQ78" i="14"/>
  <c r="IA75" i="14"/>
  <c r="CW49" i="38"/>
  <c r="Z50" i="40"/>
  <c r="CW97" i="38"/>
  <c r="Z98" i="40"/>
  <c r="CW66" i="38"/>
  <c r="Z67" i="40"/>
  <c r="CW106" i="38"/>
  <c r="Z107" i="40"/>
  <c r="CW96" i="38"/>
  <c r="Z97" i="40"/>
  <c r="CW47" i="38"/>
  <c r="Z48" i="40"/>
  <c r="CW111" i="38"/>
  <c r="Z112" i="40"/>
  <c r="CW76" i="38"/>
  <c r="Z77" i="40"/>
  <c r="CW130" i="38"/>
  <c r="Z131" i="40"/>
  <c r="CW79" i="38"/>
  <c r="Z80" i="40"/>
  <c r="CW68" i="38"/>
  <c r="Z69" i="40"/>
  <c r="CW112" i="38"/>
  <c r="Z113" i="40"/>
  <c r="CW128" i="38"/>
  <c r="Z129" i="40"/>
  <c r="CW92" i="38"/>
  <c r="Z93" i="40"/>
  <c r="CW105" i="38"/>
  <c r="Z106" i="40"/>
  <c r="CW45" i="38"/>
  <c r="Z46" i="40"/>
  <c r="CW144" i="38"/>
  <c r="Z145" i="40"/>
  <c r="CW58" i="38"/>
  <c r="Z59" i="40"/>
  <c r="CW113" i="38"/>
  <c r="Z114" i="40"/>
  <c r="CW55" i="38"/>
  <c r="Z56" i="40"/>
  <c r="CW65" i="38"/>
  <c r="Z66" i="40"/>
  <c r="CW59" i="38"/>
  <c r="Z60" i="40"/>
  <c r="CW46" i="38"/>
  <c r="Z47" i="40"/>
  <c r="CW70" i="38"/>
  <c r="Z71" i="40"/>
  <c r="CW62" i="38"/>
  <c r="Z63" i="40"/>
  <c r="BT59" i="43"/>
  <c r="BT59" i="45" s="1"/>
  <c r="BT65" i="43"/>
  <c r="BT65" i="45" s="1"/>
  <c r="BT58" i="43"/>
  <c r="BT58" i="45" s="1"/>
  <c r="CU71" i="38"/>
  <c r="CV71" i="38" s="1"/>
  <c r="CI135" i="38"/>
  <c r="CJ135" i="38" s="1"/>
  <c r="CK135" i="38" s="1"/>
  <c r="CL135" i="38" s="1"/>
  <c r="CM135" i="38" s="1"/>
  <c r="CN135" i="38" s="1"/>
  <c r="CO135" i="38" s="1"/>
  <c r="CP135" i="38" s="1"/>
  <c r="CX57" i="38"/>
  <c r="CW57" i="38"/>
  <c r="CQ109" i="38"/>
  <c r="CR109" i="38" s="1"/>
  <c r="CS109" i="38" s="1"/>
  <c r="CT109" i="38" s="1"/>
  <c r="CQ64" i="38"/>
  <c r="CR64" i="38" s="1"/>
  <c r="CS64" i="38" s="1"/>
  <c r="CT64" i="38" s="1"/>
  <c r="CW143" i="38"/>
  <c r="CX143" i="38"/>
  <c r="CW103" i="38"/>
  <c r="CX103" i="38"/>
  <c r="CQ137" i="38"/>
  <c r="CR137" i="38" s="1"/>
  <c r="CS137" i="38" s="1"/>
  <c r="CT137" i="38" s="1"/>
  <c r="CU137" i="38" s="1"/>
  <c r="CV137" i="38" s="1"/>
  <c r="CU110" i="38"/>
  <c r="CV110" i="38" s="1"/>
  <c r="CQ108" i="38"/>
  <c r="CR108" i="38" s="1"/>
  <c r="CS108" i="38" s="1"/>
  <c r="CT108" i="38" s="1"/>
  <c r="CU108" i="38" s="1"/>
  <c r="CV108" i="38" s="1"/>
  <c r="CU126" i="38"/>
  <c r="CV126" i="38" s="1"/>
  <c r="CM136" i="38"/>
  <c r="CN136" i="38" s="1"/>
  <c r="CO136" i="38" s="1"/>
  <c r="CP136" i="38" s="1"/>
  <c r="CQ136" i="38" s="1"/>
  <c r="CR136" i="38" s="1"/>
  <c r="CS136" i="38" s="1"/>
  <c r="CT136" i="38" s="1"/>
  <c r="CQ67" i="38"/>
  <c r="CR67" i="38" s="1"/>
  <c r="CS67" i="38" s="1"/>
  <c r="CT67" i="38" s="1"/>
  <c r="CI127" i="38"/>
  <c r="CJ127" i="38" s="1"/>
  <c r="CK127" i="38" s="1"/>
  <c r="CL127" i="38" s="1"/>
  <c r="CM127" i="38" s="1"/>
  <c r="CN127" i="38" s="1"/>
  <c r="CO127" i="38" s="1"/>
  <c r="CP127" i="38" s="1"/>
  <c r="CU134" i="38"/>
  <c r="CV134" i="38" s="1"/>
  <c r="CQ107" i="38"/>
  <c r="CR107" i="38" s="1"/>
  <c r="CS107" i="38" s="1"/>
  <c r="CT107" i="38" s="1"/>
  <c r="CU107" i="38" s="1"/>
  <c r="CV107" i="38" s="1"/>
  <c r="CU85" i="38"/>
  <c r="CV85" i="38" s="1"/>
  <c r="Z86" i="40" s="1"/>
  <c r="CI129" i="38"/>
  <c r="CJ129" i="38" s="1"/>
  <c r="CK129" i="38" s="1"/>
  <c r="CL129" i="38" s="1"/>
  <c r="CM129" i="38" s="1"/>
  <c r="CN129" i="38" s="1"/>
  <c r="CO129" i="38" s="1"/>
  <c r="CP129" i="38" s="1"/>
  <c r="CQ131" i="38"/>
  <c r="CR131" i="38" s="1"/>
  <c r="CS131" i="38" s="1"/>
  <c r="CT131" i="38" s="1"/>
  <c r="CU124" i="38"/>
  <c r="CV124" i="38" s="1"/>
  <c r="CQ69" i="38"/>
  <c r="CR69" i="38" s="1"/>
  <c r="CS69" i="38" s="1"/>
  <c r="CT69" i="38" s="1"/>
  <c r="CX94" i="38"/>
  <c r="CX46" i="38"/>
  <c r="CX96" i="38"/>
  <c r="CX49" i="38"/>
  <c r="CX98" i="38"/>
  <c r="CX79" i="38"/>
  <c r="CX133" i="38"/>
  <c r="CX89" i="38"/>
  <c r="CX123" i="38"/>
  <c r="IA104" i="14"/>
  <c r="CX66" i="38"/>
  <c r="CX80" i="38"/>
  <c r="CX74" i="38"/>
  <c r="CX48" i="38"/>
  <c r="CE44" i="38"/>
  <c r="IA99" i="14"/>
  <c r="CX45" i="38"/>
  <c r="CX117" i="38"/>
  <c r="IA100" i="14"/>
  <c r="IA103" i="14"/>
  <c r="IA87" i="14"/>
  <c r="IA90" i="14"/>
  <c r="IA102" i="14"/>
  <c r="IA109" i="14"/>
  <c r="IA97" i="14"/>
  <c r="CX81" i="38"/>
  <c r="CX138" i="38"/>
  <c r="CX95" i="38"/>
  <c r="CX51" i="38"/>
  <c r="CX101" i="38"/>
  <c r="CX122" i="38"/>
  <c r="CX53" i="38"/>
  <c r="CX92" i="38"/>
  <c r="CX112" i="38"/>
  <c r="CX116" i="38"/>
  <c r="CX84" i="38"/>
  <c r="IA92" i="14"/>
  <c r="IA95" i="14"/>
  <c r="IA85" i="14"/>
  <c r="IA107" i="14"/>
  <c r="IA98" i="14"/>
  <c r="IA94" i="14"/>
  <c r="IA96" i="14"/>
  <c r="IA106" i="14"/>
  <c r="IA89" i="14"/>
  <c r="IA108" i="14"/>
  <c r="IA101" i="14"/>
  <c r="IA105" i="14"/>
  <c r="IA91" i="14"/>
  <c r="IA86" i="14"/>
  <c r="IA88" i="14"/>
  <c r="AM63" i="15"/>
  <c r="AP63" i="15" s="1"/>
  <c r="BK61" i="38"/>
  <c r="AM50" i="15"/>
  <c r="AP50" i="15" s="1"/>
  <c r="BK48" i="38"/>
  <c r="AM48" i="15"/>
  <c r="AP48" i="15" s="1"/>
  <c r="BK46" i="38"/>
  <c r="AM57" i="15"/>
  <c r="AP57" i="15" s="1"/>
  <c r="BK55" i="38"/>
  <c r="AM61" i="15"/>
  <c r="AP61" i="15" s="1"/>
  <c r="BK59" i="38"/>
  <c r="AM68" i="15"/>
  <c r="AP68" i="15" s="1"/>
  <c r="BK66" i="38"/>
  <c r="AM49" i="15"/>
  <c r="AP49" i="15" s="1"/>
  <c r="BK47" i="38"/>
  <c r="AM52" i="15"/>
  <c r="AP52" i="15" s="1"/>
  <c r="BK50" i="38"/>
  <c r="AM65" i="15"/>
  <c r="AP65" i="15" s="1"/>
  <c r="BK63" i="38"/>
  <c r="AM62" i="15"/>
  <c r="AP62" i="15" s="1"/>
  <c r="BK60" i="38"/>
  <c r="AM59" i="15"/>
  <c r="AP59" i="15" s="1"/>
  <c r="BK57" i="38"/>
  <c r="AM47" i="15"/>
  <c r="AP47" i="15" s="1"/>
  <c r="BK45" i="38"/>
  <c r="AM46" i="15"/>
  <c r="AP46" i="15" s="1"/>
  <c r="BK44" i="38"/>
  <c r="AM51" i="15"/>
  <c r="AP51" i="15" s="1"/>
  <c r="BK49" i="38"/>
  <c r="AM54" i="15"/>
  <c r="AP54" i="15" s="1"/>
  <c r="BK52" i="38"/>
  <c r="AM60" i="15"/>
  <c r="AP60" i="15" s="1"/>
  <c r="BK58" i="38"/>
  <c r="AM56" i="15"/>
  <c r="AP56" i="15" s="1"/>
  <c r="BK54" i="38"/>
  <c r="AM64" i="15"/>
  <c r="AP64" i="15" s="1"/>
  <c r="BK62" i="38"/>
  <c r="AM58" i="15"/>
  <c r="AP58" i="15" s="1"/>
  <c r="BK56" i="38"/>
  <c r="AM53" i="15"/>
  <c r="AP53" i="15" s="1"/>
  <c r="BK51" i="38"/>
  <c r="IC68" i="14"/>
  <c r="IC62" i="14"/>
  <c r="IC63" i="14"/>
  <c r="IC65" i="14"/>
  <c r="IC64" i="14"/>
  <c r="IC67" i="14"/>
  <c r="IC69" i="14"/>
  <c r="IC66" i="14"/>
  <c r="IC60" i="14"/>
  <c r="FS102" i="14"/>
  <c r="FS75" i="14"/>
  <c r="FS74" i="14"/>
  <c r="FS103" i="14"/>
  <c r="IC88" i="14"/>
  <c r="IC87" i="14"/>
  <c r="IC72" i="14"/>
  <c r="IC74" i="14"/>
  <c r="FS78" i="14"/>
  <c r="FS99" i="14"/>
  <c r="FS87" i="14"/>
  <c r="IC61" i="14"/>
  <c r="IC79" i="14"/>
  <c r="IC80" i="14"/>
  <c r="IC70" i="14"/>
  <c r="FS66" i="14"/>
  <c r="FS68" i="14"/>
  <c r="FS62" i="14"/>
  <c r="FS63" i="14"/>
  <c r="FS69" i="14"/>
  <c r="FS67" i="14"/>
  <c r="FS64" i="14"/>
  <c r="FS60" i="14"/>
  <c r="FS65" i="14"/>
  <c r="FS81" i="14"/>
  <c r="FS105" i="14"/>
  <c r="IC73" i="14"/>
  <c r="FS95" i="14"/>
  <c r="FS76" i="14"/>
  <c r="FS82" i="14"/>
  <c r="FS77" i="14"/>
  <c r="FS91" i="14"/>
  <c r="FS92" i="14"/>
  <c r="FS96" i="14"/>
  <c r="IC81" i="14"/>
  <c r="IC84" i="14"/>
  <c r="FS72" i="14"/>
  <c r="FS71" i="14"/>
  <c r="FS90" i="14"/>
  <c r="FS85" i="14"/>
  <c r="IC71" i="14"/>
  <c r="IC89" i="14"/>
  <c r="FS101" i="14"/>
  <c r="FS84" i="14"/>
  <c r="FS83" i="14"/>
  <c r="FS97" i="14"/>
  <c r="FS98" i="14"/>
  <c r="FS89" i="14"/>
  <c r="IC83" i="14"/>
  <c r="IC75" i="14"/>
  <c r="FS61" i="14"/>
  <c r="FS73" i="14"/>
  <c r="FS70" i="14"/>
  <c r="FS80" i="14"/>
  <c r="FS104" i="14"/>
  <c r="IC76" i="14"/>
  <c r="IC77" i="14"/>
  <c r="FS93" i="14"/>
  <c r="FS100" i="14"/>
  <c r="FS94" i="14"/>
  <c r="FS79" i="14"/>
  <c r="FS86" i="14"/>
  <c r="FS88" i="14"/>
  <c r="IC90" i="14"/>
  <c r="IC82" i="14"/>
  <c r="IC86" i="14"/>
  <c r="IC78" i="14"/>
  <c r="IC85" i="14"/>
  <c r="AE84" i="38" l="1"/>
  <c r="AD124" i="38"/>
  <c r="AD105" i="38"/>
  <c r="AM86" i="15"/>
  <c r="AP86" i="15" s="1"/>
  <c r="AE105" i="38"/>
  <c r="AE111" i="38"/>
  <c r="AK115" i="15"/>
  <c r="AD116" i="38"/>
  <c r="AX116" i="38" s="1"/>
  <c r="AD98" i="38"/>
  <c r="AK113" i="15"/>
  <c r="AM113" i="15" s="1"/>
  <c r="AP113" i="15" s="1"/>
  <c r="AX143" i="38"/>
  <c r="AE113" i="38"/>
  <c r="AX113" i="38" s="1"/>
  <c r="AK122" i="15"/>
  <c r="AX55" i="38"/>
  <c r="AL108" i="15"/>
  <c r="AK105" i="15"/>
  <c r="BK103" i="38" s="1"/>
  <c r="AM100" i="15"/>
  <c r="AP100" i="15" s="1"/>
  <c r="AE103" i="38"/>
  <c r="AX103" i="38" s="1"/>
  <c r="AX74" i="38"/>
  <c r="AX142" i="38"/>
  <c r="AE99" i="38"/>
  <c r="AM135" i="15"/>
  <c r="AP135" i="15" s="1"/>
  <c r="BK83" i="38"/>
  <c r="AK109" i="15"/>
  <c r="AD133" i="38"/>
  <c r="AD122" i="38"/>
  <c r="AD94" i="38"/>
  <c r="AE98" i="38"/>
  <c r="AD102" i="38"/>
  <c r="AL98" i="15"/>
  <c r="AM98" i="15" s="1"/>
  <c r="AP98" i="15" s="1"/>
  <c r="AM55" i="15"/>
  <c r="AP55" i="15" s="1"/>
  <c r="AD114" i="38"/>
  <c r="AX114" i="38" s="1"/>
  <c r="AE90" i="38"/>
  <c r="AX90" i="38" s="1"/>
  <c r="AK84" i="15"/>
  <c r="AM84" i="15" s="1"/>
  <c r="AP84" i="15" s="1"/>
  <c r="BK130" i="38"/>
  <c r="AE117" i="38"/>
  <c r="AK93" i="15"/>
  <c r="AM93" i="15" s="1"/>
  <c r="AP93" i="15" s="1"/>
  <c r="AM104" i="15"/>
  <c r="AP104" i="15" s="1"/>
  <c r="AL99" i="15"/>
  <c r="AD131" i="38"/>
  <c r="AX131" i="38" s="1"/>
  <c r="AK108" i="15"/>
  <c r="AM87" i="15"/>
  <c r="AP87" i="15" s="1"/>
  <c r="BK109" i="38"/>
  <c r="AX132" i="38"/>
  <c r="AX72" i="38"/>
  <c r="AD96" i="38"/>
  <c r="AX96" i="38" s="1"/>
  <c r="AK134" i="15"/>
  <c r="BK132" i="38" s="1"/>
  <c r="AE88" i="38"/>
  <c r="AX88" i="38" s="1"/>
  <c r="AX87" i="38"/>
  <c r="AE110" i="38"/>
  <c r="AX110" i="38" s="1"/>
  <c r="BK141" i="38"/>
  <c r="AM67" i="15"/>
  <c r="AP67" i="15" s="1"/>
  <c r="AE104" i="38"/>
  <c r="AX104" i="38" s="1"/>
  <c r="AX69" i="38"/>
  <c r="AE133" i="38"/>
  <c r="AE82" i="38"/>
  <c r="AX82" i="38" s="1"/>
  <c r="AD99" i="38"/>
  <c r="AK106" i="15"/>
  <c r="AM106" i="15" s="1"/>
  <c r="AP106" i="15" s="1"/>
  <c r="AE95" i="38"/>
  <c r="AX95" i="38" s="1"/>
  <c r="U39" i="46"/>
  <c r="AE100" i="38"/>
  <c r="AX100" i="38" s="1"/>
  <c r="BK69" i="38"/>
  <c r="AL114" i="15"/>
  <c r="AM114" i="15" s="1"/>
  <c r="AP114" i="15" s="1"/>
  <c r="AM126" i="15"/>
  <c r="AP126" i="15" s="1"/>
  <c r="AL109" i="15"/>
  <c r="BK85" i="38"/>
  <c r="AD118" i="38"/>
  <c r="AX118" i="38" s="1"/>
  <c r="AX135" i="38"/>
  <c r="AX127" i="38"/>
  <c r="AX65" i="38"/>
  <c r="BK68" i="38"/>
  <c r="AE125" i="38"/>
  <c r="AX125" i="38" s="1"/>
  <c r="GJ61" i="14"/>
  <c r="AJ47" i="15" s="1"/>
  <c r="AN47" i="15" s="1"/>
  <c r="AQ47" i="15" s="1"/>
  <c r="BK102" i="38"/>
  <c r="AE102" i="38"/>
  <c r="AD112" i="38"/>
  <c r="AX112" i="38" s="1"/>
  <c r="AM85" i="15"/>
  <c r="AP85" i="15" s="1"/>
  <c r="AD108" i="38"/>
  <c r="AX108" i="38" s="1"/>
  <c r="AK117" i="15"/>
  <c r="AM117" i="15" s="1"/>
  <c r="AP117" i="15" s="1"/>
  <c r="BK87" i="38"/>
  <c r="AK92" i="15"/>
  <c r="AM92" i="15" s="1"/>
  <c r="AP92" i="15" s="1"/>
  <c r="AE83" i="38"/>
  <c r="AE92" i="38"/>
  <c r="AE101" i="38"/>
  <c r="AX101" i="38" s="1"/>
  <c r="AM97" i="15"/>
  <c r="AP97" i="15" s="1"/>
  <c r="AM143" i="15"/>
  <c r="AP143" i="15" s="1"/>
  <c r="BK67" i="38"/>
  <c r="AL83" i="15"/>
  <c r="AM83" i="15" s="1"/>
  <c r="AP83" i="15" s="1"/>
  <c r="AD97" i="38"/>
  <c r="AX97" i="38" s="1"/>
  <c r="IT74" i="14"/>
  <c r="AY60" i="15" s="1"/>
  <c r="BC60" i="15" s="1"/>
  <c r="BF60" i="15" s="1"/>
  <c r="BK72" i="38"/>
  <c r="AM137" i="15"/>
  <c r="AP137" i="15" s="1"/>
  <c r="AX81" i="38"/>
  <c r="AX67" i="38"/>
  <c r="AE85" i="38"/>
  <c r="AX85" i="38" s="1"/>
  <c r="AM75" i="15"/>
  <c r="AP75" i="15" s="1"/>
  <c r="AM140" i="15"/>
  <c r="AP140" i="15" s="1"/>
  <c r="AX83" i="38"/>
  <c r="AM90" i="15"/>
  <c r="AP90" i="15" s="1"/>
  <c r="AM70" i="15"/>
  <c r="AP70" i="15" s="1"/>
  <c r="AX70" i="38"/>
  <c r="AX77" i="38"/>
  <c r="AL79" i="15"/>
  <c r="AM79" i="15" s="1"/>
  <c r="AP79" i="15" s="1"/>
  <c r="BK74" i="38"/>
  <c r="AX137" i="38"/>
  <c r="AM101" i="15"/>
  <c r="AP101" i="15" s="1"/>
  <c r="AE86" i="38"/>
  <c r="AX86" i="38" s="1"/>
  <c r="AM88" i="15"/>
  <c r="AP88" i="15" s="1"/>
  <c r="BK92" i="38"/>
  <c r="AM94" i="15"/>
  <c r="AP94" i="15" s="1"/>
  <c r="BK88" i="38"/>
  <c r="AD92" i="38"/>
  <c r="BK76" i="38"/>
  <c r="BK117" i="38"/>
  <c r="AK127" i="15"/>
  <c r="AM127" i="15" s="1"/>
  <c r="AP127" i="15" s="1"/>
  <c r="BK75" i="38"/>
  <c r="AE115" i="38"/>
  <c r="AX115" i="38" s="1"/>
  <c r="AM80" i="15"/>
  <c r="AP80" i="15" s="1"/>
  <c r="AE79" i="38"/>
  <c r="AX79" i="38" s="1"/>
  <c r="AE78" i="38"/>
  <c r="AX78" i="38" s="1"/>
  <c r="BK114" i="38"/>
  <c r="AX91" i="38"/>
  <c r="AM111" i="15"/>
  <c r="AP111" i="15" s="1"/>
  <c r="BK89" i="38"/>
  <c r="AM91" i="15"/>
  <c r="AP91" i="15" s="1"/>
  <c r="AM77" i="15"/>
  <c r="AP77" i="15" s="1"/>
  <c r="AD117" i="38"/>
  <c r="AM138" i="15"/>
  <c r="AP138" i="15" s="1"/>
  <c r="AL118" i="15"/>
  <c r="AM118" i="15" s="1"/>
  <c r="AP118" i="15" s="1"/>
  <c r="BK86" i="38"/>
  <c r="AD109" i="38"/>
  <c r="AX109" i="38" s="1"/>
  <c r="AM78" i="15"/>
  <c r="AP78" i="15" s="1"/>
  <c r="AE89" i="38"/>
  <c r="AX89" i="38" s="1"/>
  <c r="AD119" i="38"/>
  <c r="AM119" i="15"/>
  <c r="AP119" i="15" s="1"/>
  <c r="AL96" i="15"/>
  <c r="AM96" i="15" s="1"/>
  <c r="AP96" i="15" s="1"/>
  <c r="AX140" i="38"/>
  <c r="AE76" i="38"/>
  <c r="AX76" i="38" s="1"/>
  <c r="AX94" i="38"/>
  <c r="AX75" i="38"/>
  <c r="AX93" i="38"/>
  <c r="AM81" i="15"/>
  <c r="AP81" i="15" s="1"/>
  <c r="AM82" i="15"/>
  <c r="AP82" i="15" s="1"/>
  <c r="BK80" i="38"/>
  <c r="FS106" i="14"/>
  <c r="FS109" i="14"/>
  <c r="FS108" i="14"/>
  <c r="AM72" i="15"/>
  <c r="AP72" i="15" s="1"/>
  <c r="AK102" i="15"/>
  <c r="BK100" i="38" s="1"/>
  <c r="BK78" i="38"/>
  <c r="AE80" i="38"/>
  <c r="AX80" i="38" s="1"/>
  <c r="IB91" i="14"/>
  <c r="FR92" i="14"/>
  <c r="GJ92" i="14" s="1"/>
  <c r="AJ78" i="15" s="1"/>
  <c r="AN78" i="15" s="1"/>
  <c r="AQ78" i="15" s="1"/>
  <c r="FS110" i="14"/>
  <c r="IC105" i="14"/>
  <c r="FS107" i="14"/>
  <c r="IC93" i="14"/>
  <c r="IC106" i="14"/>
  <c r="IC94" i="14"/>
  <c r="AE126" i="38"/>
  <c r="AL122" i="15"/>
  <c r="IC103" i="14"/>
  <c r="IC92" i="14"/>
  <c r="AX123" i="38"/>
  <c r="AK103" i="15"/>
  <c r="AM103" i="15" s="1"/>
  <c r="AP103" i="15" s="1"/>
  <c r="IC107" i="14"/>
  <c r="IC91" i="14"/>
  <c r="IC104" i="14"/>
  <c r="IC98" i="14"/>
  <c r="IC99" i="14"/>
  <c r="IC109" i="14"/>
  <c r="IC102" i="14"/>
  <c r="IC108" i="14"/>
  <c r="IC111" i="14"/>
  <c r="IC96" i="14"/>
  <c r="IC101" i="14"/>
  <c r="FS111" i="14"/>
  <c r="AM115" i="15"/>
  <c r="AP115" i="15" s="1"/>
  <c r="IC95" i="14"/>
  <c r="IC97" i="14"/>
  <c r="AM133" i="15"/>
  <c r="AP133" i="15" s="1"/>
  <c r="IC112" i="14"/>
  <c r="BK93" i="38"/>
  <c r="AX111" i="38"/>
  <c r="AX71" i="38"/>
  <c r="IC118" i="14"/>
  <c r="IB88" i="14"/>
  <c r="IT88" i="14" s="1"/>
  <c r="AY74" i="15" s="1"/>
  <c r="BC74" i="15" s="1"/>
  <c r="BD74" i="15" s="1"/>
  <c r="BG74" i="15" s="1"/>
  <c r="IC113" i="14"/>
  <c r="BK84" i="38"/>
  <c r="IT68" i="14"/>
  <c r="AY54" i="15" s="1"/>
  <c r="BC54" i="15" s="1"/>
  <c r="BD54" i="15" s="1"/>
  <c r="BG54" i="15" s="1"/>
  <c r="AX120" i="38"/>
  <c r="IB84" i="14"/>
  <c r="IT84" i="14" s="1"/>
  <c r="AY70" i="15" s="1"/>
  <c r="BC70" i="15" s="1"/>
  <c r="BD70" i="15" s="1"/>
  <c r="BG70" i="15" s="1"/>
  <c r="AM73" i="15"/>
  <c r="AP73" i="15" s="1"/>
  <c r="IC114" i="14"/>
  <c r="FS114" i="14"/>
  <c r="IC110" i="14"/>
  <c r="FS118" i="14"/>
  <c r="IC116" i="14"/>
  <c r="BK142" i="38"/>
  <c r="BK79" i="38"/>
  <c r="AM110" i="15"/>
  <c r="AP110" i="15" s="1"/>
  <c r="FS113" i="14"/>
  <c r="FS115" i="14"/>
  <c r="IC119" i="14"/>
  <c r="IC115" i="14"/>
  <c r="AX105" i="38"/>
  <c r="AX68" i="38"/>
  <c r="IC117" i="14"/>
  <c r="FS119" i="14"/>
  <c r="FS112" i="14"/>
  <c r="FS117" i="14"/>
  <c r="AX84" i="38"/>
  <c r="IB92" i="14"/>
  <c r="FR87" i="14"/>
  <c r="GJ87" i="14" s="1"/>
  <c r="AJ73" i="15" s="1"/>
  <c r="AN73" i="15" s="1"/>
  <c r="FR80" i="14"/>
  <c r="GJ80" i="14" s="1"/>
  <c r="AJ66" i="15" s="1"/>
  <c r="AN66" i="15" s="1"/>
  <c r="AQ66" i="15" s="1"/>
  <c r="FR88" i="14"/>
  <c r="GJ88" i="14" s="1"/>
  <c r="AJ74" i="15" s="1"/>
  <c r="AN74" i="15" s="1"/>
  <c r="AQ74" i="15" s="1"/>
  <c r="FR83" i="14"/>
  <c r="GJ83" i="14" s="1"/>
  <c r="AJ69" i="15" s="1"/>
  <c r="AN69" i="15" s="1"/>
  <c r="AQ69" i="15" s="1"/>
  <c r="FR81" i="14"/>
  <c r="GJ81" i="14" s="1"/>
  <c r="AC65" i="38" s="1"/>
  <c r="FR82" i="14"/>
  <c r="GJ82" i="14" s="1"/>
  <c r="AJ68" i="15" s="1"/>
  <c r="AN68" i="15" s="1"/>
  <c r="AQ68" i="15" s="1"/>
  <c r="FR85" i="14"/>
  <c r="GJ85" i="14" s="1"/>
  <c r="AJ71" i="15" s="1"/>
  <c r="AN71" i="15" s="1"/>
  <c r="AO71" i="15" s="1"/>
  <c r="AR71" i="15" s="1"/>
  <c r="FR86" i="14"/>
  <c r="GJ86" i="14" s="1"/>
  <c r="AJ72" i="15" s="1"/>
  <c r="AN72" i="15" s="1"/>
  <c r="AQ72" i="15" s="1"/>
  <c r="FR84" i="14"/>
  <c r="GJ84" i="14" s="1"/>
  <c r="AC68" i="38" s="1"/>
  <c r="FR89" i="14"/>
  <c r="GJ89" i="14" s="1"/>
  <c r="AJ75" i="15" s="1"/>
  <c r="AN75" i="15" s="1"/>
  <c r="IB89" i="14"/>
  <c r="IT89" i="14" s="1"/>
  <c r="AY75" i="15" s="1"/>
  <c r="BC75" i="15" s="1"/>
  <c r="BF75" i="15" s="1"/>
  <c r="BK71" i="38"/>
  <c r="IB87" i="14"/>
  <c r="IT87" i="14" s="1"/>
  <c r="AY73" i="15" s="1"/>
  <c r="BC73" i="15" s="1"/>
  <c r="BF73" i="15" s="1"/>
  <c r="IB94" i="14"/>
  <c r="IB86" i="14"/>
  <c r="IT86" i="14" s="1"/>
  <c r="AY72" i="15" s="1"/>
  <c r="BC72" i="15" s="1"/>
  <c r="BD72" i="15" s="1"/>
  <c r="BG72" i="15" s="1"/>
  <c r="AE128" i="38"/>
  <c r="AX128" i="38" s="1"/>
  <c r="BK134" i="38"/>
  <c r="FR91" i="14"/>
  <c r="GJ91" i="14" s="1"/>
  <c r="AJ77" i="15" s="1"/>
  <c r="AN77" i="15" s="1"/>
  <c r="AQ77" i="15" s="1"/>
  <c r="AX73" i="38"/>
  <c r="IB85" i="14"/>
  <c r="IT85" i="14" s="1"/>
  <c r="AY71" i="15" s="1"/>
  <c r="BC71" i="15" s="1"/>
  <c r="BF71" i="15" s="1"/>
  <c r="IB81" i="14"/>
  <c r="IT81" i="14" s="1"/>
  <c r="AY67" i="15" s="1"/>
  <c r="BC67" i="15" s="1"/>
  <c r="BF67" i="15" s="1"/>
  <c r="AX124" i="38"/>
  <c r="IB83" i="14"/>
  <c r="IT83" i="14" s="1"/>
  <c r="AY69" i="15" s="1"/>
  <c r="BC69" i="15" s="1"/>
  <c r="BD69" i="15" s="1"/>
  <c r="BG69" i="15" s="1"/>
  <c r="IB80" i="14"/>
  <c r="IT80" i="14" s="1"/>
  <c r="AJ64" i="38" s="1"/>
  <c r="IB82" i="14"/>
  <c r="IT82" i="14" s="1"/>
  <c r="AY68" i="15" s="1"/>
  <c r="BC68" i="15" s="1"/>
  <c r="BD68" i="15" s="1"/>
  <c r="BG68" i="15" s="1"/>
  <c r="IB90" i="14"/>
  <c r="IT90" i="14" s="1"/>
  <c r="AY76" i="15" s="1"/>
  <c r="BC76" i="15" s="1"/>
  <c r="BD76" i="15" s="1"/>
  <c r="BG76" i="15" s="1"/>
  <c r="FR98" i="14"/>
  <c r="GJ98" i="14" s="1"/>
  <c r="AC82" i="38" s="1"/>
  <c r="IB95" i="14"/>
  <c r="AM120" i="15"/>
  <c r="AP120" i="15" s="1"/>
  <c r="BK91" i="38"/>
  <c r="IB93" i="14"/>
  <c r="AE130" i="38"/>
  <c r="AX130" i="38" s="1"/>
  <c r="FR90" i="14"/>
  <c r="GJ90" i="14" s="1"/>
  <c r="AC74" i="38" s="1"/>
  <c r="FR93" i="14"/>
  <c r="GJ93" i="14" s="1"/>
  <c r="AJ79" i="15" s="1"/>
  <c r="AN79" i="15" s="1"/>
  <c r="BK113" i="38"/>
  <c r="BK144" i="38"/>
  <c r="AM107" i="15"/>
  <c r="AP107" i="15" s="1"/>
  <c r="BK139" i="38"/>
  <c r="BK124" i="38"/>
  <c r="GJ64" i="14"/>
  <c r="AC48" i="38" s="1"/>
  <c r="AD126" i="38"/>
  <c r="AM146" i="15"/>
  <c r="AP146" i="15" s="1"/>
  <c r="AM131" i="15"/>
  <c r="AP131" i="15" s="1"/>
  <c r="BK126" i="38"/>
  <c r="AD129" i="38"/>
  <c r="AX129" i="38" s="1"/>
  <c r="AM99" i="15"/>
  <c r="AP99" i="15" s="1"/>
  <c r="IB125" i="14"/>
  <c r="AM136" i="15"/>
  <c r="AP136" i="15" s="1"/>
  <c r="AX106" i="38"/>
  <c r="IB141" i="14"/>
  <c r="FR144" i="14"/>
  <c r="IB144" i="14"/>
  <c r="IB142" i="14"/>
  <c r="IB148" i="14"/>
  <c r="IB149" i="14"/>
  <c r="IB147" i="14"/>
  <c r="FR149" i="14"/>
  <c r="FR147" i="14"/>
  <c r="FR148" i="14"/>
  <c r="IB140" i="14"/>
  <c r="U38" i="1"/>
  <c r="U38" i="46"/>
  <c r="IB143" i="14"/>
  <c r="IB126" i="14"/>
  <c r="AX107" i="38"/>
  <c r="FR140" i="14"/>
  <c r="IB146" i="14"/>
  <c r="IB145" i="14"/>
  <c r="FR146" i="14"/>
  <c r="FR143" i="14"/>
  <c r="FR145" i="14"/>
  <c r="FR130" i="14"/>
  <c r="FR142" i="14"/>
  <c r="FR141" i="14"/>
  <c r="IB132" i="14"/>
  <c r="IB130" i="14"/>
  <c r="IB120" i="14"/>
  <c r="IB134" i="14"/>
  <c r="IB121" i="14"/>
  <c r="IB131" i="14"/>
  <c r="IB128" i="14"/>
  <c r="IB127" i="14"/>
  <c r="IB123" i="14"/>
  <c r="FR124" i="14"/>
  <c r="IB133" i="14"/>
  <c r="IB129" i="14"/>
  <c r="IT64" i="14"/>
  <c r="AY50" i="15" s="1"/>
  <c r="BC50" i="15" s="1"/>
  <c r="BF50" i="15" s="1"/>
  <c r="BK127" i="38"/>
  <c r="BK95" i="38"/>
  <c r="IT60" i="14"/>
  <c r="AY46" i="15" s="1"/>
  <c r="BC46" i="15" s="1"/>
  <c r="BF46" i="15" s="1"/>
  <c r="GJ73" i="14"/>
  <c r="AJ59" i="15" s="1"/>
  <c r="AN59" i="15" s="1"/>
  <c r="AQ59" i="15" s="1"/>
  <c r="AM132" i="15"/>
  <c r="AP132" i="15" s="1"/>
  <c r="BK143" i="38"/>
  <c r="BK129" i="38"/>
  <c r="GJ60" i="14"/>
  <c r="AJ46" i="15" s="1"/>
  <c r="AN46" i="15" s="1"/>
  <c r="AQ46" i="15" s="1"/>
  <c r="IT78" i="14"/>
  <c r="AY64" i="15" s="1"/>
  <c r="BC64" i="15" s="1"/>
  <c r="BD64" i="15" s="1"/>
  <c r="BG64" i="15" s="1"/>
  <c r="IT63" i="14"/>
  <c r="AY49" i="15" s="1"/>
  <c r="BC49" i="15" s="1"/>
  <c r="BD49" i="15" s="1"/>
  <c r="BG49" i="15" s="1"/>
  <c r="GJ78" i="14"/>
  <c r="AC62" i="38" s="1"/>
  <c r="BK97" i="38"/>
  <c r="FS143" i="14"/>
  <c r="GJ79" i="14"/>
  <c r="AJ65" i="15" s="1"/>
  <c r="AN65" i="15" s="1"/>
  <c r="AO65" i="15" s="1"/>
  <c r="AR65" i="15" s="1"/>
  <c r="BK138" i="38"/>
  <c r="AM128" i="15"/>
  <c r="AP128" i="15" s="1"/>
  <c r="GJ77" i="14"/>
  <c r="AJ63" i="15" s="1"/>
  <c r="AN63" i="15" s="1"/>
  <c r="AQ63" i="15" s="1"/>
  <c r="AM116" i="15"/>
  <c r="AP116" i="15" s="1"/>
  <c r="V38" i="46"/>
  <c r="FR112" i="14"/>
  <c r="BK110" i="38"/>
  <c r="GJ63" i="14"/>
  <c r="AJ49" i="15" s="1"/>
  <c r="AN49" i="15" s="1"/>
  <c r="AQ49" i="15" s="1"/>
  <c r="BK105" i="38"/>
  <c r="IT66" i="14"/>
  <c r="AY52" i="15" s="1"/>
  <c r="BC52" i="15" s="1"/>
  <c r="BF52" i="15" s="1"/>
  <c r="BK123" i="38"/>
  <c r="FS144" i="14"/>
  <c r="AM123" i="15"/>
  <c r="AP123" i="15" s="1"/>
  <c r="BK121" i="38"/>
  <c r="AM124" i="15"/>
  <c r="AP124" i="15" s="1"/>
  <c r="BK122" i="38"/>
  <c r="FS158" i="14"/>
  <c r="GJ158" i="14" s="1"/>
  <c r="AJ144" i="15" s="1"/>
  <c r="AN144" i="15" s="1"/>
  <c r="AO144" i="15" s="1"/>
  <c r="AR144" i="15" s="1"/>
  <c r="GJ67" i="14"/>
  <c r="AJ53" i="15" s="1"/>
  <c r="AN53" i="15" s="1"/>
  <c r="AQ53" i="15" s="1"/>
  <c r="IT70" i="14"/>
  <c r="AJ54" i="38" s="1"/>
  <c r="GJ75" i="14"/>
  <c r="AJ61" i="15" s="1"/>
  <c r="AN61" i="15" s="1"/>
  <c r="AO61" i="15" s="1"/>
  <c r="AR61" i="15" s="1"/>
  <c r="IT67" i="14"/>
  <c r="AY53" i="15" s="1"/>
  <c r="BC53" i="15" s="1"/>
  <c r="BD53" i="15" s="1"/>
  <c r="BG53" i="15" s="1"/>
  <c r="AM142" i="15"/>
  <c r="AP142" i="15" s="1"/>
  <c r="AE122" i="38"/>
  <c r="FS127" i="14"/>
  <c r="IT72" i="14"/>
  <c r="AJ56" i="38" s="1"/>
  <c r="BK128" i="38"/>
  <c r="BK137" i="38"/>
  <c r="IT79" i="14"/>
  <c r="AY65" i="15" s="1"/>
  <c r="BC65" i="15" s="1"/>
  <c r="BF65" i="15" s="1"/>
  <c r="IC153" i="14"/>
  <c r="IT153" i="14" s="1"/>
  <c r="AY139" i="15" s="1"/>
  <c r="BC139" i="15" s="1"/>
  <c r="BD139" i="15" s="1"/>
  <c r="BG139" i="15" s="1"/>
  <c r="AE121" i="38"/>
  <c r="AX121" i="38" s="1"/>
  <c r="FS152" i="14"/>
  <c r="GJ152" i="14" s="1"/>
  <c r="AJ138" i="15" s="1"/>
  <c r="AN138" i="15" s="1"/>
  <c r="AQ138" i="15" s="1"/>
  <c r="GJ72" i="14"/>
  <c r="AJ58" i="15" s="1"/>
  <c r="AN58" i="15" s="1"/>
  <c r="AQ58" i="15" s="1"/>
  <c r="GJ74" i="14"/>
  <c r="AJ60" i="15" s="1"/>
  <c r="AN60" i="15" s="1"/>
  <c r="AQ60" i="15" s="1"/>
  <c r="GJ70" i="14"/>
  <c r="AJ56" i="15" s="1"/>
  <c r="AN56" i="15" s="1"/>
  <c r="AQ56" i="15" s="1"/>
  <c r="BK98" i="38"/>
  <c r="BK131" i="38"/>
  <c r="IB122" i="14"/>
  <c r="IB114" i="14"/>
  <c r="IT76" i="14"/>
  <c r="AY62" i="15" s="1"/>
  <c r="BC62" i="15" s="1"/>
  <c r="BD62" i="15" s="1"/>
  <c r="BG62" i="15" s="1"/>
  <c r="IT61" i="14"/>
  <c r="AY47" i="15" s="1"/>
  <c r="BC47" i="15" s="1"/>
  <c r="BF47" i="15" s="1"/>
  <c r="BK108" i="38"/>
  <c r="BK99" i="38"/>
  <c r="IT71" i="14"/>
  <c r="AJ55" i="38" s="1"/>
  <c r="IT75" i="14"/>
  <c r="AY61" i="15" s="1"/>
  <c r="BC61" i="15" s="1"/>
  <c r="BD61" i="15" s="1"/>
  <c r="BG61" i="15" s="1"/>
  <c r="H54" i="16"/>
  <c r="W40" i="46" s="1"/>
  <c r="FS137" i="14"/>
  <c r="FS138" i="14"/>
  <c r="FS153" i="14"/>
  <c r="GJ153" i="14" s="1"/>
  <c r="AJ139" i="15" s="1"/>
  <c r="AN139" i="15" s="1"/>
  <c r="AO139" i="15" s="1"/>
  <c r="AR139" i="15" s="1"/>
  <c r="FS128" i="14"/>
  <c r="GJ76" i="14"/>
  <c r="AJ62" i="15" s="1"/>
  <c r="AN62" i="15" s="1"/>
  <c r="AQ62" i="15" s="1"/>
  <c r="FS123" i="14"/>
  <c r="IB112" i="14"/>
  <c r="IT77" i="14"/>
  <c r="AY63" i="15" s="1"/>
  <c r="BC63" i="15" s="1"/>
  <c r="BD63" i="15" s="1"/>
  <c r="BG63" i="15" s="1"/>
  <c r="IB111" i="14"/>
  <c r="IB117" i="14"/>
  <c r="FS135" i="14"/>
  <c r="FS125" i="14"/>
  <c r="FS142" i="14"/>
  <c r="FS133" i="14"/>
  <c r="BK64" i="38"/>
  <c r="BK136" i="38"/>
  <c r="BK133" i="38"/>
  <c r="IB110" i="14"/>
  <c r="IB118" i="14"/>
  <c r="FS146" i="14"/>
  <c r="FS156" i="14"/>
  <c r="GJ156" i="14" s="1"/>
  <c r="AC140" i="38" s="1"/>
  <c r="FS149" i="14"/>
  <c r="FS134" i="14"/>
  <c r="IB116" i="14"/>
  <c r="IB119" i="14"/>
  <c r="FS157" i="14"/>
  <c r="GJ157" i="14" s="1"/>
  <c r="AJ143" i="15" s="1"/>
  <c r="AN143" i="15" s="1"/>
  <c r="GJ71" i="14"/>
  <c r="AJ57" i="15" s="1"/>
  <c r="AN57" i="15" s="1"/>
  <c r="AO57" i="15" s="1"/>
  <c r="AR57" i="15" s="1"/>
  <c r="FS151" i="14"/>
  <c r="GJ151" i="14" s="1"/>
  <c r="AJ137" i="15" s="1"/>
  <c r="AN137" i="15" s="1"/>
  <c r="FS139" i="14"/>
  <c r="FS160" i="14"/>
  <c r="GJ160" i="14" s="1"/>
  <c r="AJ146" i="15" s="1"/>
  <c r="AN146" i="15" s="1"/>
  <c r="AQ146" i="15" s="1"/>
  <c r="FS141" i="14"/>
  <c r="FS147" i="14"/>
  <c r="FS145" i="14"/>
  <c r="FS121" i="14"/>
  <c r="IT73" i="14"/>
  <c r="AJ57" i="38" s="1"/>
  <c r="IB113" i="14"/>
  <c r="IB115" i="14"/>
  <c r="FS140" i="14"/>
  <c r="IC146" i="14"/>
  <c r="FS132" i="14"/>
  <c r="GJ68" i="14"/>
  <c r="AC52" i="38" s="1"/>
  <c r="IT62" i="14"/>
  <c r="AY48" i="15" s="1"/>
  <c r="BC48" i="15" s="1"/>
  <c r="BD48" i="15" s="1"/>
  <c r="BG48" i="15" s="1"/>
  <c r="IB124" i="14"/>
  <c r="FS159" i="14"/>
  <c r="GJ159" i="14" s="1"/>
  <c r="AJ145" i="15" s="1"/>
  <c r="AN145" i="15" s="1"/>
  <c r="AO145" i="15" s="1"/>
  <c r="AR145" i="15" s="1"/>
  <c r="FS136" i="14"/>
  <c r="FS150" i="14"/>
  <c r="GJ150" i="14" s="1"/>
  <c r="AC134" i="38" s="1"/>
  <c r="FS131" i="14"/>
  <c r="IC122" i="14"/>
  <c r="IB105" i="14"/>
  <c r="IC149" i="14"/>
  <c r="IC152" i="14"/>
  <c r="IT152" i="14" s="1"/>
  <c r="AY138" i="15" s="1"/>
  <c r="BC138" i="15" s="1"/>
  <c r="BD138" i="15" s="1"/>
  <c r="BG138" i="15" s="1"/>
  <c r="IC150" i="14"/>
  <c r="IT150" i="14" s="1"/>
  <c r="AY136" i="15" s="1"/>
  <c r="BC136" i="15" s="1"/>
  <c r="BD136" i="15" s="1"/>
  <c r="BG136" i="15" s="1"/>
  <c r="IC137" i="14"/>
  <c r="IC142" i="14"/>
  <c r="IC143" i="14"/>
  <c r="IC138" i="14"/>
  <c r="IC144" i="14"/>
  <c r="IC159" i="14"/>
  <c r="IT159" i="14" s="1"/>
  <c r="AY145" i="15" s="1"/>
  <c r="BC145" i="15" s="1"/>
  <c r="BF145" i="15" s="1"/>
  <c r="IC160" i="14"/>
  <c r="IT160" i="14" s="1"/>
  <c r="AY146" i="15" s="1"/>
  <c r="BC146" i="15" s="1"/>
  <c r="BF146" i="15" s="1"/>
  <c r="IC133" i="14"/>
  <c r="IT65" i="14"/>
  <c r="AY51" i="15" s="1"/>
  <c r="BC51" i="15" s="1"/>
  <c r="BD51" i="15" s="1"/>
  <c r="BG51" i="15" s="1"/>
  <c r="IC145" i="14"/>
  <c r="IC156" i="14"/>
  <c r="IT156" i="14" s="1"/>
  <c r="AJ140" i="38" s="1"/>
  <c r="IC158" i="14"/>
  <c r="IT158" i="14" s="1"/>
  <c r="AY144" i="15" s="1"/>
  <c r="BC144" i="15" s="1"/>
  <c r="BD144" i="15" s="1"/>
  <c r="BG144" i="15" s="1"/>
  <c r="IC148" i="14"/>
  <c r="IC154" i="14"/>
  <c r="IT154" i="14" s="1"/>
  <c r="AY140" i="15" s="1"/>
  <c r="BC140" i="15" s="1"/>
  <c r="BD140" i="15" s="1"/>
  <c r="BG140" i="15" s="1"/>
  <c r="IC155" i="14"/>
  <c r="IT155" i="14" s="1"/>
  <c r="AY141" i="15" s="1"/>
  <c r="BC141" i="15" s="1"/>
  <c r="BD141" i="15" s="1"/>
  <c r="BG141" i="15" s="1"/>
  <c r="GJ62" i="14"/>
  <c r="AJ48" i="15" s="1"/>
  <c r="AN48" i="15" s="1"/>
  <c r="AO48" i="15" s="1"/>
  <c r="AR48" i="15" s="1"/>
  <c r="IC125" i="14"/>
  <c r="IC139" i="14"/>
  <c r="IC147" i="14"/>
  <c r="IC131" i="14"/>
  <c r="IB107" i="14"/>
  <c r="IC127" i="14"/>
  <c r="FS120" i="14"/>
  <c r="IC124" i="14"/>
  <c r="IC121" i="14"/>
  <c r="IC129" i="14"/>
  <c r="IC134" i="14"/>
  <c r="IC126" i="14"/>
  <c r="FS154" i="14"/>
  <c r="GJ154" i="14" s="1"/>
  <c r="AJ140" i="15" s="1"/>
  <c r="AN140" i="15" s="1"/>
  <c r="AQ140" i="15" s="1"/>
  <c r="IC140" i="14"/>
  <c r="FS148" i="14"/>
  <c r="IC151" i="14"/>
  <c r="IT151" i="14" s="1"/>
  <c r="AY137" i="15" s="1"/>
  <c r="BC137" i="15" s="1"/>
  <c r="BF137" i="15" s="1"/>
  <c r="IC135" i="14"/>
  <c r="FS129" i="14"/>
  <c r="FS124" i="14"/>
  <c r="FS122" i="14"/>
  <c r="GJ66" i="14"/>
  <c r="AJ52" i="15" s="1"/>
  <c r="AN52" i="15" s="1"/>
  <c r="AO52" i="15" s="1"/>
  <c r="AR52" i="15" s="1"/>
  <c r="FS130" i="14"/>
  <c r="GJ69" i="14"/>
  <c r="AJ55" i="15" s="1"/>
  <c r="AN55" i="15" s="1"/>
  <c r="AQ55" i="15" s="1"/>
  <c r="IC120" i="14"/>
  <c r="FS155" i="14"/>
  <c r="GJ155" i="14" s="1"/>
  <c r="AJ141" i="15" s="1"/>
  <c r="AN141" i="15" s="1"/>
  <c r="AO141" i="15" s="1"/>
  <c r="AR141" i="15" s="1"/>
  <c r="IC136" i="14"/>
  <c r="IC141" i="14"/>
  <c r="IC157" i="14"/>
  <c r="IT157" i="14" s="1"/>
  <c r="AY143" i="15" s="1"/>
  <c r="BC143" i="15" s="1"/>
  <c r="BD143" i="15" s="1"/>
  <c r="BG143" i="15" s="1"/>
  <c r="IC130" i="14"/>
  <c r="IC128" i="14"/>
  <c r="FS126" i="14"/>
  <c r="IC132" i="14"/>
  <c r="IC123" i="14"/>
  <c r="IB106" i="14"/>
  <c r="IB108" i="14"/>
  <c r="IB109" i="14"/>
  <c r="IB99" i="14"/>
  <c r="IB103" i="14"/>
  <c r="IB101" i="14"/>
  <c r="H21" i="16"/>
  <c r="W36" i="46" s="1"/>
  <c r="FR132" i="14"/>
  <c r="FR116" i="14"/>
  <c r="GJ116" i="14" s="1"/>
  <c r="AC100" i="38" s="1"/>
  <c r="FR114" i="14"/>
  <c r="FR122" i="14"/>
  <c r="IB100" i="14"/>
  <c r="IT100" i="14" s="1"/>
  <c r="AY86" i="15" s="1"/>
  <c r="BC86" i="15" s="1"/>
  <c r="BF86" i="15" s="1"/>
  <c r="FR134" i="14"/>
  <c r="FR131" i="14"/>
  <c r="FR119" i="14"/>
  <c r="FR110" i="14"/>
  <c r="FR123" i="14"/>
  <c r="FR127" i="14"/>
  <c r="FR105" i="14"/>
  <c r="GJ105" i="14" s="1"/>
  <c r="FR104" i="14"/>
  <c r="GJ104" i="14" s="1"/>
  <c r="FR121" i="14"/>
  <c r="FR120" i="14"/>
  <c r="FR126" i="14"/>
  <c r="FR109" i="14"/>
  <c r="FR102" i="14"/>
  <c r="GJ102" i="14" s="1"/>
  <c r="IB98" i="14"/>
  <c r="IT69" i="14"/>
  <c r="AY55" i="15" s="1"/>
  <c r="BC55" i="15" s="1"/>
  <c r="BF55" i="15" s="1"/>
  <c r="FR111" i="14"/>
  <c r="FR115" i="14"/>
  <c r="FR125" i="14"/>
  <c r="FR108" i="14"/>
  <c r="FR101" i="14"/>
  <c r="GJ101" i="14" s="1"/>
  <c r="FR97" i="14"/>
  <c r="GJ97" i="14" s="1"/>
  <c r="IB104" i="14"/>
  <c r="FR94" i="14"/>
  <c r="GJ94" i="14" s="1"/>
  <c r="FR139" i="14"/>
  <c r="FR138" i="14"/>
  <c r="FR136" i="14"/>
  <c r="FR135" i="14"/>
  <c r="FR137" i="14"/>
  <c r="GJ65" i="14"/>
  <c r="AJ51" i="15" s="1"/>
  <c r="AN51" i="15" s="1"/>
  <c r="AQ51" i="15" s="1"/>
  <c r="FR117" i="14"/>
  <c r="FR129" i="14"/>
  <c r="FR113" i="14"/>
  <c r="FR106" i="14"/>
  <c r="FR100" i="14"/>
  <c r="GJ100" i="14" s="1"/>
  <c r="FR103" i="14"/>
  <c r="GJ103" i="14" s="1"/>
  <c r="IB137" i="14"/>
  <c r="IB135" i="14"/>
  <c r="IB138" i="14"/>
  <c r="IB136" i="14"/>
  <c r="IB139" i="14"/>
  <c r="AL121" i="15"/>
  <c r="AM121" i="15" s="1"/>
  <c r="AP121" i="15" s="1"/>
  <c r="AE119" i="38"/>
  <c r="FR128" i="14"/>
  <c r="FR133" i="14"/>
  <c r="FR118" i="14"/>
  <c r="FR107" i="14"/>
  <c r="IB102" i="14"/>
  <c r="FR99" i="14"/>
  <c r="GJ99" i="14" s="1"/>
  <c r="FR96" i="14"/>
  <c r="GJ96" i="14" s="1"/>
  <c r="IB97" i="14"/>
  <c r="IB96" i="14"/>
  <c r="FR95" i="14"/>
  <c r="GJ95" i="14" s="1"/>
  <c r="V39" i="1"/>
  <c r="V39" i="46"/>
  <c r="H22" i="16"/>
  <c r="W37" i="46" s="1"/>
  <c r="CW134" i="38"/>
  <c r="Z135" i="40"/>
  <c r="CW71" i="38"/>
  <c r="Z72" i="40"/>
  <c r="CW124" i="38"/>
  <c r="Z125" i="40"/>
  <c r="CW126" i="38"/>
  <c r="Z127" i="40"/>
  <c r="CW108" i="38"/>
  <c r="Z109" i="40"/>
  <c r="CW110" i="38"/>
  <c r="Z111" i="40"/>
  <c r="CW107" i="38"/>
  <c r="Z108" i="40"/>
  <c r="CW137" i="38"/>
  <c r="Z138" i="40"/>
  <c r="BT51" i="43"/>
  <c r="BT51" i="45" s="1"/>
  <c r="BT61" i="43"/>
  <c r="BT61" i="45" s="1"/>
  <c r="BT52" i="43"/>
  <c r="BT52" i="45" s="1"/>
  <c r="BT62" i="43"/>
  <c r="BT62" i="45" s="1"/>
  <c r="CU64" i="38"/>
  <c r="CV64" i="38" s="1"/>
  <c r="CQ127" i="38"/>
  <c r="CR127" i="38" s="1"/>
  <c r="CS127" i="38" s="1"/>
  <c r="CT127" i="38" s="1"/>
  <c r="CU127" i="38" s="1"/>
  <c r="CV127" i="38" s="1"/>
  <c r="Z128" i="40" s="1"/>
  <c r="CU109" i="38"/>
  <c r="CV109" i="38" s="1"/>
  <c r="Z110" i="40" s="1"/>
  <c r="CU131" i="38"/>
  <c r="CV131" i="38" s="1"/>
  <c r="CU67" i="38"/>
  <c r="CV67" i="38" s="1"/>
  <c r="CQ129" i="38"/>
  <c r="CR129" i="38" s="1"/>
  <c r="CS129" i="38" s="1"/>
  <c r="CT129" i="38" s="1"/>
  <c r="CU129" i="38" s="1"/>
  <c r="CV129" i="38" s="1"/>
  <c r="CW85" i="38"/>
  <c r="CX85" i="38"/>
  <c r="CQ135" i="38"/>
  <c r="CR135" i="38" s="1"/>
  <c r="CS135" i="38" s="1"/>
  <c r="CT135" i="38" s="1"/>
  <c r="CU69" i="38"/>
  <c r="CV69" i="38" s="1"/>
  <c r="Z70" i="40" s="1"/>
  <c r="CU136" i="38"/>
  <c r="CV136" i="38" s="1"/>
  <c r="CX90" i="38"/>
  <c r="CX119" i="38"/>
  <c r="CX104" i="38"/>
  <c r="CX73" i="38"/>
  <c r="CX141" i="38"/>
  <c r="CX75" i="38"/>
  <c r="CX97" i="38"/>
  <c r="CX140" i="38"/>
  <c r="CX111" i="38"/>
  <c r="CF44" i="38"/>
  <c r="CG44" i="38" s="1"/>
  <c r="CH44" i="38" s="1"/>
  <c r="CX144" i="38"/>
  <c r="CX100" i="38"/>
  <c r="CX70" i="38"/>
  <c r="CX91" i="38"/>
  <c r="CX65" i="38"/>
  <c r="CX76" i="38"/>
  <c r="CX58" i="38"/>
  <c r="CX54" i="38"/>
  <c r="CX61" i="38"/>
  <c r="CX50" i="38"/>
  <c r="CX110" i="38"/>
  <c r="CX59" i="38"/>
  <c r="CX72" i="38"/>
  <c r="CX142" i="38"/>
  <c r="CX68" i="38"/>
  <c r="CX125" i="38"/>
  <c r="CX106" i="38"/>
  <c r="CX87" i="38"/>
  <c r="CX113" i="38"/>
  <c r="CX83" i="38"/>
  <c r="CX102" i="38"/>
  <c r="CX55" i="38"/>
  <c r="CX63" i="38"/>
  <c r="CX114" i="38"/>
  <c r="CX77" i="38"/>
  <c r="CX137" i="38"/>
  <c r="CX78" i="38"/>
  <c r="H55" i="16"/>
  <c r="W41" i="46" s="1"/>
  <c r="BK106" i="38" l="1"/>
  <c r="BK111" i="38"/>
  <c r="BK104" i="38"/>
  <c r="AM105" i="15"/>
  <c r="AP105" i="15" s="1"/>
  <c r="AJ64" i="15"/>
  <c r="AN64" i="15" s="1"/>
  <c r="AQ64" i="15" s="1"/>
  <c r="AM122" i="15"/>
  <c r="AP122" i="15" s="1"/>
  <c r="AX98" i="38"/>
  <c r="AM108" i="15"/>
  <c r="AP108" i="15" s="1"/>
  <c r="AX117" i="38"/>
  <c r="AX102" i="38"/>
  <c r="BK96" i="38"/>
  <c r="AX99" i="38"/>
  <c r="AX133" i="38"/>
  <c r="BK82" i="38"/>
  <c r="BK107" i="38"/>
  <c r="IT107" i="14"/>
  <c r="AY93" i="15" s="1"/>
  <c r="BC93" i="15" s="1"/>
  <c r="BD93" i="15" s="1"/>
  <c r="BG93" i="15" s="1"/>
  <c r="AX122" i="38"/>
  <c r="AM134" i="15"/>
  <c r="AP134" i="15" s="1"/>
  <c r="BK112" i="38"/>
  <c r="BK115" i="38"/>
  <c r="IT106" i="14"/>
  <c r="AY92" i="15" s="1"/>
  <c r="BC92" i="15" s="1"/>
  <c r="BF92" i="15" s="1"/>
  <c r="IT116" i="14"/>
  <c r="AJ100" i="38" s="1"/>
  <c r="AJ46" i="38"/>
  <c r="GJ110" i="14"/>
  <c r="AJ96" i="15" s="1"/>
  <c r="AN96" i="15" s="1"/>
  <c r="AO96" i="15" s="1"/>
  <c r="AR96" i="15" s="1"/>
  <c r="BK125" i="38"/>
  <c r="BK116" i="38"/>
  <c r="GJ138" i="14"/>
  <c r="AC122" i="38" s="1"/>
  <c r="GJ121" i="14"/>
  <c r="AC105" i="38" s="1"/>
  <c r="AO137" i="15"/>
  <c r="AR137" i="15" s="1"/>
  <c r="IT102" i="14"/>
  <c r="AY88" i="15" s="1"/>
  <c r="BC88" i="15" s="1"/>
  <c r="BD88" i="15" s="1"/>
  <c r="BG88" i="15" s="1"/>
  <c r="IT108" i="14"/>
  <c r="AJ92" i="38" s="1"/>
  <c r="BK81" i="38"/>
  <c r="AO75" i="15"/>
  <c r="AR75" i="15" s="1"/>
  <c r="BK90" i="38"/>
  <c r="BK77" i="38"/>
  <c r="AO79" i="15"/>
  <c r="AR79" i="15" s="1"/>
  <c r="AC45" i="38"/>
  <c r="AM109" i="15"/>
  <c r="AP109" i="15" s="1"/>
  <c r="AO73" i="15"/>
  <c r="AR73" i="15" s="1"/>
  <c r="IT94" i="14"/>
  <c r="AJ78" i="38" s="1"/>
  <c r="AJ58" i="38"/>
  <c r="IT97" i="14"/>
  <c r="AY83" i="15" s="1"/>
  <c r="BC83" i="15" s="1"/>
  <c r="BF83" i="15" s="1"/>
  <c r="IT118" i="14"/>
  <c r="AY104" i="15" s="1"/>
  <c r="BC104" i="15" s="1"/>
  <c r="BF104" i="15" s="1"/>
  <c r="IT117" i="14"/>
  <c r="AY103" i="15" s="1"/>
  <c r="BC103" i="15" s="1"/>
  <c r="BD103" i="15" s="1"/>
  <c r="BG103" i="15" s="1"/>
  <c r="GJ112" i="14"/>
  <c r="AJ98" i="15" s="1"/>
  <c r="AN98" i="15" s="1"/>
  <c r="AQ98" i="15" s="1"/>
  <c r="IT92" i="14"/>
  <c r="AY78" i="15" s="1"/>
  <c r="BC78" i="15" s="1"/>
  <c r="BD78" i="15" s="1"/>
  <c r="BG78" i="15" s="1"/>
  <c r="AX92" i="38"/>
  <c r="IT145" i="14"/>
  <c r="AY131" i="15" s="1"/>
  <c r="BC131" i="15" s="1"/>
  <c r="BF131" i="15" s="1"/>
  <c r="GJ108" i="14"/>
  <c r="AC92" i="38" s="1"/>
  <c r="GJ141" i="14"/>
  <c r="AC125" i="38" s="1"/>
  <c r="IT140" i="14"/>
  <c r="AJ124" i="38" s="1"/>
  <c r="IT144" i="14"/>
  <c r="AY130" i="15" s="1"/>
  <c r="BC130" i="15" s="1"/>
  <c r="BF130" i="15" s="1"/>
  <c r="AO143" i="15"/>
  <c r="AR143" i="15" s="1"/>
  <c r="BT143" i="15" s="1"/>
  <c r="R142" i="40" s="1"/>
  <c r="IT103" i="14"/>
  <c r="AJ87" i="38" s="1"/>
  <c r="IT104" i="14"/>
  <c r="AY90" i="15" s="1"/>
  <c r="BC90" i="15" s="1"/>
  <c r="BD90" i="15" s="1"/>
  <c r="BG90" i="15" s="1"/>
  <c r="IT96" i="14"/>
  <c r="AY82" i="15" s="1"/>
  <c r="BC82" i="15" s="1"/>
  <c r="BF82" i="15" s="1"/>
  <c r="AX119" i="38"/>
  <c r="IT105" i="14"/>
  <c r="AJ89" i="38" s="1"/>
  <c r="AJ136" i="15"/>
  <c r="AN136" i="15" s="1"/>
  <c r="AQ136" i="15" s="1"/>
  <c r="BK120" i="38"/>
  <c r="GJ109" i="14"/>
  <c r="AJ95" i="15" s="1"/>
  <c r="AN95" i="15" s="1"/>
  <c r="AQ95" i="15" s="1"/>
  <c r="IT111" i="14"/>
  <c r="AJ95" i="38" s="1"/>
  <c r="GJ119" i="14"/>
  <c r="AJ105" i="15" s="1"/>
  <c r="AN105" i="15" s="1"/>
  <c r="AQ105" i="15" s="1"/>
  <c r="IT93" i="14"/>
  <c r="AY79" i="15" s="1"/>
  <c r="BC79" i="15" s="1"/>
  <c r="BF79" i="15" s="1"/>
  <c r="AC47" i="38"/>
  <c r="AJ52" i="38"/>
  <c r="IT146" i="14"/>
  <c r="AJ130" i="38" s="1"/>
  <c r="IT91" i="14"/>
  <c r="AJ75" i="38" s="1"/>
  <c r="GJ118" i="14"/>
  <c r="AC102" i="38" s="1"/>
  <c r="GJ111" i="14"/>
  <c r="AC95" i="38" s="1"/>
  <c r="GJ140" i="14"/>
  <c r="AC124" i="38" s="1"/>
  <c r="GJ123" i="14"/>
  <c r="AJ109" i="15" s="1"/>
  <c r="AN109" i="15" s="1"/>
  <c r="AQ109" i="15" s="1"/>
  <c r="IT109" i="14"/>
  <c r="AJ93" i="38" s="1"/>
  <c r="IT115" i="14"/>
  <c r="AY101" i="15" s="1"/>
  <c r="BC101" i="15" s="1"/>
  <c r="BF101" i="15" s="1"/>
  <c r="BK94" i="38"/>
  <c r="BK101" i="38"/>
  <c r="GJ133" i="14"/>
  <c r="AJ119" i="15" s="1"/>
  <c r="AN119" i="15" s="1"/>
  <c r="AO119" i="15" s="1"/>
  <c r="AR119" i="15" s="1"/>
  <c r="AX126" i="38"/>
  <c r="AJ50" i="15"/>
  <c r="AN50" i="15" s="1"/>
  <c r="AO50" i="15" s="1"/>
  <c r="AR50" i="15" s="1"/>
  <c r="GJ106" i="14"/>
  <c r="AC90" i="38" s="1"/>
  <c r="IT95" i="14"/>
  <c r="AY81" i="15" s="1"/>
  <c r="BC81" i="15" s="1"/>
  <c r="BD81" i="15" s="1"/>
  <c r="BG81" i="15" s="1"/>
  <c r="IT101" i="14"/>
  <c r="AY87" i="15" s="1"/>
  <c r="BC87" i="15" s="1"/>
  <c r="BF87" i="15" s="1"/>
  <c r="GJ107" i="14"/>
  <c r="AC91" i="38" s="1"/>
  <c r="GJ117" i="14"/>
  <c r="AJ103" i="15" s="1"/>
  <c r="AN103" i="15" s="1"/>
  <c r="AQ103" i="15" s="1"/>
  <c r="IT112" i="14"/>
  <c r="AY98" i="15" s="1"/>
  <c r="BC98" i="15" s="1"/>
  <c r="BD98" i="15" s="1"/>
  <c r="BG98" i="15" s="1"/>
  <c r="AM102" i="15"/>
  <c r="AP102" i="15" s="1"/>
  <c r="GJ149" i="14"/>
  <c r="AJ135" i="15" s="1"/>
  <c r="AN135" i="15" s="1"/>
  <c r="AO135" i="15" s="1"/>
  <c r="AR135" i="15" s="1"/>
  <c r="IT121" i="14"/>
  <c r="AY107" i="15" s="1"/>
  <c r="BC107" i="15" s="1"/>
  <c r="BD107" i="15" s="1"/>
  <c r="BG107" i="15" s="1"/>
  <c r="AC57" i="38"/>
  <c r="IT110" i="14"/>
  <c r="AY96" i="15" s="1"/>
  <c r="BC96" i="15" s="1"/>
  <c r="BD96" i="15" s="1"/>
  <c r="BG96" i="15" s="1"/>
  <c r="IT119" i="14"/>
  <c r="AJ103" i="38" s="1"/>
  <c r="IT99" i="14"/>
  <c r="AY85" i="15" s="1"/>
  <c r="BC85" i="15" s="1"/>
  <c r="BD85" i="15" s="1"/>
  <c r="BG85" i="15" s="1"/>
  <c r="GJ130" i="14"/>
  <c r="AJ116" i="15" s="1"/>
  <c r="AN116" i="15" s="1"/>
  <c r="AO116" i="15" s="1"/>
  <c r="AR116" i="15" s="1"/>
  <c r="IT113" i="14"/>
  <c r="AY99" i="15" s="1"/>
  <c r="BC99" i="15" s="1"/>
  <c r="BF99" i="15" s="1"/>
  <c r="IT129" i="14"/>
  <c r="AJ113" i="38" s="1"/>
  <c r="GJ113" i="14"/>
  <c r="AC97" i="38" s="1"/>
  <c r="GJ115" i="14"/>
  <c r="AJ101" i="15" s="1"/>
  <c r="AN101" i="15" s="1"/>
  <c r="AQ101" i="15" s="1"/>
  <c r="IT114" i="14"/>
  <c r="AJ98" i="38" s="1"/>
  <c r="GJ114" i="14"/>
  <c r="AC98" i="38" s="1"/>
  <c r="IT133" i="14"/>
  <c r="AJ117" i="38" s="1"/>
  <c r="AC141" i="38"/>
  <c r="GJ143" i="14"/>
  <c r="AY142" i="15"/>
  <c r="BC142" i="15" s="1"/>
  <c r="BD142" i="15" s="1"/>
  <c r="BG142" i="15" s="1"/>
  <c r="AC44" i="38"/>
  <c r="IT130" i="14"/>
  <c r="AJ114" i="38" s="1"/>
  <c r="GJ124" i="14"/>
  <c r="AJ110" i="15" s="1"/>
  <c r="AN110" i="15" s="1"/>
  <c r="AQ110" i="15" s="1"/>
  <c r="AY58" i="15"/>
  <c r="BC58" i="15" s="1"/>
  <c r="BF58" i="15" s="1"/>
  <c r="GJ126" i="14"/>
  <c r="AJ112" i="15" s="1"/>
  <c r="AN112" i="15" s="1"/>
  <c r="AO112" i="15" s="1"/>
  <c r="AR112" i="15" s="1"/>
  <c r="IT148" i="14"/>
  <c r="AY134" i="15" s="1"/>
  <c r="BC134" i="15" s="1"/>
  <c r="BF134" i="15" s="1"/>
  <c r="AC58" i="38"/>
  <c r="IT141" i="14"/>
  <c r="AY127" i="15" s="1"/>
  <c r="BC127" i="15" s="1"/>
  <c r="BD127" i="15" s="1"/>
  <c r="BG127" i="15" s="1"/>
  <c r="AJ68" i="38"/>
  <c r="IT131" i="14"/>
  <c r="AY117" i="15" s="1"/>
  <c r="BC117" i="15" s="1"/>
  <c r="BD117" i="15" s="1"/>
  <c r="BG117" i="15" s="1"/>
  <c r="AJ48" i="38"/>
  <c r="AJ139" i="38"/>
  <c r="IT124" i="14"/>
  <c r="AJ108" i="38" s="1"/>
  <c r="IT120" i="14"/>
  <c r="AJ104" i="38" s="1"/>
  <c r="AC144" i="38"/>
  <c r="AY57" i="15"/>
  <c r="BC57" i="15" s="1"/>
  <c r="BD57" i="15" s="1"/>
  <c r="BG57" i="15" s="1"/>
  <c r="BT57" i="15" s="1"/>
  <c r="R56" i="40" s="1"/>
  <c r="AJ137" i="38"/>
  <c r="AJ51" i="38"/>
  <c r="AJ141" i="38"/>
  <c r="IT125" i="14"/>
  <c r="AY111" i="15" s="1"/>
  <c r="BC111" i="15" s="1"/>
  <c r="BF111" i="15" s="1"/>
  <c r="GJ147" i="14"/>
  <c r="AJ133" i="15" s="1"/>
  <c r="AN133" i="15" s="1"/>
  <c r="AQ133" i="15" s="1"/>
  <c r="GJ122" i="14"/>
  <c r="AJ108" i="15" s="1"/>
  <c r="AN108" i="15" s="1"/>
  <c r="AQ108" i="15" s="1"/>
  <c r="IT149" i="14"/>
  <c r="AJ66" i="38"/>
  <c r="IT143" i="14"/>
  <c r="AY129" i="15" s="1"/>
  <c r="BC129" i="15" s="1"/>
  <c r="BD129" i="15" s="1"/>
  <c r="BG129" i="15" s="1"/>
  <c r="GJ145" i="14"/>
  <c r="AJ70" i="15"/>
  <c r="AN70" i="15" s="1"/>
  <c r="AO70" i="15" s="1"/>
  <c r="AR70" i="15" s="1"/>
  <c r="BT70" i="15" s="1"/>
  <c r="R69" i="40" s="1"/>
  <c r="AJ44" i="38"/>
  <c r="IT142" i="14"/>
  <c r="AY128" i="15" s="1"/>
  <c r="BC128" i="15" s="1"/>
  <c r="BF128" i="15" s="1"/>
  <c r="AC63" i="38"/>
  <c r="AJ76" i="15"/>
  <c r="AN76" i="15" s="1"/>
  <c r="AQ76" i="15" s="1"/>
  <c r="IT123" i="14"/>
  <c r="AY109" i="15" s="1"/>
  <c r="BC109" i="15" s="1"/>
  <c r="BF109" i="15" s="1"/>
  <c r="GJ146" i="14"/>
  <c r="AC130" i="38" s="1"/>
  <c r="IT132" i="14"/>
  <c r="AY118" i="15" s="1"/>
  <c r="BC118" i="15" s="1"/>
  <c r="BF118" i="15" s="1"/>
  <c r="GJ142" i="14"/>
  <c r="AC126" i="38" s="1"/>
  <c r="GJ144" i="14"/>
  <c r="AJ130" i="15" s="1"/>
  <c r="AN130" i="15" s="1"/>
  <c r="AQ130" i="15" s="1"/>
  <c r="IT126" i="14"/>
  <c r="AY112" i="15" s="1"/>
  <c r="BC112" i="15" s="1"/>
  <c r="BD112" i="15" s="1"/>
  <c r="BG112" i="15" s="1"/>
  <c r="AC77" i="38"/>
  <c r="AC61" i="38"/>
  <c r="GJ148" i="14"/>
  <c r="AJ134" i="15" s="1"/>
  <c r="AN134" i="15" s="1"/>
  <c r="IT128" i="14"/>
  <c r="AY114" i="15" s="1"/>
  <c r="BC114" i="15" s="1"/>
  <c r="BF114" i="15" s="1"/>
  <c r="IT147" i="14"/>
  <c r="AY133" i="15" s="1"/>
  <c r="BC133" i="15" s="1"/>
  <c r="BD133" i="15" s="1"/>
  <c r="BG133" i="15" s="1"/>
  <c r="AC67" i="38"/>
  <c r="IT134" i="14"/>
  <c r="AY120" i="15" s="1"/>
  <c r="BC120" i="15" s="1"/>
  <c r="BD120" i="15" s="1"/>
  <c r="BG120" i="15" s="1"/>
  <c r="IT127" i="14"/>
  <c r="AY113" i="15" s="1"/>
  <c r="BC113" i="15" s="1"/>
  <c r="BD113" i="15" s="1"/>
  <c r="BG113" i="15" s="1"/>
  <c r="AC69" i="38"/>
  <c r="AY56" i="15"/>
  <c r="BC56" i="15" s="1"/>
  <c r="BD56" i="15" s="1"/>
  <c r="BG56" i="15" s="1"/>
  <c r="AJ67" i="15"/>
  <c r="AN67" i="15" s="1"/>
  <c r="AO67" i="15" s="1"/>
  <c r="AR67" i="15" s="1"/>
  <c r="AC73" i="38"/>
  <c r="AC76" i="38"/>
  <c r="AJ62" i="38"/>
  <c r="GJ128" i="14"/>
  <c r="AC112" i="38" s="1"/>
  <c r="AJ47" i="38"/>
  <c r="AC71" i="38"/>
  <c r="AJ59" i="38"/>
  <c r="AC54" i="38"/>
  <c r="IT122" i="14"/>
  <c r="AJ106" i="38" s="1"/>
  <c r="AJ45" i="38"/>
  <c r="IT138" i="14"/>
  <c r="AY124" i="15" s="1"/>
  <c r="BC124" i="15" s="1"/>
  <c r="BD124" i="15" s="1"/>
  <c r="BG124" i="15" s="1"/>
  <c r="AY59" i="15"/>
  <c r="BC59" i="15" s="1"/>
  <c r="BD59" i="15" s="1"/>
  <c r="BG59" i="15" s="1"/>
  <c r="AC66" i="38"/>
  <c r="AJ60" i="38"/>
  <c r="AC142" i="38"/>
  <c r="AJ135" i="38"/>
  <c r="GJ127" i="14"/>
  <c r="AJ113" i="15" s="1"/>
  <c r="AN113" i="15" s="1"/>
  <c r="AO113" i="15" s="1"/>
  <c r="AR113" i="15" s="1"/>
  <c r="AJ67" i="38"/>
  <c r="GJ137" i="14"/>
  <c r="AJ123" i="15" s="1"/>
  <c r="AN123" i="15" s="1"/>
  <c r="AQ123" i="15" s="1"/>
  <c r="AC53" i="38"/>
  <c r="AJ54" i="15"/>
  <c r="AN54" i="15" s="1"/>
  <c r="AQ54" i="15" s="1"/>
  <c r="AJ84" i="15"/>
  <c r="AN84" i="15" s="1"/>
  <c r="AQ84" i="15" s="1"/>
  <c r="GJ132" i="14"/>
  <c r="AJ118" i="15" s="1"/>
  <c r="AN118" i="15" s="1"/>
  <c r="AO118" i="15" s="1"/>
  <c r="AR118" i="15" s="1"/>
  <c r="AJ49" i="38"/>
  <c r="AC72" i="38"/>
  <c r="GJ120" i="14"/>
  <c r="AC104" i="38" s="1"/>
  <c r="W40" i="1"/>
  <c r="AJ53" i="38"/>
  <c r="AJ50" i="38"/>
  <c r="AC136" i="38"/>
  <c r="AC139" i="38"/>
  <c r="AJ136" i="38"/>
  <c r="AC51" i="38"/>
  <c r="AC64" i="38"/>
  <c r="AC55" i="38"/>
  <c r="IT135" i="14"/>
  <c r="AJ119" i="38" s="1"/>
  <c r="BK119" i="38"/>
  <c r="W36" i="1"/>
  <c r="AC137" i="38"/>
  <c r="AC70" i="38"/>
  <c r="AJ142" i="38"/>
  <c r="GJ135" i="14"/>
  <c r="AJ121" i="15" s="1"/>
  <c r="AN121" i="15" s="1"/>
  <c r="AO121" i="15" s="1"/>
  <c r="AR121" i="15" s="1"/>
  <c r="GJ129" i="14"/>
  <c r="AJ115" i="15" s="1"/>
  <c r="AN115" i="15" s="1"/>
  <c r="AO115" i="15" s="1"/>
  <c r="AR115" i="15" s="1"/>
  <c r="GJ125" i="14"/>
  <c r="AJ111" i="15" s="1"/>
  <c r="AN111" i="15" s="1"/>
  <c r="AQ111" i="15" s="1"/>
  <c r="AY66" i="15"/>
  <c r="BC66" i="15" s="1"/>
  <c r="BF66" i="15" s="1"/>
  <c r="AJ142" i="15"/>
  <c r="AN142" i="15" s="1"/>
  <c r="AO142" i="15" s="1"/>
  <c r="AR142" i="15" s="1"/>
  <c r="AC59" i="38"/>
  <c r="AC135" i="38"/>
  <c r="AC56" i="38"/>
  <c r="AJ65" i="38"/>
  <c r="AJ63" i="38"/>
  <c r="AJ143" i="38"/>
  <c r="AC143" i="38"/>
  <c r="IT136" i="14"/>
  <c r="AJ120" i="38" s="1"/>
  <c r="AC60" i="38"/>
  <c r="GJ136" i="14"/>
  <c r="AC120" i="38" s="1"/>
  <c r="AC75" i="38"/>
  <c r="GJ139" i="14"/>
  <c r="AC123" i="38" s="1"/>
  <c r="AJ144" i="38"/>
  <c r="AJ134" i="38"/>
  <c r="AJ138" i="38"/>
  <c r="H56" i="16"/>
  <c r="W42" i="46" s="1"/>
  <c r="IT137" i="14"/>
  <c r="AJ121" i="38" s="1"/>
  <c r="H24" i="16"/>
  <c r="W39" i="46" s="1"/>
  <c r="GJ134" i="14"/>
  <c r="AJ120" i="15" s="1"/>
  <c r="AN120" i="15" s="1"/>
  <c r="AO120" i="15" s="1"/>
  <c r="AR120" i="15" s="1"/>
  <c r="AC46" i="38"/>
  <c r="GJ131" i="14"/>
  <c r="AJ117" i="15" s="1"/>
  <c r="AN117" i="15" s="1"/>
  <c r="AQ117" i="15" s="1"/>
  <c r="AC49" i="38"/>
  <c r="IT98" i="14"/>
  <c r="AY84" i="15" s="1"/>
  <c r="BC84" i="15" s="1"/>
  <c r="BD84" i="15" s="1"/>
  <c r="BG84" i="15" s="1"/>
  <c r="AJ61" i="38"/>
  <c r="AC50" i="38"/>
  <c r="AC138" i="38"/>
  <c r="H57" i="16"/>
  <c r="W43" i="46" s="1"/>
  <c r="H23" i="16"/>
  <c r="W38" i="46" s="1"/>
  <c r="IT139" i="14"/>
  <c r="AY125" i="15" s="1"/>
  <c r="BC125" i="15" s="1"/>
  <c r="AJ88" i="15"/>
  <c r="AN88" i="15" s="1"/>
  <c r="AQ88" i="15" s="1"/>
  <c r="AC86" i="38"/>
  <c r="AJ85" i="15"/>
  <c r="AN85" i="15" s="1"/>
  <c r="AO85" i="15" s="1"/>
  <c r="AR85" i="15" s="1"/>
  <c r="AC83" i="38"/>
  <c r="AJ80" i="15"/>
  <c r="AN80" i="15" s="1"/>
  <c r="AQ80" i="15" s="1"/>
  <c r="AC78" i="38"/>
  <c r="AJ90" i="15"/>
  <c r="AN90" i="15" s="1"/>
  <c r="AQ90" i="15" s="1"/>
  <c r="AC88" i="38"/>
  <c r="AJ91" i="15"/>
  <c r="AN91" i="15" s="1"/>
  <c r="AO91" i="15" s="1"/>
  <c r="AR91" i="15" s="1"/>
  <c r="AC89" i="38"/>
  <c r="AJ89" i="15"/>
  <c r="AN89" i="15" s="1"/>
  <c r="AO89" i="15" s="1"/>
  <c r="AR89" i="15" s="1"/>
  <c r="AC87" i="38"/>
  <c r="AJ83" i="15"/>
  <c r="AN83" i="15" s="1"/>
  <c r="AO83" i="15" s="1"/>
  <c r="AR83" i="15" s="1"/>
  <c r="AC81" i="38"/>
  <c r="AC84" i="38"/>
  <c r="AJ86" i="15"/>
  <c r="AN86" i="15" s="1"/>
  <c r="AO86" i="15" s="1"/>
  <c r="AR86" i="15" s="1"/>
  <c r="AJ87" i="15"/>
  <c r="AN87" i="15" s="1"/>
  <c r="AQ87" i="15" s="1"/>
  <c r="AC85" i="38"/>
  <c r="AJ82" i="15"/>
  <c r="AN82" i="15" s="1"/>
  <c r="AO82" i="15" s="1"/>
  <c r="AR82" i="15" s="1"/>
  <c r="AC80" i="38"/>
  <c r="AJ81" i="15"/>
  <c r="AN81" i="15" s="1"/>
  <c r="AQ81" i="15" s="1"/>
  <c r="AC79" i="38"/>
  <c r="W37" i="1"/>
  <c r="AJ74" i="38"/>
  <c r="CW64" i="38"/>
  <c r="Z65" i="40"/>
  <c r="CW136" i="38"/>
  <c r="Z137" i="40"/>
  <c r="CW129" i="38"/>
  <c r="Z130" i="40"/>
  <c r="CW67" i="38"/>
  <c r="Z68" i="40"/>
  <c r="CW131" i="38"/>
  <c r="Z132" i="40"/>
  <c r="AJ71" i="38"/>
  <c r="AJ84" i="38"/>
  <c r="BT54" i="43"/>
  <c r="BT54" i="45" s="1"/>
  <c r="BT53" i="43"/>
  <c r="BT53" i="45" s="1"/>
  <c r="W41" i="1"/>
  <c r="BT71" i="43"/>
  <c r="BT71" i="45" s="1"/>
  <c r="BT57" i="43"/>
  <c r="BT57" i="45" s="1"/>
  <c r="BT60" i="43"/>
  <c r="BT60" i="45" s="1"/>
  <c r="BT64" i="43"/>
  <c r="BT64" i="45" s="1"/>
  <c r="CU135" i="38"/>
  <c r="CV135" i="38" s="1"/>
  <c r="Z136" i="40" s="1"/>
  <c r="CW109" i="38"/>
  <c r="CX109" i="38"/>
  <c r="CW127" i="38"/>
  <c r="CX127" i="38"/>
  <c r="CW69" i="38"/>
  <c r="CX69" i="38"/>
  <c r="CX64" i="38"/>
  <c r="CX71" i="38"/>
  <c r="CX120" i="38"/>
  <c r="CX105" i="38"/>
  <c r="CX131" i="38"/>
  <c r="CX107" i="38"/>
  <c r="CX128" i="38"/>
  <c r="CX129" i="38"/>
  <c r="CI44" i="38"/>
  <c r="CJ44" i="38" s="1"/>
  <c r="CK44" i="38" s="1"/>
  <c r="CL44" i="38" s="1"/>
  <c r="CM44" i="38" s="1"/>
  <c r="CN44" i="38" s="1"/>
  <c r="CO44" i="38" s="1"/>
  <c r="CP44" i="38" s="1"/>
  <c r="CX139" i="38"/>
  <c r="CX62" i="38"/>
  <c r="CX67" i="38"/>
  <c r="AJ69" i="38"/>
  <c r="AJ102" i="15"/>
  <c r="AN102" i="15" s="1"/>
  <c r="AJ70" i="38"/>
  <c r="AJ73" i="38"/>
  <c r="CX118" i="38"/>
  <c r="CX124" i="38"/>
  <c r="CX47" i="38"/>
  <c r="CX60" i="38"/>
  <c r="CX88" i="38"/>
  <c r="CX126" i="38"/>
  <c r="AJ72" i="38"/>
  <c r="BF76" i="15"/>
  <c r="BF144" i="15"/>
  <c r="BF136" i="15"/>
  <c r="AQ57" i="15"/>
  <c r="AO66" i="15"/>
  <c r="AR66" i="15" s="1"/>
  <c r="AQ65" i="15"/>
  <c r="BF70" i="15"/>
  <c r="BD137" i="15"/>
  <c r="BG137" i="15" s="1"/>
  <c r="BD73" i="15"/>
  <c r="BG73" i="15" s="1"/>
  <c r="BF74" i="15"/>
  <c r="AQ145" i="15"/>
  <c r="BD65" i="15"/>
  <c r="BG65" i="15" s="1"/>
  <c r="BD145" i="15"/>
  <c r="BG145" i="15" s="1"/>
  <c r="BT145" i="15" s="1"/>
  <c r="R144" i="40" s="1"/>
  <c r="BF53" i="15"/>
  <c r="AO47" i="15"/>
  <c r="AR47" i="15" s="1"/>
  <c r="AO51" i="15"/>
  <c r="AR51" i="15" s="1"/>
  <c r="AQ141" i="15"/>
  <c r="BD86" i="15"/>
  <c r="BG86" i="15" s="1"/>
  <c r="AQ52" i="15"/>
  <c r="BD47" i="15"/>
  <c r="BG47" i="15" s="1"/>
  <c r="BF68" i="15"/>
  <c r="AO72" i="15"/>
  <c r="AR72" i="15" s="1"/>
  <c r="BT61" i="15"/>
  <c r="R60" i="40" s="1"/>
  <c r="BS61" i="15"/>
  <c r="BT139" i="15"/>
  <c r="R138" i="40" s="1"/>
  <c r="BS139" i="15"/>
  <c r="AO63" i="15"/>
  <c r="AR63" i="15" s="1"/>
  <c r="AO74" i="15"/>
  <c r="AR74" i="15" s="1"/>
  <c r="AO62" i="15"/>
  <c r="AR62" i="15" s="1"/>
  <c r="BT144" i="15"/>
  <c r="R143" i="40" s="1"/>
  <c r="BS144" i="15"/>
  <c r="BT48" i="15"/>
  <c r="R47" i="40" s="1"/>
  <c r="BS48" i="15"/>
  <c r="AQ48" i="15"/>
  <c r="BS141" i="15"/>
  <c r="BT141" i="15"/>
  <c r="R140" i="40" s="1"/>
  <c r="BF49" i="15"/>
  <c r="BF51" i="15"/>
  <c r="AQ71" i="15"/>
  <c r="AO77" i="15"/>
  <c r="AR77" i="15" s="1"/>
  <c r="BF72" i="15"/>
  <c r="AO60" i="15"/>
  <c r="AR60" i="15" s="1"/>
  <c r="AQ75" i="15"/>
  <c r="BD50" i="15"/>
  <c r="BG50" i="15" s="1"/>
  <c r="AO68" i="15"/>
  <c r="AR68" i="15" s="1"/>
  <c r="BF63" i="15"/>
  <c r="AQ137" i="15"/>
  <c r="AO140" i="15"/>
  <c r="AR140" i="15" s="1"/>
  <c r="AO69" i="15"/>
  <c r="AR69" i="15" s="1"/>
  <c r="AO49" i="15"/>
  <c r="AR49" i="15" s="1"/>
  <c r="AO146" i="15"/>
  <c r="AR146" i="15" s="1"/>
  <c r="BD67" i="15"/>
  <c r="BG67" i="15" s="1"/>
  <c r="BD75" i="15"/>
  <c r="BG75" i="15" s="1"/>
  <c r="AQ61" i="15"/>
  <c r="AQ79" i="15"/>
  <c r="AQ139" i="15"/>
  <c r="BF138" i="15"/>
  <c r="BF48" i="15"/>
  <c r="AO138" i="15"/>
  <c r="AR138" i="15" s="1"/>
  <c r="BF54" i="15"/>
  <c r="AO59" i="15"/>
  <c r="AR59" i="15" s="1"/>
  <c r="BF141" i="15"/>
  <c r="AO64" i="15"/>
  <c r="AR64" i="15" s="1"/>
  <c r="AO56" i="15"/>
  <c r="AR56" i="15" s="1"/>
  <c r="BD146" i="15"/>
  <c r="BG146" i="15" s="1"/>
  <c r="BF139" i="15"/>
  <c r="AO46" i="15"/>
  <c r="AR46" i="15" s="1"/>
  <c r="AO53" i="15"/>
  <c r="AR53" i="15" s="1"/>
  <c r="AQ73" i="15"/>
  <c r="BF62" i="15"/>
  <c r="BF140" i="15"/>
  <c r="BF143" i="15"/>
  <c r="AO78" i="15"/>
  <c r="AR78" i="15" s="1"/>
  <c r="BF69" i="15"/>
  <c r="BD46" i="15"/>
  <c r="BG46" i="15" s="1"/>
  <c r="AO58" i="15"/>
  <c r="AR58" i="15" s="1"/>
  <c r="BD52" i="15"/>
  <c r="BG52" i="15" s="1"/>
  <c r="BT52" i="15" s="1"/>
  <c r="R51" i="40" s="1"/>
  <c r="BF64" i="15"/>
  <c r="BD71" i="15"/>
  <c r="BG71" i="15" s="1"/>
  <c r="BS71" i="15" s="1"/>
  <c r="BD60" i="15"/>
  <c r="BG60" i="15" s="1"/>
  <c r="AQ143" i="15"/>
  <c r="BD55" i="15"/>
  <c r="BG55" i="15" s="1"/>
  <c r="BF61" i="15"/>
  <c r="AQ144" i="15"/>
  <c r="AO55" i="15"/>
  <c r="AR55" i="15" s="1"/>
  <c r="BF93" i="15" l="1"/>
  <c r="BD131" i="15"/>
  <c r="BG131" i="15" s="1"/>
  <c r="AC94" i="38"/>
  <c r="BD79" i="15"/>
  <c r="BG79" i="15" s="1"/>
  <c r="BS79" i="15" s="1"/>
  <c r="AJ91" i="38"/>
  <c r="AJ129" i="38"/>
  <c r="BF129" i="15"/>
  <c r="AJ80" i="38"/>
  <c r="BD82" i="15"/>
  <c r="BG82" i="15" s="1"/>
  <c r="AJ112" i="38"/>
  <c r="AY80" i="15"/>
  <c r="BC80" i="15" s="1"/>
  <c r="BF80" i="15" s="1"/>
  <c r="AJ92" i="15"/>
  <c r="AN92" i="15" s="1"/>
  <c r="AQ92" i="15" s="1"/>
  <c r="BD114" i="15"/>
  <c r="BG114" i="15" s="1"/>
  <c r="AJ77" i="38"/>
  <c r="AY102" i="15"/>
  <c r="BC102" i="15" s="1"/>
  <c r="BD102" i="15" s="1"/>
  <c r="BG102" i="15" s="1"/>
  <c r="AY94" i="15"/>
  <c r="BC94" i="15" s="1"/>
  <c r="BD94" i="15" s="1"/>
  <c r="BG94" i="15" s="1"/>
  <c r="BD92" i="15"/>
  <c r="BG92" i="15" s="1"/>
  <c r="AO134" i="15"/>
  <c r="AR134" i="15" s="1"/>
  <c r="P22" i="15"/>
  <c r="X15" i="46" s="1"/>
  <c r="AJ124" i="15"/>
  <c r="AN124" i="15" s="1"/>
  <c r="AO124" i="15" s="1"/>
  <c r="AR124" i="15" s="1"/>
  <c r="BS124" i="15" s="1"/>
  <c r="AJ90" i="38"/>
  <c r="BD118" i="15"/>
  <c r="BG118" i="15" s="1"/>
  <c r="BT118" i="15" s="1"/>
  <c r="R117" i="40" s="1"/>
  <c r="AY116" i="15"/>
  <c r="BC116" i="15" s="1"/>
  <c r="BD116" i="15" s="1"/>
  <c r="BG116" i="15" s="1"/>
  <c r="BT116" i="15" s="1"/>
  <c r="R115" i="40" s="1"/>
  <c r="AJ94" i="15"/>
  <c r="AN94" i="15" s="1"/>
  <c r="AO94" i="15" s="1"/>
  <c r="AR94" i="15" s="1"/>
  <c r="BF117" i="15"/>
  <c r="AJ115" i="38"/>
  <c r="AO101" i="15"/>
  <c r="AR101" i="15" s="1"/>
  <c r="AC99" i="38"/>
  <c r="BD83" i="15"/>
  <c r="BG83" i="15" s="1"/>
  <c r="BT83" i="15" s="1"/>
  <c r="R82" i="40" s="1"/>
  <c r="AJ81" i="38"/>
  <c r="AJ127" i="15"/>
  <c r="AN127" i="15" s="1"/>
  <c r="AQ127" i="15" s="1"/>
  <c r="AY91" i="15"/>
  <c r="BC91" i="15" s="1"/>
  <c r="BF91" i="15" s="1"/>
  <c r="AO136" i="15"/>
  <c r="AR136" i="15" s="1"/>
  <c r="BS136" i="15" s="1"/>
  <c r="AJ102" i="38"/>
  <c r="BD104" i="15"/>
  <c r="BG104" i="15" s="1"/>
  <c r="AY126" i="15"/>
  <c r="BC126" i="15" s="1"/>
  <c r="BF126" i="15" s="1"/>
  <c r="BF103" i="15"/>
  <c r="AJ101" i="38"/>
  <c r="AJ107" i="15"/>
  <c r="AN107" i="15" s="1"/>
  <c r="AQ107" i="15" s="1"/>
  <c r="BF88" i="15"/>
  <c r="AJ125" i="15"/>
  <c r="AN125" i="15" s="1"/>
  <c r="AO125" i="15" s="1"/>
  <c r="AR125" i="15" s="1"/>
  <c r="AJ86" i="38"/>
  <c r="BS143" i="15"/>
  <c r="BU143" i="15" s="1"/>
  <c r="S142" i="40" s="1"/>
  <c r="AC114" i="38"/>
  <c r="AO98" i="15"/>
  <c r="AR98" i="15" s="1"/>
  <c r="BS98" i="15" s="1"/>
  <c r="AC96" i="38"/>
  <c r="BT73" i="15"/>
  <c r="R72" i="40" s="1"/>
  <c r="AJ97" i="38"/>
  <c r="AJ76" i="38"/>
  <c r="AY97" i="15"/>
  <c r="BC97" i="15" s="1"/>
  <c r="BD97" i="15" s="1"/>
  <c r="BG97" i="15" s="1"/>
  <c r="BF78" i="15"/>
  <c r="AJ97" i="15"/>
  <c r="AN97" i="15" s="1"/>
  <c r="AQ97" i="15" s="1"/>
  <c r="AO102" i="15"/>
  <c r="AR102" i="15" s="1"/>
  <c r="AO76" i="15"/>
  <c r="AR76" i="15" s="1"/>
  <c r="BT76" i="15" s="1"/>
  <c r="R75" i="40" s="1"/>
  <c r="AY89" i="15"/>
  <c r="BC89" i="15" s="1"/>
  <c r="BD89" i="15" s="1"/>
  <c r="BG89" i="15" s="1"/>
  <c r="BT89" i="15" s="1"/>
  <c r="R88" i="40" s="1"/>
  <c r="AJ128" i="38"/>
  <c r="BD130" i="15"/>
  <c r="BG130" i="15" s="1"/>
  <c r="BF90" i="15"/>
  <c r="AJ88" i="38"/>
  <c r="AJ83" i="38"/>
  <c r="AC101" i="38"/>
  <c r="AY119" i="15"/>
  <c r="BC119" i="15" s="1"/>
  <c r="BD119" i="15" s="1"/>
  <c r="BG119" i="15" s="1"/>
  <c r="BT119" i="15" s="1"/>
  <c r="R118" i="40" s="1"/>
  <c r="BT85" i="15"/>
  <c r="R84" i="40" s="1"/>
  <c r="BF85" i="15"/>
  <c r="AY77" i="15"/>
  <c r="BC77" i="15" s="1"/>
  <c r="BF77" i="15" s="1"/>
  <c r="AQ142" i="15"/>
  <c r="AC106" i="38"/>
  <c r="BF98" i="15"/>
  <c r="AJ104" i="15"/>
  <c r="AN104" i="15" s="1"/>
  <c r="AQ104" i="15" s="1"/>
  <c r="AC117" i="38"/>
  <c r="AC93" i="38"/>
  <c r="AQ116" i="15"/>
  <c r="AQ119" i="15"/>
  <c r="AJ96" i="38"/>
  <c r="BF127" i="15"/>
  <c r="AC103" i="38"/>
  <c r="BT50" i="15"/>
  <c r="R49" i="40" s="1"/>
  <c r="BL51" i="43" s="1"/>
  <c r="BL51" i="45" s="1"/>
  <c r="AO105" i="15"/>
  <c r="AR105" i="15" s="1"/>
  <c r="AQ50" i="15"/>
  <c r="BF57" i="15"/>
  <c r="AJ85" i="38"/>
  <c r="AJ99" i="38"/>
  <c r="BD101" i="15"/>
  <c r="BG101" i="15" s="1"/>
  <c r="AO110" i="15"/>
  <c r="AR110" i="15" s="1"/>
  <c r="BD87" i="15"/>
  <c r="BG87" i="15" s="1"/>
  <c r="AY132" i="15"/>
  <c r="BC132" i="15" s="1"/>
  <c r="BF142" i="15"/>
  <c r="BF81" i="15"/>
  <c r="AJ107" i="38"/>
  <c r="BT142" i="15"/>
  <c r="R141" i="40" s="1"/>
  <c r="AC133" i="38"/>
  <c r="BS57" i="15"/>
  <c r="BU57" i="15" s="1"/>
  <c r="S56" i="40" s="1"/>
  <c r="BD109" i="15"/>
  <c r="BG109" i="15" s="1"/>
  <c r="BF107" i="15"/>
  <c r="AQ134" i="15"/>
  <c r="AY95" i="15"/>
  <c r="BC95" i="15" s="1"/>
  <c r="BF95" i="15" s="1"/>
  <c r="AO109" i="15"/>
  <c r="AR109" i="15" s="1"/>
  <c r="AQ135" i="15"/>
  <c r="AJ79" i="38"/>
  <c r="AC107" i="38"/>
  <c r="AJ125" i="38"/>
  <c r="AJ126" i="15"/>
  <c r="AN126" i="15" s="1"/>
  <c r="BF56" i="15"/>
  <c r="AJ105" i="38"/>
  <c r="AY115" i="15"/>
  <c r="BC115" i="15" s="1"/>
  <c r="BD115" i="15" s="1"/>
  <c r="BG115" i="15" s="1"/>
  <c r="BT115" i="15" s="1"/>
  <c r="AJ99" i="15"/>
  <c r="AN99" i="15" s="1"/>
  <c r="AQ99" i="15" s="1"/>
  <c r="AQ70" i="15"/>
  <c r="BS70" i="15"/>
  <c r="BU70" i="15" s="1"/>
  <c r="S69" i="40" s="1"/>
  <c r="AJ93" i="15"/>
  <c r="AN93" i="15" s="1"/>
  <c r="AQ93" i="15" s="1"/>
  <c r="BD58" i="15"/>
  <c r="BG58" i="15" s="1"/>
  <c r="BS58" i="15" s="1"/>
  <c r="AY105" i="15"/>
  <c r="BC105" i="15" s="1"/>
  <c r="BD105" i="15" s="1"/>
  <c r="BG105" i="15" s="1"/>
  <c r="AJ128" i="15"/>
  <c r="AN128" i="15" s="1"/>
  <c r="AQ128" i="15" s="1"/>
  <c r="AJ100" i="15"/>
  <c r="AN100" i="15" s="1"/>
  <c r="AQ100" i="15" s="1"/>
  <c r="BS96" i="15"/>
  <c r="AC108" i="38"/>
  <c r="AJ94" i="38"/>
  <c r="AY100" i="15"/>
  <c r="BC100" i="15" s="1"/>
  <c r="BF100" i="15" s="1"/>
  <c r="AJ127" i="38"/>
  <c r="AJ116" i="38"/>
  <c r="BF96" i="15"/>
  <c r="BS120" i="15"/>
  <c r="AO108" i="15"/>
  <c r="AR108" i="15" s="1"/>
  <c r="BD99" i="15"/>
  <c r="BG99" i="15" s="1"/>
  <c r="AJ114" i="15"/>
  <c r="AN114" i="15" s="1"/>
  <c r="AO114" i="15" s="1"/>
  <c r="AR114" i="15" s="1"/>
  <c r="BT114" i="15" s="1"/>
  <c r="R113" i="40" s="1"/>
  <c r="AJ132" i="38"/>
  <c r="AQ86" i="15"/>
  <c r="BD134" i="15"/>
  <c r="BG134" i="15" s="1"/>
  <c r="BS134" i="15" s="1"/>
  <c r="AQ112" i="15"/>
  <c r="BD111" i="15"/>
  <c r="BG111" i="15" s="1"/>
  <c r="AC132" i="38"/>
  <c r="AY110" i="15"/>
  <c r="BC110" i="15" s="1"/>
  <c r="BF110" i="15" s="1"/>
  <c r="AC110" i="38"/>
  <c r="AY122" i="15"/>
  <c r="BC122" i="15" s="1"/>
  <c r="BF122" i="15" s="1"/>
  <c r="BT120" i="15"/>
  <c r="R119" i="40" s="1"/>
  <c r="AC127" i="38"/>
  <c r="AJ129" i="15"/>
  <c r="AN129" i="15" s="1"/>
  <c r="AJ109" i="38"/>
  <c r="BT112" i="15"/>
  <c r="R111" i="40" s="1"/>
  <c r="BL64" i="43" s="1"/>
  <c r="BL64" i="45" s="1"/>
  <c r="BS112" i="15"/>
  <c r="AC131" i="38"/>
  <c r="AY106" i="15"/>
  <c r="BC106" i="15" s="1"/>
  <c r="BD106" i="15" s="1"/>
  <c r="BG106" i="15" s="1"/>
  <c r="AO133" i="15"/>
  <c r="AR133" i="15" s="1"/>
  <c r="BT133" i="15" s="1"/>
  <c r="R132" i="40" s="1"/>
  <c r="AJ111" i="38"/>
  <c r="AJ126" i="38"/>
  <c r="BF112" i="15"/>
  <c r="AJ110" i="38"/>
  <c r="BD128" i="15"/>
  <c r="BG128" i="15" s="1"/>
  <c r="AC129" i="38"/>
  <c r="AJ131" i="15"/>
  <c r="AN131" i="15" s="1"/>
  <c r="AJ133" i="38"/>
  <c r="AY135" i="15"/>
  <c r="BC135" i="15" s="1"/>
  <c r="AO80" i="15"/>
  <c r="AR80" i="15" s="1"/>
  <c r="AO130" i="15"/>
  <c r="AR130" i="15" s="1"/>
  <c r="BT130" i="15" s="1"/>
  <c r="R129" i="40" s="1"/>
  <c r="AC128" i="38"/>
  <c r="AJ118" i="38"/>
  <c r="AC118" i="38"/>
  <c r="AQ120" i="15"/>
  <c r="BF120" i="15"/>
  <c r="AJ132" i="15"/>
  <c r="AN132" i="15" s="1"/>
  <c r="BF59" i="15"/>
  <c r="AJ131" i="38"/>
  <c r="AO127" i="15"/>
  <c r="AR127" i="15" s="1"/>
  <c r="BT127" i="15" s="1"/>
  <c r="R126" i="40" s="1"/>
  <c r="BF133" i="15"/>
  <c r="AO111" i="15"/>
  <c r="AR111" i="15" s="1"/>
  <c r="BS67" i="15"/>
  <c r="AQ67" i="15"/>
  <c r="AJ82" i="38"/>
  <c r="BD66" i="15"/>
  <c r="BG66" i="15" s="1"/>
  <c r="BS66" i="15" s="1"/>
  <c r="BF84" i="15"/>
  <c r="AC121" i="38"/>
  <c r="W39" i="1"/>
  <c r="BT86" i="15"/>
  <c r="R85" i="40" s="1"/>
  <c r="AO84" i="15"/>
  <c r="AR84" i="15" s="1"/>
  <c r="BT84" i="15" s="1"/>
  <c r="R83" i="40" s="1"/>
  <c r="AC119" i="38"/>
  <c r="BT96" i="15"/>
  <c r="R95" i="40" s="1"/>
  <c r="AY108" i="15"/>
  <c r="BC108" i="15" s="1"/>
  <c r="BF108" i="15" s="1"/>
  <c r="W43" i="1"/>
  <c r="AQ118" i="15"/>
  <c r="AQ113" i="15"/>
  <c r="AO54" i="15"/>
  <c r="AR54" i="15" s="1"/>
  <c r="BT54" i="15" s="1"/>
  <c r="R53" i="40" s="1"/>
  <c r="BS142" i="15"/>
  <c r="AC111" i="38"/>
  <c r="AJ122" i="38"/>
  <c r="BS113" i="15"/>
  <c r="AJ106" i="15"/>
  <c r="AN106" i="15" s="1"/>
  <c r="AQ106" i="15" s="1"/>
  <c r="AC116" i="38"/>
  <c r="AY121" i="15"/>
  <c r="BC121" i="15" s="1"/>
  <c r="BF121" i="15" s="1"/>
  <c r="AQ125" i="15"/>
  <c r="AQ115" i="15"/>
  <c r="AQ83" i="15"/>
  <c r="AC113" i="38"/>
  <c r="AC109" i="38"/>
  <c r="AQ96" i="15"/>
  <c r="AQ85" i="15"/>
  <c r="AJ122" i="15"/>
  <c r="AN122" i="15" s="1"/>
  <c r="AQ122" i="15" s="1"/>
  <c r="AO81" i="15"/>
  <c r="AR81" i="15" s="1"/>
  <c r="BT81" i="15" s="1"/>
  <c r="R80" i="40" s="1"/>
  <c r="W42" i="1"/>
  <c r="W38" i="1"/>
  <c r="BS85" i="15"/>
  <c r="AO117" i="15"/>
  <c r="AR117" i="15" s="1"/>
  <c r="BT117" i="15" s="1"/>
  <c r="R116" i="40" s="1"/>
  <c r="AY123" i="15"/>
  <c r="BC123" i="15" s="1"/>
  <c r="AO95" i="15"/>
  <c r="AR95" i="15" s="1"/>
  <c r="AC115" i="38"/>
  <c r="AO87" i="15"/>
  <c r="AR87" i="15" s="1"/>
  <c r="AO88" i="15"/>
  <c r="AR88" i="15" s="1"/>
  <c r="BS88" i="15" s="1"/>
  <c r="AQ89" i="15"/>
  <c r="AQ91" i="15"/>
  <c r="AO103" i="15"/>
  <c r="AR103" i="15" s="1"/>
  <c r="BS103" i="15" s="1"/>
  <c r="AJ123" i="38"/>
  <c r="AO123" i="15"/>
  <c r="AR123" i="15" s="1"/>
  <c r="BF125" i="15"/>
  <c r="BD125" i="15"/>
  <c r="BG125" i="15" s="1"/>
  <c r="BS125" i="15" s="1"/>
  <c r="BT113" i="15"/>
  <c r="R112" i="40" s="1"/>
  <c r="BF124" i="15"/>
  <c r="AQ82" i="15"/>
  <c r="BF113" i="15"/>
  <c r="AO90" i="15"/>
  <c r="AR90" i="15" s="1"/>
  <c r="BS90" i="15" s="1"/>
  <c r="BS116" i="15"/>
  <c r="BF116" i="15"/>
  <c r="AQ102" i="15"/>
  <c r="BT70" i="43"/>
  <c r="BT70" i="45" s="1"/>
  <c r="BT56" i="43"/>
  <c r="BT56" i="45" s="1"/>
  <c r="BT55" i="43"/>
  <c r="BT55" i="45" s="1"/>
  <c r="BT68" i="43"/>
  <c r="BT68" i="45" s="1"/>
  <c r="BT67" i="43"/>
  <c r="BT67" i="45" s="1"/>
  <c r="BT63" i="43"/>
  <c r="BT63" i="45" s="1"/>
  <c r="BT66" i="43"/>
  <c r="BT66" i="45" s="1"/>
  <c r="BS86" i="15"/>
  <c r="BL70" i="43"/>
  <c r="BL70" i="45" s="1"/>
  <c r="CW135" i="38"/>
  <c r="CX135" i="38"/>
  <c r="CQ44" i="38"/>
  <c r="CR44" i="38" s="1"/>
  <c r="BF102" i="15"/>
  <c r="CX108" i="38"/>
  <c r="CX132" i="38"/>
  <c r="CX134" i="38"/>
  <c r="CX136" i="38"/>
  <c r="CX130" i="38"/>
  <c r="BS51" i="15"/>
  <c r="BT51" i="15"/>
  <c r="BS73" i="15"/>
  <c r="BS145" i="15"/>
  <c r="BU145" i="15" s="1"/>
  <c r="S144" i="40" s="1"/>
  <c r="BT137" i="15"/>
  <c r="R136" i="40" s="1"/>
  <c r="BS65" i="15"/>
  <c r="BT65" i="15"/>
  <c r="R64" i="40" s="1"/>
  <c r="BS137" i="15"/>
  <c r="BT47" i="15"/>
  <c r="R46" i="40" s="1"/>
  <c r="R45" i="40" s="1"/>
  <c r="BS47" i="15"/>
  <c r="BU144" i="15"/>
  <c r="S143" i="40" s="1"/>
  <c r="BU61" i="15"/>
  <c r="S60" i="40" s="1"/>
  <c r="BU141" i="15"/>
  <c r="S140" i="40" s="1"/>
  <c r="BS52" i="15"/>
  <c r="BU52" i="15" s="1"/>
  <c r="S51" i="40" s="1"/>
  <c r="BS63" i="15"/>
  <c r="BT63" i="15"/>
  <c r="R62" i="40" s="1"/>
  <c r="BS50" i="15"/>
  <c r="BS82" i="15"/>
  <c r="BT67" i="15"/>
  <c r="BS75" i="15"/>
  <c r="BT79" i="15"/>
  <c r="BT46" i="15"/>
  <c r="BS46" i="15"/>
  <c r="BT55" i="15"/>
  <c r="R54" i="40" s="1"/>
  <c r="BS55" i="15"/>
  <c r="BT49" i="15"/>
  <c r="R48" i="40" s="1"/>
  <c r="BS49" i="15"/>
  <c r="BT68" i="15"/>
  <c r="R67" i="40" s="1"/>
  <c r="BS68" i="15"/>
  <c r="BT82" i="15"/>
  <c r="R81" i="40" s="1"/>
  <c r="BU139" i="15"/>
  <c r="S138" i="40" s="1"/>
  <c r="BT75" i="15"/>
  <c r="R74" i="40" s="1"/>
  <c r="BT146" i="15"/>
  <c r="R145" i="40" s="1"/>
  <c r="BS146" i="15"/>
  <c r="BT56" i="15"/>
  <c r="R55" i="40" s="1"/>
  <c r="BS56" i="15"/>
  <c r="BT62" i="15"/>
  <c r="R61" i="40" s="1"/>
  <c r="BS62" i="15"/>
  <c r="BT72" i="15"/>
  <c r="R71" i="40" s="1"/>
  <c r="BS72" i="15"/>
  <c r="BS78" i="15"/>
  <c r="BT78" i="15"/>
  <c r="R77" i="40" s="1"/>
  <c r="BT53" i="15"/>
  <c r="R52" i="40" s="1"/>
  <c r="BS53" i="15"/>
  <c r="BS64" i="15"/>
  <c r="BT64" i="15"/>
  <c r="R63" i="40" s="1"/>
  <c r="BT69" i="15"/>
  <c r="R68" i="40" s="1"/>
  <c r="BS69" i="15"/>
  <c r="BS114" i="15"/>
  <c r="BT71" i="15"/>
  <c r="BS83" i="15"/>
  <c r="BT60" i="15"/>
  <c r="R59" i="40" s="1"/>
  <c r="BS60" i="15"/>
  <c r="BT74" i="15"/>
  <c r="R73" i="40" s="1"/>
  <c r="BS74" i="15"/>
  <c r="BT138" i="15"/>
  <c r="R137" i="40" s="1"/>
  <c r="BS138" i="15"/>
  <c r="BT140" i="15"/>
  <c r="R139" i="40" s="1"/>
  <c r="BS140" i="15"/>
  <c r="BS59" i="15"/>
  <c r="BT59" i="15"/>
  <c r="R58" i="40" s="1"/>
  <c r="BU48" i="15"/>
  <c r="S47" i="40" s="1"/>
  <c r="AQ121" i="15"/>
  <c r="BT134" i="15" l="1"/>
  <c r="R133" i="40" s="1"/>
  <c r="BT94" i="15"/>
  <c r="R93" i="40" s="1"/>
  <c r="BD91" i="15"/>
  <c r="BG91" i="15" s="1"/>
  <c r="BS91" i="15" s="1"/>
  <c r="BF94" i="15"/>
  <c r="BF105" i="15"/>
  <c r="X15" i="1"/>
  <c r="BD80" i="15"/>
  <c r="BG80" i="15" s="1"/>
  <c r="AO92" i="15"/>
  <c r="AR92" i="15" s="1"/>
  <c r="BS92" i="15" s="1"/>
  <c r="BT124" i="15"/>
  <c r="R123" i="40" s="1"/>
  <c r="BS102" i="15"/>
  <c r="BT102" i="15"/>
  <c r="R101" i="40" s="1"/>
  <c r="BS118" i="15"/>
  <c r="BU118" i="15" s="1"/>
  <c r="S117" i="40" s="1"/>
  <c r="BT98" i="15"/>
  <c r="R97" i="40" s="1"/>
  <c r="AQ124" i="15"/>
  <c r="AQ94" i="15"/>
  <c r="BS94" i="15"/>
  <c r="BU94" i="15" s="1"/>
  <c r="S93" i="40" s="1"/>
  <c r="BT136" i="15"/>
  <c r="R135" i="40" s="1"/>
  <c r="BL69" i="43" s="1"/>
  <c r="BL69" i="45" s="1"/>
  <c r="BT101" i="15"/>
  <c r="R100" i="40" s="1"/>
  <c r="BD126" i="15"/>
  <c r="BG126" i="15" s="1"/>
  <c r="AQ114" i="15"/>
  <c r="AO97" i="15"/>
  <c r="AR97" i="15" s="1"/>
  <c r="BT97" i="15" s="1"/>
  <c r="R96" i="40" s="1"/>
  <c r="BU116" i="15"/>
  <c r="S115" i="40" s="1"/>
  <c r="BS101" i="15"/>
  <c r="BS130" i="15"/>
  <c r="BU130" i="15" s="1"/>
  <c r="S129" i="40" s="1"/>
  <c r="BD110" i="15"/>
  <c r="BG110" i="15" s="1"/>
  <c r="BT110" i="15" s="1"/>
  <c r="R109" i="40" s="1"/>
  <c r="AO107" i="15"/>
  <c r="AR107" i="15" s="1"/>
  <c r="BS107" i="15" s="1"/>
  <c r="AO104" i="15"/>
  <c r="AR104" i="15" s="1"/>
  <c r="BT104" i="15" s="1"/>
  <c r="R103" i="40" s="1"/>
  <c r="BS89" i="15"/>
  <c r="BU89" i="15" s="1"/>
  <c r="S88" i="40" s="1"/>
  <c r="BU73" i="15"/>
  <c r="S72" i="40" s="1"/>
  <c r="BS76" i="15"/>
  <c r="BU76" i="15" s="1"/>
  <c r="S75" i="40" s="1"/>
  <c r="BF97" i="15"/>
  <c r="BU50" i="15"/>
  <c r="S49" i="40" s="1"/>
  <c r="BM51" i="43" s="1"/>
  <c r="BM51" i="45" s="1"/>
  <c r="BS119" i="15"/>
  <c r="BU119" i="15" s="1"/>
  <c r="S118" i="40" s="1"/>
  <c r="BF119" i="15"/>
  <c r="BT87" i="15"/>
  <c r="R86" i="40" s="1"/>
  <c r="BT105" i="15"/>
  <c r="R104" i="40" s="1"/>
  <c r="BF89" i="15"/>
  <c r="BT58" i="15"/>
  <c r="R57" i="40" s="1"/>
  <c r="BS105" i="15"/>
  <c r="BU85" i="15"/>
  <c r="S84" i="40" s="1"/>
  <c r="BD77" i="15"/>
  <c r="BG77" i="15" s="1"/>
  <c r="BS77" i="15" s="1"/>
  <c r="BS115" i="15"/>
  <c r="BF115" i="15"/>
  <c r="AO100" i="15"/>
  <c r="AR100" i="15" s="1"/>
  <c r="AO99" i="15"/>
  <c r="AR99" i="15" s="1"/>
  <c r="BT99" i="15" s="1"/>
  <c r="R98" i="40" s="1"/>
  <c r="BS109" i="15"/>
  <c r="BU142" i="15"/>
  <c r="S141" i="40" s="1"/>
  <c r="AO128" i="15"/>
  <c r="AR128" i="15" s="1"/>
  <c r="BT128" i="15" s="1"/>
  <c r="R127" i="40" s="1"/>
  <c r="BD95" i="15"/>
  <c r="BG95" i="15" s="1"/>
  <c r="BT95" i="15" s="1"/>
  <c r="R94" i="40" s="1"/>
  <c r="BF106" i="15"/>
  <c r="BF132" i="15"/>
  <c r="BD132" i="15"/>
  <c r="BG132" i="15" s="1"/>
  <c r="BS127" i="15"/>
  <c r="BU127" i="15" s="1"/>
  <c r="S126" i="40" s="1"/>
  <c r="BD100" i="15"/>
  <c r="BG100" i="15" s="1"/>
  <c r="AO93" i="15"/>
  <c r="AR93" i="15" s="1"/>
  <c r="BT93" i="15" s="1"/>
  <c r="R92" i="40" s="1"/>
  <c r="BL60" i="43" s="1"/>
  <c r="BL60" i="45" s="1"/>
  <c r="BU96" i="15"/>
  <c r="S95" i="40" s="1"/>
  <c r="BS133" i="15"/>
  <c r="BU133" i="15" s="1"/>
  <c r="S132" i="40" s="1"/>
  <c r="BU120" i="15"/>
  <c r="S119" i="40" s="1"/>
  <c r="AO126" i="15"/>
  <c r="AR126" i="15" s="1"/>
  <c r="AQ126" i="15"/>
  <c r="BT109" i="15"/>
  <c r="R108" i="40" s="1"/>
  <c r="BD122" i="15"/>
  <c r="BG122" i="15" s="1"/>
  <c r="BU134" i="15"/>
  <c r="S133" i="40" s="1"/>
  <c r="BD108" i="15"/>
  <c r="BG108" i="15" s="1"/>
  <c r="BS108" i="15" s="1"/>
  <c r="BT111" i="15"/>
  <c r="R110" i="40" s="1"/>
  <c r="BT66" i="15"/>
  <c r="R65" i="40" s="1"/>
  <c r="BS54" i="15"/>
  <c r="BU54" i="15" s="1"/>
  <c r="S53" i="40" s="1"/>
  <c r="BS84" i="15"/>
  <c r="BU84" i="15" s="1"/>
  <c r="S83" i="40" s="1"/>
  <c r="BS111" i="15"/>
  <c r="AQ129" i="15"/>
  <c r="AO129" i="15"/>
  <c r="AR129" i="15" s="1"/>
  <c r="BU112" i="15"/>
  <c r="S111" i="40" s="1"/>
  <c r="BM64" i="43" s="1"/>
  <c r="BM64" i="45" s="1"/>
  <c r="BT80" i="15"/>
  <c r="R79" i="40" s="1"/>
  <c r="BF135" i="15"/>
  <c r="BD135" i="15"/>
  <c r="BG135" i="15" s="1"/>
  <c r="AO131" i="15"/>
  <c r="AR131" i="15" s="1"/>
  <c r="AQ131" i="15"/>
  <c r="AQ132" i="15"/>
  <c r="AO132" i="15"/>
  <c r="AR132" i="15" s="1"/>
  <c r="BU86" i="15"/>
  <c r="S85" i="40" s="1"/>
  <c r="BT103" i="15"/>
  <c r="R102" i="40" s="1"/>
  <c r="BL62" i="43" s="1"/>
  <c r="BL62" i="45" s="1"/>
  <c r="BS117" i="15"/>
  <c r="BU117" i="15" s="1"/>
  <c r="S116" i="40" s="1"/>
  <c r="BS81" i="15"/>
  <c r="BU81" i="15" s="1"/>
  <c r="S80" i="40" s="1"/>
  <c r="BD121" i="15"/>
  <c r="BG121" i="15" s="1"/>
  <c r="BS87" i="15"/>
  <c r="AO106" i="15"/>
  <c r="AR106" i="15" s="1"/>
  <c r="BS106" i="15" s="1"/>
  <c r="BT90" i="15"/>
  <c r="BU90" i="15" s="1"/>
  <c r="S89" i="40" s="1"/>
  <c r="BT125" i="15"/>
  <c r="R124" i="40" s="1"/>
  <c r="AO122" i="15"/>
  <c r="AR122" i="15" s="1"/>
  <c r="BF123" i="15"/>
  <c r="BD123" i="15"/>
  <c r="BG123" i="15" s="1"/>
  <c r="BT88" i="15"/>
  <c r="BU88" i="15" s="1"/>
  <c r="S87" i="40" s="1"/>
  <c r="BU113" i="15"/>
  <c r="S112" i="40" s="1"/>
  <c r="BS80" i="15"/>
  <c r="BU47" i="15"/>
  <c r="S46" i="40" s="1"/>
  <c r="S45" i="40" s="1"/>
  <c r="BT69" i="43"/>
  <c r="BT69" i="45" s="1"/>
  <c r="BM70" i="43"/>
  <c r="BM70" i="45" s="1"/>
  <c r="BL53" i="43"/>
  <c r="BL53" i="45" s="1"/>
  <c r="BL71" i="43"/>
  <c r="BL71" i="45" s="1"/>
  <c r="BU79" i="15"/>
  <c r="S78" i="40" s="1"/>
  <c r="R78" i="40"/>
  <c r="BL65" i="43"/>
  <c r="BL65" i="45" s="1"/>
  <c r="BU115" i="15"/>
  <c r="S114" i="40" s="1"/>
  <c r="R114" i="40"/>
  <c r="BL55" i="43"/>
  <c r="BL55" i="45" s="1"/>
  <c r="BL50" i="43"/>
  <c r="BL50" i="45" s="1"/>
  <c r="BU51" i="15"/>
  <c r="S50" i="40" s="1"/>
  <c r="R50" i="40"/>
  <c r="BU67" i="15"/>
  <c r="S66" i="40" s="1"/>
  <c r="R66" i="40"/>
  <c r="BL56" i="43"/>
  <c r="BL56" i="45" s="1"/>
  <c r="BL52" i="43"/>
  <c r="BL52" i="45" s="1"/>
  <c r="BL54" i="43"/>
  <c r="BL54" i="45" s="1"/>
  <c r="BU71" i="15"/>
  <c r="S70" i="40" s="1"/>
  <c r="R70" i="40"/>
  <c r="BL58" i="43"/>
  <c r="BL58" i="45" s="1"/>
  <c r="CS44" i="38"/>
  <c r="CT44" i="38" s="1"/>
  <c r="CU44" i="38" s="1"/>
  <c r="CV44" i="38" s="1"/>
  <c r="BT91" i="15"/>
  <c r="BU65" i="15"/>
  <c r="S64" i="40" s="1"/>
  <c r="BU137" i="15"/>
  <c r="S136" i="40" s="1"/>
  <c r="BU56" i="15"/>
  <c r="S55" i="40" s="1"/>
  <c r="BU114" i="15"/>
  <c r="S113" i="40" s="1"/>
  <c r="BU83" i="15"/>
  <c r="S82" i="40" s="1"/>
  <c r="BU146" i="15"/>
  <c r="S145" i="40" s="1"/>
  <c r="BU60" i="15"/>
  <c r="S59" i="40" s="1"/>
  <c r="BU53" i="15"/>
  <c r="S52" i="40" s="1"/>
  <c r="BU63" i="15"/>
  <c r="S62" i="40" s="1"/>
  <c r="BU46" i="15"/>
  <c r="BU58" i="15"/>
  <c r="S57" i="40" s="1"/>
  <c r="BU62" i="15"/>
  <c r="S61" i="40" s="1"/>
  <c r="BU75" i="15"/>
  <c r="S74" i="40" s="1"/>
  <c r="BU140" i="15"/>
  <c r="S139" i="40" s="1"/>
  <c r="BU74" i="15"/>
  <c r="S73" i="40" s="1"/>
  <c r="BU72" i="15"/>
  <c r="S71" i="40" s="1"/>
  <c r="BU68" i="15"/>
  <c r="S67" i="40" s="1"/>
  <c r="BU82" i="15"/>
  <c r="S81" i="40" s="1"/>
  <c r="BU64" i="15"/>
  <c r="S63" i="40" s="1"/>
  <c r="BU138" i="15"/>
  <c r="S137" i="40" s="1"/>
  <c r="BU69" i="15"/>
  <c r="S68" i="40" s="1"/>
  <c r="BU78" i="15"/>
  <c r="S77" i="40" s="1"/>
  <c r="BU49" i="15"/>
  <c r="S48" i="40" s="1"/>
  <c r="BU59" i="15"/>
  <c r="S58" i="40" s="1"/>
  <c r="BU55" i="15"/>
  <c r="S54" i="40" s="1"/>
  <c r="BU124" i="15" l="1"/>
  <c r="S123" i="40" s="1"/>
  <c r="BU136" i="15"/>
  <c r="S135" i="40" s="1"/>
  <c r="BT92" i="15"/>
  <c r="R91" i="40" s="1"/>
  <c r="BU98" i="15"/>
  <c r="S97" i="40" s="1"/>
  <c r="BM61" i="43" s="1"/>
  <c r="BM61" i="45" s="1"/>
  <c r="BU102" i="15"/>
  <c r="S101" i="40" s="1"/>
  <c r="BU101" i="15"/>
  <c r="S100" i="40" s="1"/>
  <c r="BU87" i="15"/>
  <c r="S86" i="40" s="1"/>
  <c r="BS97" i="15"/>
  <c r="BU97" i="15" s="1"/>
  <c r="S96" i="40" s="1"/>
  <c r="BU109" i="15"/>
  <c r="S108" i="40" s="1"/>
  <c r="BT126" i="15"/>
  <c r="R125" i="40" s="1"/>
  <c r="BS110" i="15"/>
  <c r="BU110" i="15" s="1"/>
  <c r="S109" i="40" s="1"/>
  <c r="BT107" i="15"/>
  <c r="BU107" i="15" s="1"/>
  <c r="S106" i="40" s="1"/>
  <c r="BM63" i="43" s="1"/>
  <c r="BM63" i="45" s="1"/>
  <c r="BS104" i="15"/>
  <c r="BU104" i="15" s="1"/>
  <c r="S103" i="40" s="1"/>
  <c r="BT77" i="15"/>
  <c r="R76" i="40" s="1"/>
  <c r="BT100" i="15"/>
  <c r="R99" i="40" s="1"/>
  <c r="BS95" i="15"/>
  <c r="BU95" i="15" s="1"/>
  <c r="S94" i="40" s="1"/>
  <c r="BU105" i="15"/>
  <c r="S104" i="40" s="1"/>
  <c r="BS99" i="15"/>
  <c r="BU99" i="15" s="1"/>
  <c r="S98" i="40" s="1"/>
  <c r="BS100" i="15"/>
  <c r="BU80" i="15"/>
  <c r="S79" i="40" s="1"/>
  <c r="O28" i="15"/>
  <c r="W21" i="46" s="1"/>
  <c r="BS128" i="15"/>
  <c r="BU128" i="15" s="1"/>
  <c r="S127" i="40" s="1"/>
  <c r="BT108" i="15"/>
  <c r="R107" i="40" s="1"/>
  <c r="BS93" i="15"/>
  <c r="BU93" i="15" s="1"/>
  <c r="S92" i="40" s="1"/>
  <c r="BM60" i="43" s="1"/>
  <c r="BM60" i="45" s="1"/>
  <c r="P23" i="15"/>
  <c r="X16" i="46" s="1"/>
  <c r="BU111" i="15"/>
  <c r="S110" i="40" s="1"/>
  <c r="BU66" i="15"/>
  <c r="S65" i="40" s="1"/>
  <c r="BS126" i="15"/>
  <c r="BU92" i="15"/>
  <c r="S91" i="40" s="1"/>
  <c r="BS129" i="15"/>
  <c r="BT129" i="15"/>
  <c r="R128" i="40" s="1"/>
  <c r="BT131" i="15"/>
  <c r="R130" i="40" s="1"/>
  <c r="BL68" i="43" s="1"/>
  <c r="BL68" i="45" s="1"/>
  <c r="BS131" i="15"/>
  <c r="BT135" i="15"/>
  <c r="R134" i="40" s="1"/>
  <c r="BS135" i="15"/>
  <c r="BU103" i="15"/>
  <c r="S102" i="40" s="1"/>
  <c r="BM62" i="43" s="1"/>
  <c r="BM62" i="45" s="1"/>
  <c r="BT132" i="15"/>
  <c r="R131" i="40" s="1"/>
  <c r="BS132" i="15"/>
  <c r="BU125" i="15"/>
  <c r="S124" i="40" s="1"/>
  <c r="N24" i="15"/>
  <c r="V17" i="46" s="1"/>
  <c r="BT106" i="15"/>
  <c r="N18" i="15"/>
  <c r="V11" i="46" s="1"/>
  <c r="O21" i="15"/>
  <c r="W14" i="46" s="1"/>
  <c r="BT121" i="15"/>
  <c r="R120" i="40" s="1"/>
  <c r="BS121" i="15"/>
  <c r="R89" i="40"/>
  <c r="R87" i="40"/>
  <c r="BL59" i="43" s="1"/>
  <c r="BL59" i="45" s="1"/>
  <c r="BS122" i="15"/>
  <c r="BT122" i="15"/>
  <c r="R121" i="40" s="1"/>
  <c r="BL66" i="43" s="1"/>
  <c r="BL66" i="45" s="1"/>
  <c r="BT123" i="15"/>
  <c r="R122" i="40" s="1"/>
  <c r="BS123" i="15"/>
  <c r="BU108" i="15"/>
  <c r="S107" i="40" s="1"/>
  <c r="CW44" i="38"/>
  <c r="Z45" i="40"/>
  <c r="BM58" i="43"/>
  <c r="BM58" i="45" s="1"/>
  <c r="BM69" i="43"/>
  <c r="BM69" i="45" s="1"/>
  <c r="BU91" i="15"/>
  <c r="S90" i="40" s="1"/>
  <c r="R90" i="40"/>
  <c r="BM55" i="43"/>
  <c r="BM55" i="45" s="1"/>
  <c r="BM56" i="43"/>
  <c r="BM56" i="45" s="1"/>
  <c r="BM65" i="43"/>
  <c r="BM65" i="45" s="1"/>
  <c r="BM53" i="43"/>
  <c r="BM53" i="45" s="1"/>
  <c r="BM50" i="43"/>
  <c r="BM50" i="45" s="1"/>
  <c r="BM59" i="43"/>
  <c r="BM59" i="45" s="1"/>
  <c r="BM57" i="43"/>
  <c r="BM57" i="45" s="1"/>
  <c r="BM52" i="43"/>
  <c r="BM52" i="45" s="1"/>
  <c r="BM71" i="43"/>
  <c r="BM71" i="45" s="1"/>
  <c r="BM54" i="43"/>
  <c r="BM54" i="45" s="1"/>
  <c r="BL67" i="43"/>
  <c r="BL67" i="45" s="1"/>
  <c r="BL61" i="43"/>
  <c r="BL61" i="45" s="1"/>
  <c r="BL57" i="43"/>
  <c r="BL57" i="45" s="1"/>
  <c r="BU126" i="15" l="1"/>
  <c r="S125" i="40" s="1"/>
  <c r="BM67" i="43" s="1"/>
  <c r="BM67" i="45" s="1"/>
  <c r="R106" i="40"/>
  <c r="BL63" i="43" s="1"/>
  <c r="BL63" i="45" s="1"/>
  <c r="BU77" i="15"/>
  <c r="S76" i="40" s="1"/>
  <c r="BU100" i="15"/>
  <c r="S99" i="40" s="1"/>
  <c r="W21" i="1"/>
  <c r="V11" i="1"/>
  <c r="X16" i="1"/>
  <c r="BU135" i="15"/>
  <c r="S134" i="40" s="1"/>
  <c r="BU131" i="15"/>
  <c r="S130" i="40" s="1"/>
  <c r="BM68" i="43" s="1"/>
  <c r="BM68" i="45" s="1"/>
  <c r="N29" i="15"/>
  <c r="V22" i="46" s="1"/>
  <c r="W14" i="1"/>
  <c r="BU123" i="15"/>
  <c r="S122" i="40" s="1"/>
  <c r="BU121" i="15"/>
  <c r="S120" i="40" s="1"/>
  <c r="BU132" i="15"/>
  <c r="S131" i="40" s="1"/>
  <c r="BU129" i="15"/>
  <c r="S128" i="40" s="1"/>
  <c r="V17" i="1"/>
  <c r="R105" i="40"/>
  <c r="BU106" i="15"/>
  <c r="S105" i="40" s="1"/>
  <c r="BT148" i="15"/>
  <c r="BU122" i="15"/>
  <c r="S121" i="40" s="1"/>
  <c r="BM66" i="43" s="1"/>
  <c r="BM66" i="45" s="1"/>
  <c r="CX44" i="38"/>
  <c r="L50" i="43"/>
  <c r="L55" i="43"/>
  <c r="L54" i="43"/>
  <c r="L51" i="43"/>
  <c r="V22" i="1" l="1"/>
  <c r="N30" i="15"/>
  <c r="V23" i="46" s="1"/>
  <c r="BT50" i="43"/>
  <c r="BT50" i="45" s="1"/>
  <c r="BI24" i="47"/>
  <c r="AF25" i="44"/>
  <c r="V23" i="1" l="1"/>
  <c r="AV25" i="44"/>
  <c r="BH24" i="47" l="1"/>
  <c r="AV24" i="44" s="1"/>
  <c r="AF24" i="44"/>
  <c r="BJ24" i="47"/>
</calcChain>
</file>

<file path=xl/sharedStrings.xml><?xml version="1.0" encoding="utf-8"?>
<sst xmlns="http://schemas.openxmlformats.org/spreadsheetml/2006/main" count="3117" uniqueCount="1169">
  <si>
    <t>Description</t>
  </si>
  <si>
    <t>Symbol</t>
  </si>
  <si>
    <t>Unit</t>
  </si>
  <si>
    <t>Input Values</t>
  </si>
  <si>
    <t>in</t>
  </si>
  <si>
    <t>psi</t>
  </si>
  <si>
    <t>b/2</t>
  </si>
  <si>
    <t>ft</t>
  </si>
  <si>
    <t>Root Chord</t>
  </si>
  <si>
    <t>Half-Span</t>
  </si>
  <si>
    <t>C_r</t>
  </si>
  <si>
    <t>Tip Chord</t>
  </si>
  <si>
    <t>C_t</t>
  </si>
  <si>
    <t>Planform</t>
  </si>
  <si>
    <t>-</t>
  </si>
  <si>
    <t>AW_x/c_tip</t>
  </si>
  <si>
    <t>AW_t/c</t>
  </si>
  <si>
    <t>lb</t>
  </si>
  <si>
    <t>Spar Height/Chord</t>
  </si>
  <si>
    <t>Aft Web Height/Chord</t>
  </si>
  <si>
    <t>Spar Location % Chord</t>
  </si>
  <si>
    <t>Aft Web Location % Chord</t>
  </si>
  <si>
    <t>Plotting</t>
  </si>
  <si>
    <t>Root Chord LE</t>
  </si>
  <si>
    <t>Root Chord TE</t>
  </si>
  <si>
    <t>Factor of Safety, Stress</t>
  </si>
  <si>
    <t>Design Limit Loads</t>
  </si>
  <si>
    <t>FS_stress</t>
  </si>
  <si>
    <t>FS_buckling</t>
  </si>
  <si>
    <t>Structural Factors</t>
  </si>
  <si>
    <t>Spar Cap Density</t>
  </si>
  <si>
    <t>Spar Cap Modulus</t>
  </si>
  <si>
    <t>Spar Cap Compression Ult. Allowable (Uni)</t>
  </si>
  <si>
    <t>Spar Cap Tension Ult Allowable (Uni)</t>
  </si>
  <si>
    <t>K_Fab</t>
  </si>
  <si>
    <t>Bonded Joint Weight  (W_joints/W_laminate)</t>
  </si>
  <si>
    <t>Assumes Straight Quarter-chord</t>
  </si>
  <si>
    <t>E11_Cap</t>
  </si>
  <si>
    <t>rho_Cap</t>
  </si>
  <si>
    <t>lb/in^3</t>
  </si>
  <si>
    <t>Assumes +/- 45 deg Fabric</t>
  </si>
  <si>
    <t>Material - Skins and Webs</t>
  </si>
  <si>
    <t>Shear Ult. Allowable</t>
  </si>
  <si>
    <t>F1_CU_Cap</t>
  </si>
  <si>
    <t>F1_TU_Cap</t>
  </si>
  <si>
    <t>Shear Modulus</t>
  </si>
  <si>
    <t>E11_Bias</t>
  </si>
  <si>
    <t>F12_Bias</t>
  </si>
  <si>
    <t>G12_Bias</t>
  </si>
  <si>
    <t>Skin Density</t>
  </si>
  <si>
    <t>Skin Cured Ply Thickness</t>
  </si>
  <si>
    <t>rho_Bias</t>
  </si>
  <si>
    <t>CPT_Bias</t>
  </si>
  <si>
    <t>Core Modulus (E11=E22=E33)</t>
  </si>
  <si>
    <t>E_Core</t>
  </si>
  <si>
    <t>Core Compression Strength</t>
  </si>
  <si>
    <t>Core Shear Strength</t>
  </si>
  <si>
    <t>Fsu_Core</t>
  </si>
  <si>
    <t>Core Density</t>
  </si>
  <si>
    <t>rho_Core</t>
  </si>
  <si>
    <t>Skin Compression Modulus</t>
  </si>
  <si>
    <t>Material - Skin and Web Core</t>
  </si>
  <si>
    <t>Materials - Spar Caps</t>
  </si>
  <si>
    <t>Manufacturing Weight Factors</t>
  </si>
  <si>
    <t>Name</t>
  </si>
  <si>
    <t>Type</t>
  </si>
  <si>
    <t>E1</t>
  </si>
  <si>
    <t>E2</t>
  </si>
  <si>
    <t>E3</t>
  </si>
  <si>
    <t>NU12</t>
  </si>
  <si>
    <t>NU13</t>
  </si>
  <si>
    <t>NU23</t>
  </si>
  <si>
    <t>G12</t>
  </si>
  <si>
    <t>G13</t>
  </si>
  <si>
    <t>G23</t>
  </si>
  <si>
    <t>CTE1</t>
  </si>
  <si>
    <t>CTE2</t>
  </si>
  <si>
    <t>CTE3</t>
  </si>
  <si>
    <t>K1</t>
  </si>
  <si>
    <t>K2</t>
  </si>
  <si>
    <t>K3</t>
  </si>
  <si>
    <t>CP</t>
  </si>
  <si>
    <t>rho</t>
  </si>
  <si>
    <t>Tensile1</t>
  </si>
  <si>
    <t>Tensile2</t>
  </si>
  <si>
    <t>Tensile3</t>
  </si>
  <si>
    <t>Compressive1</t>
  </si>
  <si>
    <t>Compressive2</t>
  </si>
  <si>
    <t>Compressive3</t>
  </si>
  <si>
    <t>Shear12</t>
  </si>
  <si>
    <t>Shear13</t>
  </si>
  <si>
    <t>Shear23</t>
  </si>
  <si>
    <t>Tsai-Wu</t>
  </si>
  <si>
    <t>mN/mm^2(kPa)</t>
  </si>
  <si>
    <t>Unitless</t>
  </si>
  <si>
    <t>1/C</t>
  </si>
  <si>
    <t>microW/mm-C</t>
  </si>
  <si>
    <t>microJ/kg-K</t>
  </si>
  <si>
    <t>kg/mm^3</t>
  </si>
  <si>
    <t>mm^4/mN^2</t>
  </si>
  <si>
    <t>Orthotropic</t>
  </si>
  <si>
    <t>Blank</t>
  </si>
  <si>
    <t>Carbon_Fiber_Plain_Weave_T700S</t>
  </si>
  <si>
    <t>Core_Foam_PVC_Divinycell_HP60</t>
  </si>
  <si>
    <t>Isotropic</t>
  </si>
  <si>
    <t>HP60 (4 pcf)</t>
  </si>
  <si>
    <t>(T700PW)</t>
  </si>
  <si>
    <t>From Laminate Theory -T700S +/- 45deg Bias</t>
  </si>
  <si>
    <t>Laminate Props:</t>
  </si>
  <si>
    <t>nu12</t>
  </si>
  <si>
    <t>Allowables</t>
  </si>
  <si>
    <t>NX, T</t>
  </si>
  <si>
    <t>lbs/in</t>
  </si>
  <si>
    <t>NX, C</t>
  </si>
  <si>
    <t>NY, T</t>
  </si>
  <si>
    <t>NY, C</t>
  </si>
  <si>
    <t>NXY</t>
  </si>
  <si>
    <t>CPT</t>
  </si>
  <si>
    <t>Sigma</t>
  </si>
  <si>
    <t>Tip Chord LE</t>
  </si>
  <si>
    <t>Tip Chord TE</t>
  </si>
  <si>
    <t>T700S Fabric</t>
  </si>
  <si>
    <t>T700S PW Fabric, 45 Bias, Ref. Direction along spar</t>
  </si>
  <si>
    <t>Spar Root</t>
  </si>
  <si>
    <t>Spar Tip</t>
  </si>
  <si>
    <t>Aft Web Root</t>
  </si>
  <si>
    <t>Aft Web Tip</t>
  </si>
  <si>
    <t>X [ft]</t>
  </si>
  <si>
    <t>Y [ft]</t>
  </si>
  <si>
    <t>Notes:</t>
  </si>
  <si>
    <t xml:space="preserve">Segment </t>
  </si>
  <si>
    <t>Chord [ft]</t>
  </si>
  <si>
    <t>BL [ft] - OB Edge</t>
  </si>
  <si>
    <t>Segment Width [ft]</t>
  </si>
  <si>
    <t>Segment Area [ft/2]</t>
  </si>
  <si>
    <t>lb/ft^2</t>
  </si>
  <si>
    <t>Trapezoidal Lift Dist.</t>
  </si>
  <si>
    <t>Segment Lift [lbs]</t>
  </si>
  <si>
    <t>b</t>
  </si>
  <si>
    <t>Elliptical Chord [ft]</t>
  </si>
  <si>
    <t>Shrenk Chord [ft]</t>
  </si>
  <si>
    <t>Shrenk Lift Dist.</t>
  </si>
  <si>
    <t>ft-lb</t>
  </si>
  <si>
    <t>Root Quarter-Chord</t>
  </si>
  <si>
    <t>+Y Wing, Right-Side</t>
  </si>
  <si>
    <t>Segment 
Width [ft]</t>
  </si>
  <si>
    <t>Schrenk loading assumption; average of trapezoidal and elliptical lift distribution.</t>
  </si>
  <si>
    <t>Shear [lbs] -
 OB Edge - Vz</t>
  </si>
  <si>
    <t>Moment [ft-lbs] -
 OB Edge - Mx</t>
  </si>
  <si>
    <t>Lift</t>
  </si>
  <si>
    <t>Horizontal Shear
Vx [lb]</t>
  </si>
  <si>
    <t>Vertical Shear 
Vz [lb]</t>
  </si>
  <si>
    <t>ECHO</t>
  </si>
  <si>
    <t>Segment 
Area [ft^2]</t>
  </si>
  <si>
    <t>Segment Area [ft^2]</t>
  </si>
  <si>
    <t>Units - FEET  - Inch Conversions to the --&gt;&gt;</t>
  </si>
  <si>
    <t>Segment 
Area [in^2]</t>
  </si>
  <si>
    <t>Horizontal Bending and Shear Dimensions</t>
  </si>
  <si>
    <t>Torsion Dimensions</t>
  </si>
  <si>
    <t>Torque Box Height [in]</t>
  </si>
  <si>
    <t>Elliptical
Torque Box
Area [in^2]</t>
  </si>
  <si>
    <t>Torque Box Width [in]</t>
  </si>
  <si>
    <t>Aft Web Offset 
from LE 
[in]</t>
  </si>
  <si>
    <t>Aft Web 
Height [in]</t>
  </si>
  <si>
    <t>Minimum Number of OML Plies</t>
  </si>
  <si>
    <t>MG_OML</t>
  </si>
  <si>
    <t>MG_IML</t>
  </si>
  <si>
    <t>Minimum Number of IML Plies</t>
  </si>
  <si>
    <t>MT_Core</t>
  </si>
  <si>
    <t>Vertical 
Bending 
Mx [in-lb]</t>
  </si>
  <si>
    <t>Torsion 
My [in-lb]</t>
  </si>
  <si>
    <t>All stress calculations are in inches and pounds.</t>
  </si>
  <si>
    <t>Horizontal Bending
Mz [in-lb]</t>
  </si>
  <si>
    <t>BL 
[in]</t>
  </si>
  <si>
    <t>Chord
[in]</t>
  </si>
  <si>
    <t xml:space="preserve"> Segment
Width
[in]</t>
  </si>
  <si>
    <t>Segment</t>
  </si>
  <si>
    <t>Spar Cap - Compression</t>
  </si>
  <si>
    <t>Spar Cap - Tension</t>
  </si>
  <si>
    <t>Stress</t>
  </si>
  <si>
    <t>Skins - Horizontal Bending</t>
  </si>
  <si>
    <t>F = M/h, A = F/sigma</t>
  </si>
  <si>
    <t>Running Load = V/h, t = RL/sigma</t>
  </si>
  <si>
    <t>Fwd and Aft Web Caps</t>
  </si>
  <si>
    <t>Main Spar is assumed to react all vertical bending and shear.</t>
  </si>
  <si>
    <t xml:space="preserve">Forward and Aft Webs have cap material added to react horizontal bending.  All horizontal bending is assumed to be reacted through the fwd and aft web caps.  </t>
  </si>
  <si>
    <t>Horizontal shear is carried through the lower skin.</t>
  </si>
  <si>
    <t>Running Load = T/2A, t = RL/sigma</t>
  </si>
  <si>
    <t>Distance 
from Spar 
to 
Aft Web 
[in]</t>
  </si>
  <si>
    <t>Spar 
Offset 
from LE 
[in]</t>
  </si>
  <si>
    <t>Vertical Shear Web Height [in]</t>
  </si>
  <si>
    <t>Vertical Shear Web [lbs/in]</t>
  </si>
  <si>
    <t>Horizontal Shear [lbs/in]</t>
  </si>
  <si>
    <t>Skin Shear Flow from Torsion [lbs/in]</t>
  </si>
  <si>
    <t>1st Pass -Horizontal Bending Cap Loads [lbs/in]</t>
  </si>
  <si>
    <t>Skins, Fwd, and Aft Webs</t>
  </si>
  <si>
    <t>Vert Spar
Comp.
Cap Area [in^2]</t>
  </si>
  <si>
    <t>Vert Spar
Tension
Cap Area [in^2]</t>
  </si>
  <si>
    <t>1st-pass Skin Thickness [in]</t>
  </si>
  <si>
    <t>Spar Web
 Plies [n]</t>
  </si>
  <si>
    <t>Spar Web Facesheet 1, Plies [n]</t>
  </si>
  <si>
    <t>Spar Web Facesheet 2, Plies [n]</t>
  </si>
  <si>
    <t>Facesheet Wrinkling Stress</t>
  </si>
  <si>
    <t>Core Shear Modulus (G12=G13)</t>
  </si>
  <si>
    <t>G_Core</t>
  </si>
  <si>
    <t>Buckling</t>
  </si>
  <si>
    <t xml:space="preserve">Wrinkling </t>
  </si>
  <si>
    <t>Shear-Crimp</t>
  </si>
  <si>
    <t>Thin Facesheet Assumption, NASA 99 CR-08994</t>
  </si>
  <si>
    <r>
      <rPr>
        <sz val="11"/>
        <color theme="1"/>
        <rFont val="Calibri"/>
        <family val="2"/>
      </rPr>
      <t>σ</t>
    </r>
    <r>
      <rPr>
        <sz val="11"/>
        <color theme="1"/>
        <rFont val="Calibri"/>
        <family val="2"/>
        <scheme val="minor"/>
      </rPr>
      <t>_Wrinkle</t>
    </r>
  </si>
  <si>
    <r>
      <rPr>
        <sz val="11"/>
        <color theme="1"/>
        <rFont val="Calibri"/>
        <family val="2"/>
      </rPr>
      <t>σ</t>
    </r>
    <r>
      <rPr>
        <sz val="11"/>
        <color theme="1"/>
        <rFont val="Calibri"/>
        <family val="2"/>
        <scheme val="minor"/>
      </rPr>
      <t>_DLL</t>
    </r>
  </si>
  <si>
    <t xml:space="preserve">DLL Facesheet Shear Stress Allowable </t>
  </si>
  <si>
    <t>Bias Shear Ult. Allowable</t>
  </si>
  <si>
    <t>Bias Shear Modulus</t>
  </si>
  <si>
    <t>Bias Skin Compression Modulus</t>
  </si>
  <si>
    <t>E11=E22</t>
  </si>
  <si>
    <t>Warp Fabric Modulus</t>
  </si>
  <si>
    <t>1st-pass Skin Plies [n]</t>
  </si>
  <si>
    <t>Skin Facesheet OML Plies [n]</t>
  </si>
  <si>
    <t>Minimum Core Thickness and Increments</t>
  </si>
  <si>
    <t>Global</t>
  </si>
  <si>
    <t>As-built Min Facesheet Thickness
[in]</t>
  </si>
  <si>
    <t>NASA CR-1457</t>
  </si>
  <si>
    <t>Structural Stability of Sandwich Panels and Shells</t>
  </si>
  <si>
    <t>V</t>
  </si>
  <si>
    <t>Tc</t>
  </si>
  <si>
    <t>Ef</t>
  </si>
  <si>
    <t>tf</t>
  </si>
  <si>
    <t>Gca</t>
  </si>
  <si>
    <t>Kf</t>
  </si>
  <si>
    <t>Ks</t>
  </si>
  <si>
    <t>Fs</t>
  </si>
  <si>
    <t>b &lt;&lt; a  (b/a = 0)</t>
  </si>
  <si>
    <t>tf &lt;&lt; h</t>
  </si>
  <si>
    <t>KM (fit)</t>
  </si>
  <si>
    <t>KM (table)</t>
  </si>
  <si>
    <t>Avg. K</t>
  </si>
  <si>
    <t>Error</t>
  </si>
  <si>
    <t>1st Pass Min Core Thickness Shear Crimp [in]</t>
  </si>
  <si>
    <t>DUL Buckling Min req'd Facesheet Stress [psi]</t>
  </si>
  <si>
    <t>Tc
Core Thickness [in]</t>
  </si>
  <si>
    <t>Facesheet
Thickness
[in]</t>
  </si>
  <si>
    <t>Facesheet
Modulus
[psi]</t>
  </si>
  <si>
    <t>NASA CR-1457 Core Sizing Iteration 1</t>
  </si>
  <si>
    <t>Min 
Spar Web Thickness [in]</t>
  </si>
  <si>
    <t>Panel Width
[in]</t>
  </si>
  <si>
    <t>Core 
Shear
Modulus
[psi]</t>
  </si>
  <si>
    <t>Core vs. 
Facesheet
Param
V</t>
  </si>
  <si>
    <t>Buckling Factor
Ks</t>
  </si>
  <si>
    <t>Shear Crimp Core Sizing</t>
  </si>
  <si>
    <t xml:space="preserve"> Core Thickness
as Fab'd  [in]</t>
  </si>
  <si>
    <t>Wing Skin Facesheet Sizing</t>
  </si>
  <si>
    <t>Skin Facesheet IML Plies
[n]</t>
  </si>
  <si>
    <t>NASA CR-1457 Core Sizing Iteration 2</t>
  </si>
  <si>
    <t>NASA CR-1457 Core Sizing Iteration 3</t>
  </si>
  <si>
    <t>Main Spar Web Sizing</t>
  </si>
  <si>
    <t>Additional Parameters Notes:</t>
  </si>
  <si>
    <t>Shear panel buckling coded for NASA CR-1457 methods. Assumes facesheet bending stiffness is small relative to core thickness.</t>
  </si>
  <si>
    <t>See all panel buckling columns, parameter V, to change methods.</t>
  </si>
  <si>
    <t>Core Shear and Panel Buckling</t>
  </si>
  <si>
    <t>Spar caps sized assuming continous core.  Reduced spar height.  See "Spar Height" parameter to change methods.</t>
  </si>
  <si>
    <t>Spar Cap Outer Height
[in]</t>
  </si>
  <si>
    <t>Vertical Shear Dimensions</t>
  </si>
  <si>
    <t>Vertical Bending Dimentions and 1st Spar Cap Iteration</t>
  </si>
  <si>
    <t>Initial Wing 
Height at Spar [in]</t>
  </si>
  <si>
    <t>Spar Web Facesheet 1, Thickness
[in]</t>
  </si>
  <si>
    <t>Spar Web Facesheet 2, Thickness
[in]</t>
  </si>
  <si>
    <t>Skin Facesheet OML Thickness [in]</t>
  </si>
  <si>
    <t>Skin Facesheet IML Thickness [in]</t>
  </si>
  <si>
    <t>Comp Cap Square
Side Length 
[in]</t>
  </si>
  <si>
    <t>Tension
 Cap Square
Side Length 
[in]</t>
  </si>
  <si>
    <t>Vertical Bending Dimentions and 2nd Spar Cap Iteration</t>
  </si>
  <si>
    <t>Vertical Bending Dimentions and 3rd Spar Cap Iteration</t>
  </si>
  <si>
    <t>Spar Cap Centroid Dist
[in]</t>
  </si>
  <si>
    <t>Vertical Bending Dimentions and 4th Spar Cap Iteration</t>
  </si>
  <si>
    <t>Vertical Bending Dimentions, Final Iteration</t>
  </si>
  <si>
    <t>Main Spar Cap Sizing</t>
  </si>
  <si>
    <t>Upper and Lower Wing Skins and Core Sizing</t>
  </si>
  <si>
    <t>Vertical Bending Cap Loads
DLL
 [lbs/in]</t>
  </si>
  <si>
    <t>1st Pass -Vertical Bending Cap Loads - DLL
 [lbs/in]</t>
  </si>
  <si>
    <t>Web Facesheet Sizing</t>
  </si>
  <si>
    <t>Min 
Web Thickness [in]</t>
  </si>
  <si>
    <t>Web
 Plies [n]</t>
  </si>
  <si>
    <t>Aft Web Sizing</t>
  </si>
  <si>
    <t>Web Facesheet 1, Thickness
[in]</t>
  </si>
  <si>
    <t>Web Facesheet 2, Thickness
[in]</t>
  </si>
  <si>
    <t>Horizontal 
Drag Spar
Comp.
Cap Area 
[in^2]</t>
  </si>
  <si>
    <t>Horizontal
Drag Spar
Tension
Cap Area 
[in^2]</t>
  </si>
  <si>
    <t xml:space="preserve">
 Cap Square
Side Length 
[in]</t>
  </si>
  <si>
    <t>Horizontal - Drag Cap Sizing</t>
  </si>
  <si>
    <t>Main Spar Final Core Thickness
[in]</t>
  </si>
  <si>
    <t>Aft Web Final Core Thickness
[in]</t>
  </si>
  <si>
    <t>Web Caps for Thrust/Drag Loads</t>
  </si>
  <si>
    <t>NASA CR-8994: Thin face-sheet assumption, used for all cores.</t>
  </si>
  <si>
    <t>NASA CR-1457: Thin face-sheet assumption, used for all cores.</t>
  </si>
  <si>
    <t>Spar  Web</t>
  </si>
  <si>
    <t>Goodrich, K=0.5: All core sized by min of shear crimp.</t>
  </si>
  <si>
    <t>Wing Skin Final Sized Core Thickness
[in]</t>
  </si>
  <si>
    <t>Design for Manufacturing</t>
  </si>
  <si>
    <t>Zone 1 - Core Thickness [in]</t>
  </si>
  <si>
    <t>Zone 2 - Core Thickness [in]</t>
  </si>
  <si>
    <t>Zone 3 - Core Thickness [in]</t>
  </si>
  <si>
    <t>Zone 4 - Core Thickness [in]</t>
  </si>
  <si>
    <t>Zone 1 - Max Core Thickness [in]</t>
  </si>
  <si>
    <t>Zone 2 - Max Core Thickness [in]</t>
  </si>
  <si>
    <t>Zone 3 - Max Core Thickness [in]</t>
  </si>
  <si>
    <t>Zone 4 - Max Core Thickness [in]</t>
  </si>
  <si>
    <t>Wing Skin As-Built Core Thickness
[in]</t>
  </si>
  <si>
    <t>Zone 1 - OML Thickness [in]</t>
  </si>
  <si>
    <t>Zone 2 - OML Thickness [in]</t>
  </si>
  <si>
    <t>Zone 3 - OML Thickness [in]</t>
  </si>
  <si>
    <t>Zone 4 - OML Thickness [in]</t>
  </si>
  <si>
    <t>Zone 1 - Max OML Thickness [in]</t>
  </si>
  <si>
    <t>Zone 2 - Max OML Thickness [in]</t>
  </si>
  <si>
    <t>Zone 3 - Max OML Thickness [in]</t>
  </si>
  <si>
    <t>Zone 4 - Max OML Thickness [in]</t>
  </si>
  <si>
    <t>Zone 1 - IML Thickness [in]</t>
  </si>
  <si>
    <t>Zone 2 - IML Thickness [in]</t>
  </si>
  <si>
    <t>Zone 3 - IML Thickness [in]</t>
  </si>
  <si>
    <t>Zone 4 - IML Thickness [in]</t>
  </si>
  <si>
    <t>Zone 1 - Max IML Thickness [in]</t>
  </si>
  <si>
    <t>Zone 2 - Max IML Thickness [in]</t>
  </si>
  <si>
    <t>Zone 3 - Max IML Thickness [in]</t>
  </si>
  <si>
    <t>Zone 4 - Max IML Thickness [in]</t>
  </si>
  <si>
    <t>As-built Skin Facesheet OML Thickness [in]</t>
  </si>
  <si>
    <t>As-built Skin Facesheet IML Thickness [in]</t>
  </si>
  <si>
    <t>Zone 1 - FS 1 Thickness [in]</t>
  </si>
  <si>
    <t>Zone 2 - FS 1 Thickness [in]</t>
  </si>
  <si>
    <t>Zone 3 - FS 1 Thickness [in]</t>
  </si>
  <si>
    <t>Zone 4 - FS 1 Thickness [in]</t>
  </si>
  <si>
    <t>Zone 1 - Max FS 1 Thickness [in]</t>
  </si>
  <si>
    <t>Zone 2 - Max FS 1 Thickness [in]</t>
  </si>
  <si>
    <t>Zone 3 - Max FS 1 Thickness [in]</t>
  </si>
  <si>
    <t>Zone 4 - Max FS 1 Thickness [in]</t>
  </si>
  <si>
    <t>Zone 1 - FS 2 Thickness [in]</t>
  </si>
  <si>
    <t>Zone 2 - FS 2 Thickness [in]</t>
  </si>
  <si>
    <t>Zone 3 - FS 2 Thickness [in]</t>
  </si>
  <si>
    <t>Zone 4 - FS 2 Thickness [in]</t>
  </si>
  <si>
    <t>Zone 1 - Max FS 2 Thickness [in]</t>
  </si>
  <si>
    <t>Zone 2 - Max FS 2 Thickness [in]</t>
  </si>
  <si>
    <t>Zone 3 - Max FS 2 Thickness [in]</t>
  </si>
  <si>
    <t>Zone 4 - Max FS 2 Thickness [in]</t>
  </si>
  <si>
    <t>As-built Skin Facesheet 1 Thickness [in]</t>
  </si>
  <si>
    <t>As-built Skin Facesheet 2 Thickness [in]</t>
  </si>
  <si>
    <t>As-built Facesheet 2 Thickness [in]</t>
  </si>
  <si>
    <t>As-built Facesheet 1 Thickness [in]</t>
  </si>
  <si>
    <t>Spar caps are sized for 10 discrete lay-up zones.</t>
  </si>
  <si>
    <t>As-built
Vert Spar
Comp.
Cap Area [in^2]</t>
  </si>
  <si>
    <t>As-built
Vert Spar
Tension
Cap Area [in^2]</t>
  </si>
  <si>
    <t>As-built 
Comp Cap Square
Side Length 
[in]</t>
  </si>
  <si>
    <t>As-built
Tension
 Cap Square
Side Length 
[in]</t>
  </si>
  <si>
    <t xml:space="preserve">
 As-Built
Cap Square
Side Length 
[in]</t>
  </si>
  <si>
    <t>As-Built Spar Core Thickness
[in]</t>
  </si>
  <si>
    <t>As-Built Aft Web Core Thickness
[in]</t>
  </si>
  <si>
    <t>Upper Surface Length vs. Chord</t>
  </si>
  <si>
    <t>Lower Surface Length vs. Chord</t>
  </si>
  <si>
    <t>L_lower/C</t>
  </si>
  <si>
    <t>L_upper/C</t>
  </si>
  <si>
    <t>Additional Parameters:</t>
  </si>
  <si>
    <t>Echo - As-Sized Dimensions</t>
  </si>
  <si>
    <t>Wing Skins</t>
  </si>
  <si>
    <t>Assumes trapezoidal wing and full chord length for wing skin weights.  No consideration for control surface details or booms.</t>
  </si>
  <si>
    <t>Wing Skin
Laminate Areal Weight [lb/in^2]</t>
  </si>
  <si>
    <t>Wing Skin
Core 
Areal Weight [lb/in^2]</t>
  </si>
  <si>
    <t>Wing Skin
Total
Areal Weight [lb/in^2]</t>
  </si>
  <si>
    <t>Upper Wing Skin
Laminate Segment Weight 
[lb]</t>
  </si>
  <si>
    <t>Upper Wing Skin
Total
Segment Weight [lb]</t>
  </si>
  <si>
    <t>Upper Wing Skin
Core 
Segment Weight 
[lb]</t>
  </si>
  <si>
    <t>Lower Wing Skin
Laminate Segment Weight 
[lb]</t>
  </si>
  <si>
    <t>Lower Wing Skin
Core 
Segment Weight 
[lb]</t>
  </si>
  <si>
    <t>Lower Wing Skin
Total
Segment Weight
[lb]</t>
  </si>
  <si>
    <t>Spar</t>
  </si>
  <si>
    <t>Vertical Dimensions</t>
  </si>
  <si>
    <t>Wing 
Height at Spar [in]</t>
  </si>
  <si>
    <t>Spar Web Segment Area
[in^2]</t>
  </si>
  <si>
    <t>Aft Web Segment Area
[in^2]</t>
  </si>
  <si>
    <t>Upper Wing Skin</t>
  </si>
  <si>
    <t>Upper Wing Skin Laminate</t>
  </si>
  <si>
    <t>Upper Wing Skin Core</t>
  </si>
  <si>
    <t>Lower Wing Skin</t>
  </si>
  <si>
    <t>Lower Wing Skin Laminate</t>
  </si>
  <si>
    <t>Lower Wing Skin Core</t>
  </si>
  <si>
    <t>Upper Cap</t>
  </si>
  <si>
    <t>Lower Cap</t>
  </si>
  <si>
    <t>Web</t>
  </si>
  <si>
    <t>Web Laminate</t>
  </si>
  <si>
    <t>Web Core</t>
  </si>
  <si>
    <t>Aft Web</t>
  </si>
  <si>
    <t>Web
Laminate Areal Weight [lb/in^2]</t>
  </si>
  <si>
    <t>Web
Core 
Areal Weight [lb/in^2]</t>
  </si>
  <si>
    <t>Web
Total
Areal Weight [lb/in^2]</t>
  </si>
  <si>
    <t>Web
Laminate Segment Weight 
[lb]</t>
  </si>
  <si>
    <t>Web
Core 
Segment Weight 
[lb]</t>
  </si>
  <si>
    <t>Web
Total
Segment Weight [lb]</t>
  </si>
  <si>
    <t>Comp.
Cap
Segment Weight [lb]</t>
  </si>
  <si>
    <t>Tens. 
Cap
Segment Weight [lb]</t>
  </si>
  <si>
    <t>As-Built Sandwich Weight Factor  (W_built/W_laminate)</t>
  </si>
  <si>
    <t>Core</t>
  </si>
  <si>
    <t>Total - Right Wing</t>
  </si>
  <si>
    <t>[lb]</t>
  </si>
  <si>
    <t>Bond Allowance</t>
  </si>
  <si>
    <t>Zone</t>
  </si>
  <si>
    <t>OML Plies
[-]</t>
  </si>
  <si>
    <t>Core 
Thickness
 [in]</t>
  </si>
  <si>
    <t>BL [in]
Inboard</t>
  </si>
  <si>
    <t>BL [in]
Outboard</t>
  </si>
  <si>
    <t>dSpan [in]</t>
  </si>
  <si>
    <t>Spar Web</t>
  </si>
  <si>
    <t>Main Spar Upper Cap [in^2]</t>
  </si>
  <si>
    <t>Main Spar Lower Cap [in^2]</t>
  </si>
  <si>
    <t>FS1 Plies
[-]</t>
  </si>
  <si>
    <t>IML Plies
[-]</t>
  </si>
  <si>
    <t>FS2 Plies
[-]</t>
  </si>
  <si>
    <t>Cap Square Side Length [in]</t>
  </si>
  <si>
    <t>Notes</t>
  </si>
  <si>
    <t>Main Spar Upper Cap - Centroid Offset from OML</t>
  </si>
  <si>
    <t>Main Spar Lower Cap - Centroid Offset from OML</t>
  </si>
  <si>
    <t>Upper - Wing Skins</t>
  </si>
  <si>
    <t>Lower - Wing Skins</t>
  </si>
  <si>
    <t>Lower - Spar Cap</t>
  </si>
  <si>
    <t>Upper - Spar Cap</t>
  </si>
  <si>
    <t>G</t>
  </si>
  <si>
    <t>Fc_Core</t>
  </si>
  <si>
    <t xml:space="preserve">Sized Weight Summary - Composite Structure </t>
  </si>
  <si>
    <t>Wing Skin -Panel 1 (Root)</t>
  </si>
  <si>
    <t>Wing Skin -Panel 2</t>
  </si>
  <si>
    <t>Wing Skin -Panel 3</t>
  </si>
  <si>
    <t>Wing Skin -Panel 4 (Tip)</t>
  </si>
  <si>
    <t>Spar Web -Panel 1 (Root)</t>
  </si>
  <si>
    <t>Spar Web -Panel 2</t>
  </si>
  <si>
    <t>Spar Web -Panel 3</t>
  </si>
  <si>
    <t>Spar Web -Panel 4 (Tip)</t>
  </si>
  <si>
    <t>Aft Web -Panel 1 (Root)</t>
  </si>
  <si>
    <t>Aft Web -Panel 2</t>
  </si>
  <si>
    <t>Aft Web -Panel 3</t>
  </si>
  <si>
    <t>Aft Web -Panel 4 (Tip)</t>
  </si>
  <si>
    <t>in^2</t>
  </si>
  <si>
    <t>Spar - Root Tension Cap Area</t>
  </si>
  <si>
    <t>Spar - Root Compression Cap Area</t>
  </si>
  <si>
    <t>Facesheet 1</t>
  </si>
  <si>
    <t>[plies]</t>
  </si>
  <si>
    <t>Facesheet 2</t>
  </si>
  <si>
    <t>Core Thickness</t>
  </si>
  <si>
    <t>Structural Design Parameter - Summary</t>
  </si>
  <si>
    <t>2y/b</t>
  </si>
  <si>
    <t>Web Distance Between Caps
[in]</t>
  </si>
  <si>
    <t>Web - Min Distance Between Spar Caps</t>
  </si>
  <si>
    <t>Factor of Safety, Buckling/Wrinkling/Crimp</t>
  </si>
  <si>
    <t>Boolean_Core</t>
  </si>
  <si>
    <t xml:space="preserve">Pandown Core at Spar? </t>
  </si>
  <si>
    <t>Skin Shear Loads (DLL)</t>
  </si>
  <si>
    <t>DLL Spar
 Web Loads</t>
  </si>
  <si>
    <t>Stress/Wrinkling Sized Web Plies</t>
  </si>
  <si>
    <t>Spar Cap Thickness 
Sized Plies</t>
  </si>
  <si>
    <t xml:space="preserve">Max Cap Thickness Per Shear Ply </t>
  </si>
  <si>
    <t>Cap cross-section assumed square</t>
  </si>
  <si>
    <t>dtCap_WebPly</t>
  </si>
  <si>
    <t>Additional shear plies are added for cap shear</t>
  </si>
  <si>
    <t>Core influences Spar Height</t>
  </si>
  <si>
    <t>Spar Web 
Facesheet Sizing</t>
  </si>
  <si>
    <t>Spar_t/c</t>
  </si>
  <si>
    <t>Spar_x/c</t>
  </si>
  <si>
    <t>All panels are assumed to be cored for buckling resistance.</t>
  </si>
  <si>
    <t>Facesheets are assumed thin relative to core thickness for all panel sizing.</t>
  </si>
  <si>
    <t>Facesheets are assumed to have no transverse load capability.</t>
  </si>
  <si>
    <t>For closed-form sizing, the stiffest load path in a given direction is assumed to carry all applied load in that direction.</t>
  </si>
  <si>
    <t>All panels are sized for shear buckling only.</t>
  </si>
  <si>
    <t>Compression edge-loading of panels is neglected in buckling calcs.</t>
  </si>
  <si>
    <t>Overview:</t>
  </si>
  <si>
    <t>Intended Usage:</t>
  </si>
  <si>
    <t>Cross-checks of more sophisticated sizing methods.</t>
  </si>
  <si>
    <t>Simplifying load and sizing assumptions are made to streamline closed-form sizing.</t>
  </si>
  <si>
    <t>In general, the stiffest load path is assumed to react all load in a given direction for sizing.</t>
  </si>
  <si>
    <r>
      <t xml:space="preserve">User inputs are marked in </t>
    </r>
    <r>
      <rPr>
        <sz val="11"/>
        <color rgb="FF66FF66"/>
        <rFont val="Calibri"/>
        <family val="2"/>
        <scheme val="minor"/>
      </rPr>
      <t>neon</t>
    </r>
    <r>
      <rPr>
        <sz val="11"/>
        <color theme="1"/>
        <rFont val="Calibri"/>
        <family val="2"/>
        <scheme val="minor"/>
      </rPr>
      <t xml:space="preserve"> green.</t>
    </r>
  </si>
  <si>
    <t>Begin at top of inputs and work downward.</t>
  </si>
  <si>
    <t>Spar caps are sized assuming pure tension and compression in caps.  This is reasonably valid if spars are well-separated.  An error flag is shown if spar cap separation is less than 1".</t>
  </si>
  <si>
    <t>Review tabs from left to right to match data-flow:</t>
  </si>
  <si>
    <t>Weight Estimate</t>
  </si>
  <si>
    <t>Laminate Zones</t>
  </si>
  <si>
    <t>Structural Sizing of Caps, Skins, and Webs</t>
  </si>
  <si>
    <t>Review input labeling and notes for each entry.</t>
  </si>
  <si>
    <t>Monitor output summary on right-side of page for non-physical results due to inadequate cross-section or material allowables to react applied loads.</t>
  </si>
  <si>
    <t>Review assumptions list below.</t>
  </si>
  <si>
    <t>Values Below are copied into the INPUTS Tab</t>
  </si>
  <si>
    <t>This spreadsheet performs initial sizing on skins and spars of a cantilevered lifting surface.</t>
  </si>
  <si>
    <t>Loads are developed from simple Schrenk lift-distribution assumptions for a maximum CL condition.</t>
  </si>
  <si>
    <t xml:space="preserve">Sheet sizes spar, skin, and web structure for maximum loads at a given wing butt-line. </t>
  </si>
  <si>
    <t>Quick, preliminary design level weight estimates for a lifting-surface sized to a limited number of conservative load cases.</t>
  </si>
  <si>
    <t>Airfoil L/D</t>
  </si>
  <si>
    <t>Airfoil Cm (Ref. Quarter-Chord)</t>
  </si>
  <si>
    <t>Airfoil_L/D</t>
  </si>
  <si>
    <t>Airfoil_CM</t>
  </si>
  <si>
    <t>Carbon_Fiber_Unidirectional_T700S_(90%)</t>
  </si>
  <si>
    <t>(T700S Uni)</t>
  </si>
  <si>
    <t>T700 Uni</t>
  </si>
  <si>
    <t>Parameter</t>
  </si>
  <si>
    <t>Value</t>
  </si>
  <si>
    <t>Wing Airfoils</t>
  </si>
  <si>
    <t>(Root to Tip)</t>
  </si>
  <si>
    <t>MB_1_18-45</t>
  </si>
  <si>
    <t>MB_1_17-42</t>
  </si>
  <si>
    <t>MB_1_16-38</t>
  </si>
  <si>
    <t>MB_1_15-35</t>
  </si>
  <si>
    <t>Canard Airfoil</t>
  </si>
  <si>
    <t>MB_2_18-45</t>
  </si>
  <si>
    <t>Cruise Speed</t>
  </si>
  <si>
    <t>Altitude</t>
  </si>
  <si>
    <t>Date:</t>
  </si>
  <si>
    <t>Units</t>
  </si>
  <si>
    <t>m^2</t>
  </si>
  <si>
    <t>m</t>
  </si>
  <si>
    <t>S, Ref. Area</t>
  </si>
  <si>
    <t>b, Ref. Span</t>
  </si>
  <si>
    <t>C, Ref. Chord</t>
  </si>
  <si>
    <t>Reference CG Location</t>
  </si>
  <si>
    <t>1G Cruise Conditions</t>
  </si>
  <si>
    <t>Design CL</t>
  </si>
  <si>
    <t>% Wing Lift</t>
  </si>
  <si>
    <t>% Canard Lift</t>
  </si>
  <si>
    <t>Reference:</t>
  </si>
  <si>
    <t>Material Props 20230324.xlsx</t>
  </si>
  <si>
    <t>Total Weight</t>
  </si>
  <si>
    <t>kg</t>
  </si>
  <si>
    <t>KEAS</t>
  </si>
  <si>
    <t>ft^2</t>
  </si>
  <si>
    <t>m/s</t>
  </si>
  <si>
    <t>Aerodynamic Parameters:</t>
  </si>
  <si>
    <t>Mass Estimation:</t>
  </si>
  <si>
    <t>Maximum Local Airfoil Lift Coeefficients</t>
  </si>
  <si>
    <t>Conservative Load Case Estimation</t>
  </si>
  <si>
    <t>Max, Positive Nz</t>
  </si>
  <si>
    <t>Max, Negative Nz</t>
  </si>
  <si>
    <t>Wing Root Chord</t>
  </si>
  <si>
    <t>Wing Half-Span</t>
  </si>
  <si>
    <t>Canard Root Chord</t>
  </si>
  <si>
    <t>Canard Half-Span</t>
  </si>
  <si>
    <t>Vertical Root Chord</t>
  </si>
  <si>
    <t>Vertical Tip Chord</t>
  </si>
  <si>
    <t>Vertical Height</t>
  </si>
  <si>
    <t>Vertical Area</t>
  </si>
  <si>
    <t>Wing Tip Chord, Est.</t>
  </si>
  <si>
    <t>Trapezoidal Assumption</t>
  </si>
  <si>
    <t>Wing Half-Area, Est.</t>
  </si>
  <si>
    <t>Canard Tip Chord, Est.</t>
  </si>
  <si>
    <t>Canard Half-Area, Est.</t>
  </si>
  <si>
    <t>Est CL_Max</t>
  </si>
  <si>
    <t>Manuevering Speed</t>
  </si>
  <si>
    <t>Q</t>
  </si>
  <si>
    <t>psf</t>
  </si>
  <si>
    <t>Wing Total Lift @ Max G</t>
  </si>
  <si>
    <t>m/s, EAS</t>
  </si>
  <si>
    <t>kg/m^2</t>
  </si>
  <si>
    <t xml:space="preserve">Total Load @ Manuevering Speed </t>
  </si>
  <si>
    <t>Vertical Tail (No Flap Deflection)</t>
  </si>
  <si>
    <t>Canard (Elevator Deflected)</t>
  </si>
  <si>
    <t>Wing (No Flap Deflection)</t>
  </si>
  <si>
    <t>Max Load @ Manuevering Speed (Single Vertical)</t>
  </si>
  <si>
    <t>DLL Loads</t>
  </si>
  <si>
    <t>Surface Lift  (Half-Span Wing, Full-Span Vertical Tail)</t>
  </si>
  <si>
    <t>Area</t>
  </si>
  <si>
    <t>Loading</t>
  </si>
  <si>
    <t>Sheet calculates aerodynamic lift distribution.</t>
  </si>
  <si>
    <t>DUL = DLL * FS</t>
  </si>
  <si>
    <t>R.O.T</t>
  </si>
  <si>
    <t>Typ. R.O.T</t>
  </si>
  <si>
    <t>Airfoil</t>
  </si>
  <si>
    <t>Lift/Area</t>
  </si>
  <si>
    <t>Surface Area</t>
  </si>
  <si>
    <t>Full-Span</t>
  </si>
  <si>
    <t>S/2_Lift</t>
  </si>
  <si>
    <t>Root Moment Cross-Check,
 Taper-ratio = 0.5</t>
  </si>
  <si>
    <t>Segment Drag [lbs]</t>
  </si>
  <si>
    <t>Lead-Lag Shear [lbs] -
 Vx</t>
  </si>
  <si>
    <t>Lead-Lag Moment
[ft-lbs] -
Mz</t>
  </si>
  <si>
    <t>Segment Torsion [ft-lb]</t>
  </si>
  <si>
    <t>Wing Torsion
[ft-lbs] -
 My</t>
  </si>
  <si>
    <t>Skins and Aft Webs are sized assuming an elliptical torque box from the leading edge to the aft-web, with a height that is equal to the aft web.</t>
  </si>
  <si>
    <t>No taper or sweep effects are included.</t>
  </si>
  <si>
    <t>Main Spar</t>
  </si>
  <si>
    <t>Aft Shear Web</t>
  </si>
  <si>
    <t xml:space="preserve">Distance LE to 
Aft Web 
[in] </t>
  </si>
  <si>
    <t>Core_Split1</t>
  </si>
  <si>
    <t>Core_Split2</t>
  </si>
  <si>
    <t>Core_Split3</t>
  </si>
  <si>
    <t>Shear center is assumed at 0.25c.  Aero forces applied at 0.25c.</t>
  </si>
  <si>
    <t>Spar and 
Aft Web
 Dist
[in]</t>
  </si>
  <si>
    <t>These are assumed to be added to aft web as a "rear spar"</t>
  </si>
  <si>
    <t>Core Zone Split (% Half-Span)</t>
  </si>
  <si>
    <t>As-Built
Drag Spar
Cap Area 
[in^2]</t>
  </si>
  <si>
    <t>Drag Spar
Cap Area
[in^2]</t>
  </si>
  <si>
    <t>Summary of laminate zones.</t>
  </si>
  <si>
    <t>For Surface Bending Loads</t>
  </si>
  <si>
    <t>For Surface Drag Loads</t>
  </si>
  <si>
    <t>For Surface Torsion Loads</t>
  </si>
  <si>
    <t>Sizing assumes ~trapezoidal wing</t>
  </si>
  <si>
    <t>Sheet estimates weight of wing skins, spar, and aft web.</t>
  </si>
  <si>
    <t>Loads - Aerodynamic (Schrenk)</t>
  </si>
  <si>
    <t>Spar is assumed to be relatively stiff (limiting strain), and shear panels relatively soft (mainly bias plies, low modulus along wing span)</t>
  </si>
  <si>
    <t>Weight Build-up - Summary [lb]</t>
  </si>
  <si>
    <t>Drag Loads</t>
  </si>
  <si>
    <t>Lift Loads</t>
  </si>
  <si>
    <t>Planning Meeting 2/27/2023 Structural and Aeroelastic Planning</t>
  </si>
  <si>
    <t>Date Code</t>
  </si>
  <si>
    <t>Initial Release</t>
  </si>
  <si>
    <t>Initial strength only sizing of single wing.  Single main spar with aft web configuration.</t>
  </si>
  <si>
    <t>A</t>
  </si>
  <si>
    <t>Updates to add EI, GJ calculations.</t>
  </si>
  <si>
    <t>ASW Theory Doc:</t>
  </si>
  <si>
    <t>EA</t>
  </si>
  <si>
    <t>Examples:</t>
  </si>
  <si>
    <t>Variable</t>
  </si>
  <si>
    <t>--------</t>
  </si>
  <si>
    <t>----</t>
  </si>
  <si>
    <t>Chord</t>
  </si>
  <si>
    <t>L</t>
  </si>
  <si>
    <t>reference chord</t>
  </si>
  <si>
    <t>t</t>
  </si>
  <si>
    <t>F</t>
  </si>
  <si>
    <t>L^3</t>
  </si>
  <si>
    <t>FL</t>
  </si>
  <si>
    <t>Beam Definition Blocks</t>
  </si>
  <si>
    <t>Beam 1  20              ! beam 1 definition begins, optional physical index 20</t>
  </si>
  <si>
    <t>Main wing                     ! beam name string</t>
  </si>
  <si>
    <t>#                             ! comment line</t>
  </si>
  <si>
    <t xml:space="preserve">   t     chord    alpha       ! distribution block for chord,alpha begins</t>
  </si>
  <si>
    <t>+ 0.     0.       3.          ! optional additive-constant line</t>
  </si>
  <si>
    <t>* 1.     1.       1.          ! optional scaling-factor line</t>
  </si>
  <si>
    <t xml:space="preserve">  0.0    1.3      3.0         ! data</t>
  </si>
  <si>
    <t xml:space="preserve"> 20.0    1.2      2.8         !  "</t>
  </si>
  <si>
    <t xml:space="preserve"> 31.0    0.8      2.0         !  "</t>
  </si>
  <si>
    <t xml:space="preserve"> 34.0    0.7      1.7         !  "</t>
  </si>
  <si>
    <t xml:space="preserve">#                             </t>
  </si>
  <si>
    <t xml:space="preserve">   t      x      y     z      ! new distribution block for x,y,z begins</t>
  </si>
  <si>
    <t xml:space="preserve">  0.0    0.0    0.0   0.5     ! data</t>
  </si>
  <si>
    <t xml:space="preserve"> 17.0    5.0   15.0  -0.2     !  "</t>
  </si>
  <si>
    <t xml:space="preserve"> 34.0   10.0   30.0  -2.0     !  "</t>
  </si>
  <si>
    <t>End                           ! end of beam 1 definition</t>
  </si>
  <si>
    <t>Beam 2                        ! new beam 2 definition begins</t>
  </si>
  <si>
    <t>Fuselage                      ! beam name string</t>
  </si>
  <si>
    <t xml:space="preserve"> 10.0    5.0    0.0   0.6     !  "</t>
  </si>
  <si>
    <t xml:space="preserve"> 20.0   10.0    0.0   0.7     !  "</t>
  </si>
  <si>
    <t>End                           ! end of beam 2 definition</t>
  </si>
  <si>
    <t>Spanwise parameter "t"</t>
  </si>
  <si>
    <t>Needs to increase from left wingtip to right wingtip.</t>
  </si>
  <si>
    <t>t = 0, means surface parameter will be reflected</t>
  </si>
  <si>
    <t>Default</t>
  </si>
  <si>
    <t>x</t>
  </si>
  <si>
    <t>zero-load x location</t>
  </si>
  <si>
    <t>y</t>
  </si>
  <si>
    <t>zero-load y location</t>
  </si>
  <si>
    <t>z</t>
  </si>
  <si>
    <t>zero-load z location</t>
  </si>
  <si>
    <t>twist</t>
  </si>
  <si>
    <t>deg</t>
  </si>
  <si>
    <t>zero-load twist angle about s-axis</t>
  </si>
  <si>
    <t>EIcc</t>
  </si>
  <si>
    <t>FLL</t>
  </si>
  <si>
    <t>infinity</t>
  </si>
  <si>
    <t>bending stiffness about c-axis (out-of-plane bend)</t>
  </si>
  <si>
    <t>EInn</t>
  </si>
  <si>
    <t>bending stiffness about n-axis (in-plane bend)</t>
  </si>
  <si>
    <t>EIcn</t>
  </si>
  <si>
    <t>bending cross-stiffness</t>
  </si>
  <si>
    <t>EIcs</t>
  </si>
  <si>
    <t>n-bending/torsion coupling stiffness</t>
  </si>
  <si>
    <t>EIsn</t>
  </si>
  <si>
    <t>c-bending/torsion coupling stiffness</t>
  </si>
  <si>
    <t>GJ</t>
  </si>
  <si>
    <t>torsional stiffness</t>
  </si>
  <si>
    <t>extensional stiffness</t>
  </si>
  <si>
    <t>GKc</t>
  </si>
  <si>
    <t>c-shear stiffness</t>
  </si>
  <si>
    <t>GKn</t>
  </si>
  <si>
    <t>n-shear stiffness</t>
  </si>
  <si>
    <t>mgcc</t>
  </si>
  <si>
    <t>weight-inertia/span  about c-axis</t>
  </si>
  <si>
    <t>mgnn</t>
  </si>
  <si>
    <t>weight-inertia/span  about n-axis</t>
  </si>
  <si>
    <t>mg</t>
  </si>
  <si>
    <t>F/L</t>
  </si>
  <si>
    <t>weight/span</t>
  </si>
  <si>
    <t>Ccg</t>
  </si>
  <si>
    <t>c-location of section mass centroid</t>
  </si>
  <si>
    <t>Ncg</t>
  </si>
  <si>
    <t>n-location of section mass centroid</t>
  </si>
  <si>
    <t>Dmgcc</t>
  </si>
  <si>
    <t>additional weight-inertia/span  about c-axis</t>
  </si>
  <si>
    <t>Dmgnn</t>
  </si>
  <si>
    <t>additional weight-inertia/span  about n-axis</t>
  </si>
  <si>
    <t>Dmg</t>
  </si>
  <si>
    <t>additional weight/span</t>
  </si>
  <si>
    <t>DCcg</t>
  </si>
  <si>
    <t>c-location of additional-mass centroid</t>
  </si>
  <si>
    <t>DNcg</t>
  </si>
  <si>
    <t>n-location of additional-mass centroid</t>
  </si>
  <si>
    <t>Cea</t>
  </si>
  <si>
    <t>c-location of elastic axis</t>
  </si>
  <si>
    <t>Nea</t>
  </si>
  <si>
    <t>n-location of elastic axis</t>
  </si>
  <si>
    <t>Cta</t>
  </si>
  <si>
    <t>c-location of tension axis</t>
  </si>
  <si>
    <t>Nta</t>
  </si>
  <si>
    <t>n-location of tension axis</t>
  </si>
  <si>
    <t>tdeps</t>
  </si>
  <si>
    <t>T</t>
  </si>
  <si>
    <t>normal strain damping time</t>
  </si>
  <si>
    <t>tdgam</t>
  </si>
  <si>
    <t>shear  strain damping time</t>
  </si>
  <si>
    <t>Cshell</t>
  </si>
  <si>
    <t>c-Cea  where strain is evaluated (for display only)</t>
  </si>
  <si>
    <t>Nshell</t>
  </si>
  <si>
    <t>n-Nea  where strain is evaluated (for display only)</t>
  </si>
  <si>
    <t>Atshell</t>
  </si>
  <si>
    <t>A*T for shear stress evaluation (display only),</t>
  </si>
  <si>
    <t>where A is the torsion shell enclosed area,</t>
  </si>
  <si>
    <t>T is the torsion shell thickness.</t>
  </si>
  <si>
    <t>radius</t>
  </si>
  <si>
    <t>beam cylinder radius (for fuselage beam only)</t>
  </si>
  <si>
    <t>Cdf</t>
  </si>
  <si>
    <t>section profile friction drag coefficient</t>
  </si>
  <si>
    <t>Cdp</t>
  </si>
  <si>
    <t>section profile pressure drag coefficient</t>
  </si>
  <si>
    <t>chord</t>
  </si>
  <si>
    <t>---</t>
  </si>
  <si>
    <t>wing chord</t>
  </si>
  <si>
    <t>Xax</t>
  </si>
  <si>
    <t>distance/chord of s-axis from leading edge</t>
  </si>
  <si>
    <t>alpha</t>
  </si>
  <si>
    <t>angle of zero-lift line above c-axis</t>
  </si>
  <si>
    <t>Cm</t>
  </si>
  <si>
    <t>section pitching moment coefficient about chord/4</t>
  </si>
  <si>
    <t>CLmax</t>
  </si>
  <si>
    <t>section maximum lift coefficient</t>
  </si>
  <si>
    <t>CLmin</t>
  </si>
  <si>
    <t>section minimum lift coefficient</t>
  </si>
  <si>
    <t>dCLda</t>
  </si>
  <si>
    <t>1/rad</t>
  </si>
  <si>
    <t>2 pi</t>
  </si>
  <si>
    <t>section lift-curve slope</t>
  </si>
  <si>
    <t>dCLdF1</t>
  </si>
  <si>
    <t>1/flap</t>
  </si>
  <si>
    <t>dCL/dFlap1 derivative ("flap" is in any units)</t>
  </si>
  <si>
    <t>dCMdF1</t>
  </si>
  <si>
    <t>dCM/dFlap1 derivative</t>
  </si>
  <si>
    <t>dCDdF1</t>
  </si>
  <si>
    <t>dCDp/dFlap1 derivative</t>
  </si>
  <si>
    <t>dCLdF2</t>
  </si>
  <si>
    <t>dCL/dFlap2 derivative</t>
  </si>
  <si>
    <t>dCMdF2</t>
  </si>
  <si>
    <t>dCM/dFlap2 derivative</t>
  </si>
  <si>
    <t>dCDdF2</t>
  </si>
  <si>
    <t>dCDp/dFlap2 derivative</t>
  </si>
  <si>
    <t>.</t>
  </si>
  <si>
    <t>For Manufacturing Splits</t>
  </si>
  <si>
    <t>Updates to add discrete lift and moment sources for partial span flaps.</t>
  </si>
  <si>
    <t>Net Segment Lift</t>
  </si>
  <si>
    <t>For V, M Loads</t>
  </si>
  <si>
    <t>Local dLift [lbs]</t>
  </si>
  <si>
    <t>Input</t>
  </si>
  <si>
    <t>Segment 
Base Torsion [CM]</t>
  </si>
  <si>
    <t>Local dCm</t>
  </si>
  <si>
    <t>Net CM</t>
  </si>
  <si>
    <t>Note:</t>
  </si>
  <si>
    <t>Dependent on segment lift.</t>
  </si>
  <si>
    <t>s</t>
  </si>
  <si>
    <t>Airfoil assumed symmetric about "c" chordwise axis. "n"=0 on this bending axis.</t>
  </si>
  <si>
    <t>Centroid:</t>
  </si>
  <si>
    <t>Bending Inertia:</t>
  </si>
  <si>
    <t>Cap local centroid inertia ignored.</t>
  </si>
  <si>
    <t>Main Spar contribution only.  Objective is correct order of magnitude stiffness.</t>
  </si>
  <si>
    <t>Comp. Cap. 
Icc [in^4]</t>
  </si>
  <si>
    <t>Tens. Cap. 
Icc [in^4]</t>
  </si>
  <si>
    <t>Net. Cap. 
Icc [in^4]</t>
  </si>
  <si>
    <t>Main Spar and Aft Spar Contributions only.</t>
  </si>
  <si>
    <t>Assumes skins are soft in bending. i.e., mainly sized for torsion.</t>
  </si>
  <si>
    <t>Horizontal Dimensions</t>
  </si>
  <si>
    <t>Centroid [n, in]
(+, above c-axis)</t>
  </si>
  <si>
    <t>Centroid [c, in]
(+, aft of LE)</t>
  </si>
  <si>
    <t>Fwd Spar
Inn [in^4]</t>
  </si>
  <si>
    <t>Aft Spar
Inn [in^4]</t>
  </si>
  <si>
    <t>Net
Inn [in^4]</t>
  </si>
  <si>
    <t>Closed Cross-section:</t>
  </si>
  <si>
    <t>Total Skin Ply Thickness [in]</t>
  </si>
  <si>
    <t>Outer skin thickness used fo J calculation</t>
  </si>
  <si>
    <t>A = Area, T = Skin  thickness, S = perimeter length</t>
  </si>
  <si>
    <t>Spar Web Ply Thickness
[in]</t>
  </si>
  <si>
    <t>Aft Spar Web Ply Thickness
[in]</t>
  </si>
  <si>
    <t>Enclosed area assumed elliptical, with thickness of wing, and length from LE to Aft Spar</t>
  </si>
  <si>
    <t>Enclosed Area [in^2]</t>
  </si>
  <si>
    <t>Perimeter</t>
  </si>
  <si>
    <t>Perimeter [in]</t>
  </si>
  <si>
    <t>J [in^4]</t>
  </si>
  <si>
    <t>Net EInn
[lb-in^2]</t>
  </si>
  <si>
    <t>Net EIcc
[lb-in^2]</t>
  </si>
  <si>
    <t>GJ 
[lb-in^2]</t>
  </si>
  <si>
    <t>Geometry Defintion</t>
  </si>
  <si>
    <t>Wing Root LE</t>
  </si>
  <si>
    <t>X</t>
  </si>
  <si>
    <t>Y</t>
  </si>
  <si>
    <t>Z</t>
  </si>
  <si>
    <t>Wing TIP LE</t>
  </si>
  <si>
    <t>Wing Root TE</t>
  </si>
  <si>
    <t>Wing Tip TE</t>
  </si>
  <si>
    <t>% Chord</t>
  </si>
  <si>
    <t>Twist</t>
  </si>
  <si>
    <t>Sum Moment Calc</t>
  </si>
  <si>
    <t>Spar ChordWise Location</t>
  </si>
  <si>
    <t>Strain Recovery</t>
  </si>
  <si>
    <t>Spar C-location</t>
  </si>
  <si>
    <t>Spar Thickness</t>
  </si>
  <si>
    <t>1/2 Wing Thickness</t>
  </si>
  <si>
    <t>Freq</t>
  </si>
  <si>
    <t>Crtical Damping Ratio</t>
  </si>
  <si>
    <t>Upper Wing Center of Mass [ft]</t>
  </si>
  <si>
    <t>*positions relative to tip of wing along x axis</t>
  </si>
  <si>
    <t>Lower Wing Center of Mass [ft]</t>
  </si>
  <si>
    <t>Spar Web CoM [ft]</t>
  </si>
  <si>
    <t>Spar Comp. Cap CoM [ft]</t>
  </si>
  <si>
    <t>Spar Tens. Cap CoM [ft]</t>
  </si>
  <si>
    <t>Aft Tens. Cap CoM [ft]</t>
  </si>
  <si>
    <t>Aft Comp. Cap CoM [ft]</t>
  </si>
  <si>
    <t>Aft Web  CoM [ft]</t>
  </si>
  <si>
    <t>Sum of Moments [ft*lb]</t>
  </si>
  <si>
    <t>Sum of Masses [lb]</t>
  </si>
  <si>
    <t>CoM location [ft]</t>
  </si>
  <si>
    <t>Spar x location [ft]</t>
  </si>
  <si>
    <t>Spar Height [ft]</t>
  </si>
  <si>
    <t>Ellipse Length [ft]</t>
  </si>
  <si>
    <t>Web thickness [ft]</t>
  </si>
  <si>
    <t>Ellipse Height [ft]</t>
  </si>
  <si>
    <t>Skin thickness [ft]</t>
  </si>
  <si>
    <t>Comp. Cap Thickness [ft]</t>
  </si>
  <si>
    <t>Tension Cap Thickness [ft]</t>
  </si>
  <si>
    <t>Fictional load located in y axis direction on upper spar intersection [lb]</t>
  </si>
  <si>
    <t>sum(q1 * L/t) = A1 / A2 * sum(q2 * L/t)</t>
  </si>
  <si>
    <t>Segment Lengths</t>
  </si>
  <si>
    <t>Leading Skin [ft]</t>
  </si>
  <si>
    <t>Trailing Skin [ft]</t>
  </si>
  <si>
    <t>Comp. Cap Length [ft]</t>
  </si>
  <si>
    <t>Tension Cap Length [ft]</t>
  </si>
  <si>
    <t>Web Length [ft]</t>
  </si>
  <si>
    <t>q1 [lb/ft]</t>
  </si>
  <si>
    <t>q2  [lb/ft]</t>
  </si>
  <si>
    <t>A2 [ft^2]</t>
  </si>
  <si>
    <t>A1 [ft^2]</t>
  </si>
  <si>
    <t>Cea [ft]</t>
  </si>
  <si>
    <t>Iyy [ft^4]</t>
  </si>
  <si>
    <t>check</t>
  </si>
  <si>
    <t>q2 [lb/ft]</t>
  </si>
  <si>
    <t xml:space="preserve">iteration1 </t>
  </si>
  <si>
    <t xml:space="preserve">iteration2 </t>
  </si>
  <si>
    <t>iteration3</t>
  </si>
  <si>
    <t>iteration4</t>
  </si>
  <si>
    <t>iteration5</t>
  </si>
  <si>
    <t>iteration6</t>
  </si>
  <si>
    <t>Using NACA 64-215</t>
  </si>
  <si>
    <t>*tdgam characterizes damping time of material resisting shearing (ex: torsion skin)</t>
  </si>
  <si>
    <t>*tdeps characterizes damping time of beam material resisting spanwise strains (ex: sparcaps)</t>
  </si>
  <si>
    <t>Length</t>
  </si>
  <si>
    <t>Mass</t>
  </si>
  <si>
    <t>Time</t>
  </si>
  <si>
    <t>Constants</t>
  </si>
  <si>
    <t>gravity</t>
  </si>
  <si>
    <t>air density</t>
  </si>
  <si>
    <t>speed of sound</t>
  </si>
  <si>
    <t>wing area</t>
  </si>
  <si>
    <t>wing span</t>
  </si>
  <si>
    <t>ref. Moments</t>
  </si>
  <si>
    <t>ref. Velocities</t>
  </si>
  <si>
    <t>Labels</t>
  </si>
  <si>
    <t>ref. Accelerations</t>
  </si>
  <si>
    <t>Main Wing</t>
  </si>
  <si>
    <t>Incidence: (+Add to Ainc)</t>
  </si>
  <si>
    <t>Xle</t>
  </si>
  <si>
    <t>Yle</t>
  </si>
  <si>
    <t>Zle</t>
  </si>
  <si>
    <t>Ainc</t>
  </si>
  <si>
    <t>MB_1_18-45.dat</t>
  </si>
  <si>
    <t>MB_1_17-42.dat</t>
  </si>
  <si>
    <t>MB_1_15-35.dat</t>
  </si>
  <si>
    <t>Canard</t>
  </si>
  <si>
    <t>MB_2_18-45_Canard.dat</t>
  </si>
  <si>
    <t>Incidence:</t>
  </si>
  <si>
    <t>Eppler_520_Airfoil.dat</t>
  </si>
  <si>
    <t>Boom 1</t>
  </si>
  <si>
    <t>Boom 2</t>
  </si>
  <si>
    <t>Point Mass Table [kg]</t>
  </si>
  <si>
    <t xml:space="preserve">V2000_P0C4-2 COG </t>
  </si>
  <si>
    <t>X [m]</t>
  </si>
  <si>
    <t>Component Description</t>
  </si>
  <si>
    <t>Lift system-1</t>
  </si>
  <si>
    <t>Lift system-2</t>
  </si>
  <si>
    <t>Lift system-3</t>
  </si>
  <si>
    <t>Lift system-4</t>
  </si>
  <si>
    <t>Lift system-5</t>
  </si>
  <si>
    <t>Lift system-6</t>
  </si>
  <si>
    <t>Lift system-7</t>
  </si>
  <si>
    <t>Lift system-8</t>
  </si>
  <si>
    <t>Lift system-9</t>
  </si>
  <si>
    <t>Lift system-10</t>
  </si>
  <si>
    <t>push system-1</t>
  </si>
  <si>
    <t>push system-2</t>
  </si>
  <si>
    <t>Battery-1+Bolt</t>
  </si>
  <si>
    <t>Battery-2+Bolt</t>
  </si>
  <si>
    <t>Battery-3+Bolt</t>
  </si>
  <si>
    <t>Battery-4+Bolt</t>
  </si>
  <si>
    <t>Battery-5+Bolt</t>
  </si>
  <si>
    <t>Battery-6+Bolt</t>
  </si>
  <si>
    <t>Battery-7+Bolt</t>
  </si>
  <si>
    <t>Cargo</t>
  </si>
  <si>
    <t>Boom 3</t>
  </si>
  <si>
    <t>Boom 4</t>
  </si>
  <si>
    <t>M</t>
  </si>
  <si>
    <t>Radius</t>
  </si>
  <si>
    <t>(From Streamline)</t>
  </si>
  <si>
    <t>Generated Data for Main Wing</t>
  </si>
  <si>
    <t>t1</t>
  </si>
  <si>
    <t>t2</t>
  </si>
  <si>
    <t>Boom1</t>
  </si>
  <si>
    <t>Boom2</t>
  </si>
  <si>
    <t>Copied Data for Canard</t>
  </si>
  <si>
    <t>Joint Connections</t>
  </si>
  <si>
    <t>*Joint Type = 0 indicates a rigid joint</t>
  </si>
  <si>
    <t>Copied Data for Vertical Stabilizer 1</t>
  </si>
  <si>
    <t>Copied Data for Vertical Stabilizer 2</t>
  </si>
  <si>
    <t xml:space="preserve"> [lb]</t>
  </si>
  <si>
    <t>Final Iteration</t>
  </si>
  <si>
    <t>Shear Center - Estimation approach:  Bruhn Section A.15</t>
  </si>
  <si>
    <t>Moment Check</t>
  </si>
  <si>
    <t>Shear Center - 
% Chord</t>
  </si>
  <si>
    <t>Spar Chord-location</t>
  </si>
  <si>
    <t>LocalAlpha</t>
  </si>
  <si>
    <t>Assumes constant shear flow in each cell</t>
  </si>
  <si>
    <t>Added ASWING format sheet for input matrices</t>
  </si>
  <si>
    <t>Added Shear Center Calculations</t>
  </si>
  <si>
    <t>Shear panel corrections, Bruhn A.15</t>
  </si>
  <si>
    <t>Added Sectional Mass Properties Calculations</t>
  </si>
  <si>
    <t>Added Vehicle Mass configuration</t>
  </si>
  <si>
    <t xml:space="preserve"> </t>
  </si>
  <si>
    <t>AERO Geometry</t>
  </si>
  <si>
    <t>Xte</t>
  </si>
  <si>
    <t>Legend for Connection Points</t>
  </si>
  <si>
    <t>Number</t>
  </si>
  <si>
    <t>Front Right Boom</t>
  </si>
  <si>
    <t>Wing</t>
  </si>
  <si>
    <t>Vertical Stabilizer 1 (Right)</t>
  </si>
  <si>
    <t>Vertical Stabilizer 2 (Left)</t>
  </si>
  <si>
    <t>tloc</t>
  </si>
  <si>
    <t>Boom 5</t>
  </si>
  <si>
    <t>Boom 6</t>
  </si>
  <si>
    <t>Boom Properties</t>
  </si>
  <si>
    <t>Elevator</t>
  </si>
  <si>
    <t>cP offset</t>
  </si>
  <si>
    <t>[1/deg]</t>
  </si>
  <si>
    <t>Must verify in ASWING that CG location falls at this location</t>
  </si>
  <si>
    <t>dCLdf</t>
  </si>
  <si>
    <t>dCMdf</t>
  </si>
  <si>
    <t>Front Left Boom</t>
  </si>
  <si>
    <t>Back Right Boom</t>
  </si>
  <si>
    <t>Back Left boom</t>
  </si>
  <si>
    <t>Outboard Right Boom</t>
  </si>
  <si>
    <t>Outboard Left Boom</t>
  </si>
  <si>
    <t>reference x loc.</t>
  </si>
  <si>
    <t>reference y loc.</t>
  </si>
  <si>
    <t>reference z loc.</t>
  </si>
  <si>
    <t>Cabin</t>
  </si>
  <si>
    <t>Central avionics warehouse</t>
  </si>
  <si>
    <t>High-Voltage module</t>
  </si>
  <si>
    <t>Battery harness</t>
  </si>
  <si>
    <t>Clmax</t>
  </si>
  <si>
    <t>Clmin</t>
  </si>
  <si>
    <t>Wing Aero Parameters</t>
  </si>
  <si>
    <t>Canard Aero Parameters</t>
  </si>
  <si>
    <t>Vertical Stabilizer Aero Parameters</t>
  </si>
  <si>
    <t>Number of Points</t>
  </si>
  <si>
    <t>Trapezoidal Structure</t>
  </si>
  <si>
    <t>Total From Point Masses [lb]:</t>
  </si>
  <si>
    <t>X_Spar</t>
  </si>
  <si>
    <t>Horizontal Stabilizer</t>
  </si>
  <si>
    <t>Trailing Edge</t>
  </si>
  <si>
    <t>Spar x_chord</t>
  </si>
  <si>
    <t>Note: Vertical Stabilizer plots more accurately when Chord is close to vertical</t>
  </si>
  <si>
    <t>Point Mass Shift</t>
  </si>
  <si>
    <t>B</t>
  </si>
  <si>
    <t>Corrected Units Error in EI/GJ Output</t>
  </si>
  <si>
    <t>Added STRUCT and AERO as separate input sheets</t>
  </si>
  <si>
    <t>Modified beam locations to straighten booms</t>
  </si>
  <si>
    <t>Modified CG locations to match AVL reference value</t>
  </si>
  <si>
    <t>*Used to adjust Center of Mass to correct location</t>
  </si>
  <si>
    <t>Inputs</t>
  </si>
  <si>
    <t>Prosperity</t>
  </si>
  <si>
    <t>Mg [weight/length]</t>
  </si>
  <si>
    <t>ASWING Damping Demo Calculator - Not Used in Solutions</t>
  </si>
  <si>
    <t>Critical Damping Ratio</t>
  </si>
  <si>
    <t>Estimated using wing stiffness to capture ROM</t>
  </si>
  <si>
    <t>Mass-Beam Connection</t>
  </si>
  <si>
    <t>dX [ft]</t>
  </si>
  <si>
    <t>dy [ft]</t>
  </si>
  <si>
    <t>dz [ft]</t>
  </si>
  <si>
    <t>X raw [m]</t>
  </si>
  <si>
    <t>Y raw [m]</t>
  </si>
  <si>
    <t>Z raw [m]</t>
  </si>
  <si>
    <t>Canard Control Moment Parameters</t>
  </si>
  <si>
    <t>kg/m^3</t>
  </si>
  <si>
    <t>cm</t>
  </si>
  <si>
    <t>MPa</t>
  </si>
  <si>
    <t>Mpa</t>
  </si>
  <si>
    <t>[ft]</t>
  </si>
  <si>
    <t>[ft^2]</t>
  </si>
  <si>
    <t>[slug/ft^3]</t>
  </si>
  <si>
    <t>[ft/s]</t>
  </si>
  <si>
    <t>[ft/s^2]</t>
  </si>
  <si>
    <t>[m/s^2]</t>
  </si>
  <si>
    <t>[kg/m^3]</t>
  </si>
  <si>
    <t>[m/s]</t>
  </si>
  <si>
    <t>[m^2]</t>
  </si>
  <si>
    <t>[m]</t>
  </si>
  <si>
    <t>[kg/m]</t>
  </si>
  <si>
    <t>[lb/ft]</t>
  </si>
  <si>
    <t xml:space="preserve"> [kg]</t>
  </si>
  <si>
    <t>Total From Point Masses [kg]:</t>
  </si>
  <si>
    <t>[deg]</t>
  </si>
  <si>
    <t>[lb*ft^2]</t>
  </si>
  <si>
    <t>[lb*ft]</t>
  </si>
  <si>
    <t>[s]</t>
  </si>
  <si>
    <t>[ft^3]</t>
  </si>
  <si>
    <t>[1/rad]</t>
  </si>
  <si>
    <t>[m^3]</t>
  </si>
  <si>
    <t>[kg*m]</t>
  </si>
  <si>
    <t>[N*m^2]</t>
  </si>
  <si>
    <t>Mg [mass/length]</t>
  </si>
  <si>
    <t>[N]</t>
  </si>
  <si>
    <t>[lbf*ft^2]</t>
  </si>
  <si>
    <t>[lbf]</t>
  </si>
  <si>
    <t>Weight&amp;Balance.xlsx (04/26/2023)</t>
  </si>
  <si>
    <t>POC 4-1-13</t>
  </si>
  <si>
    <t>Prosperity_I_POC4_1-13.xml</t>
  </si>
  <si>
    <t>Battery_1</t>
  </si>
  <si>
    <t>Battery_2</t>
  </si>
  <si>
    <t>Battery_3</t>
  </si>
  <si>
    <t>Battery_4</t>
  </si>
  <si>
    <t>Fuselage Main Structure</t>
  </si>
  <si>
    <t>Landing Gear</t>
  </si>
  <si>
    <t>Equipment / Furnishings</t>
  </si>
  <si>
    <t>Rotor 1</t>
  </si>
  <si>
    <t>Rotor 2</t>
  </si>
  <si>
    <t xml:space="preserve">Rotor 3 </t>
  </si>
  <si>
    <t>Rotor 4</t>
  </si>
  <si>
    <t>Rotor 5</t>
  </si>
  <si>
    <t>Rotor 6</t>
  </si>
  <si>
    <t>Rotor 7</t>
  </si>
  <si>
    <t>Rotor 8</t>
  </si>
  <si>
    <t>Rotor 9</t>
  </si>
  <si>
    <t>Rotor 10</t>
  </si>
  <si>
    <t>Pusher 1</t>
  </si>
  <si>
    <t>Pusher 2</t>
  </si>
  <si>
    <t>Electrical System</t>
  </si>
  <si>
    <t>Flight Controls</t>
  </si>
  <si>
    <t>Avionics</t>
  </si>
  <si>
    <t>EWIS</t>
  </si>
  <si>
    <t>PAYLOAD</t>
  </si>
  <si>
    <t>X raw</t>
  </si>
  <si>
    <t>Y raw</t>
  </si>
  <si>
    <t>Z raw</t>
  </si>
  <si>
    <t>[mm]</t>
  </si>
  <si>
    <t>*Reference location table located below</t>
  </si>
  <si>
    <t>Aero components and beams are not included</t>
  </si>
  <si>
    <t>Csys Origins</t>
  </si>
  <si>
    <t>x [mm]</t>
  </si>
  <si>
    <t>y [mm]</t>
  </si>
  <si>
    <t>z [mm]</t>
  </si>
  <si>
    <t>"0"</t>
  </si>
  <si>
    <t>Body</t>
  </si>
  <si>
    <t>*Used to adjust Center of Mass to another location along x axis</t>
  </si>
  <si>
    <t>GPa</t>
  </si>
  <si>
    <t>mm</t>
  </si>
  <si>
    <t>Pandown Core at Spar? (FALSE reduces spar height)</t>
  </si>
  <si>
    <t>Airfoil Height/Chord @ Spar Location</t>
  </si>
  <si>
    <t>Wing Root Airfoil Cross-Section</t>
  </si>
  <si>
    <t>Y [m]</t>
  </si>
  <si>
    <t>Weight Build-up - Summary [kg]</t>
  </si>
  <si>
    <t>[kg]</t>
  </si>
  <si>
    <t>cm^2</t>
  </si>
  <si>
    <t>Chord_avl</t>
  </si>
  <si>
    <t>Chord_asw</t>
  </si>
  <si>
    <t>S-Axis</t>
  </si>
  <si>
    <t>X_S</t>
  </si>
  <si>
    <t>X_s/C</t>
  </si>
  <si>
    <t>Note: Vertical Stabilizer plots more accurately when Chord is vertical</t>
  </si>
  <si>
    <t>*relative to s-axis</t>
  </si>
  <si>
    <t>*this only affects aerodynamic plotting</t>
  </si>
  <si>
    <t>C</t>
  </si>
  <si>
    <t>Updated Inputs and Output to use SI Units</t>
  </si>
  <si>
    <t>Updated Model to POC 4-1-13 Values</t>
  </si>
  <si>
    <r>
      <t>Surface Lift  (</t>
    </r>
    <r>
      <rPr>
        <b/>
        <sz val="11"/>
        <color theme="1"/>
        <rFont val="Calibri"/>
        <family val="2"/>
        <scheme val="minor"/>
      </rPr>
      <t xml:space="preserve">Half-Span </t>
    </r>
    <r>
      <rPr>
        <sz val="11"/>
        <color theme="1"/>
        <rFont val="Calibri"/>
        <family val="2"/>
        <scheme val="minor"/>
      </rPr>
      <t>Wing)</t>
    </r>
  </si>
  <si>
    <t>For Surface Drag Loads Est.</t>
  </si>
  <si>
    <t>For Surface Torsion Loads Est.</t>
  </si>
  <si>
    <t>kgf</t>
  </si>
  <si>
    <t>Spar caps are sized to specified stress levels.  Spar caps are assumed to be square.  Webs and skins are size as cored sandwich panels for stress, wrinkling, shear crimp, and global buckling.</t>
  </si>
  <si>
    <t xml:space="preserve">Wing shear center is assumed to be at the main spar for closed-form torsion sizing calculations.  </t>
  </si>
  <si>
    <t>Echo</t>
  </si>
  <si>
    <t>"Inputs" tab contains all relevant inputs and outputs for quick lifting surface weight trades.</t>
  </si>
  <si>
    <t>Spar Location</t>
  </si>
  <si>
    <t>Aft Spar Location</t>
  </si>
  <si>
    <t>Assumes Shear Center Between Spars</t>
  </si>
  <si>
    <t>Assumes A.C. at quarter-chord</t>
  </si>
  <si>
    <t>Shear center is estimated using a shear-flow calculation derived from Bruhn, Flight Vehicle Structures, A.15</t>
  </si>
  <si>
    <t>Sheet estimates wing stiffness, EI/GJs, resulting from stresss-based sizing.</t>
  </si>
  <si>
    <t>Sheet creates a data-structure for a simple trapezoidal wing, that is then mapped to the more complex elliptical, swept Prosperity planform.</t>
  </si>
  <si>
    <t>Mapping is based on matched "span-wise" stations.  The user must ensure the trapezoidal wing approximation is a suitable geometry for mapping.</t>
  </si>
  <si>
    <t>ASWING Workflow:</t>
  </si>
  <si>
    <t>In addition to generating weight estimates for a simple trapezoidal wing, this spreadsheet also creates stiffness estimates to be used for a Prosperity configuration ASWING model.</t>
  </si>
  <si>
    <t xml:space="preserve">Users should read the ASWING Theory documents available at: </t>
  </si>
  <si>
    <t>https://web.mit.edu/drela/Public/web/aswing/</t>
  </si>
  <si>
    <t>Wing Sizing Assumptions:</t>
  </si>
  <si>
    <t>In general, the vehicle created in ASWING must be a "real", trimmable vehicle of releasitic weight, speed, wing area, and CG location.</t>
  </si>
  <si>
    <t>Recommend sizing the vehicle in a "rigid-body" vortex lattice tool, such as AV or XFLR5, to check stability and select a CG location, before inputting any data into ASWING.</t>
  </si>
  <si>
    <t>INPUTS</t>
  </si>
  <si>
    <t>Structural</t>
  </si>
  <si>
    <t>Aerodynamic Twist</t>
  </si>
  <si>
    <t>Aerodynamic planform data is entered in the Sheet:  ASWING AERO</t>
  </si>
  <si>
    <t>Inputs:</t>
  </si>
  <si>
    <t>Structural layout and point mass data is entered in the Sheet:  ASWING AERO</t>
  </si>
  <si>
    <t>1.  Start by entering planform data for the wing, canard, and vertical tails.</t>
  </si>
  <si>
    <t>"XYZ_LE" are the points that define the wing leading edge.</t>
  </si>
  <si>
    <t>Format follows AVL conventions and a streamwise chordlength and aerodynamic twist, CL_Max, etc. are defined at each station along the wing span.</t>
  </si>
  <si>
    <t>Work left to right, top to bottom.</t>
  </si>
  <si>
    <t>Data Blocks:</t>
  </si>
  <si>
    <t>Right Vertical Stabilizer</t>
  </si>
  <si>
    <t>Left Vertical Stabilizer (Mirror of Right Stabilizer)</t>
  </si>
  <si>
    <t>Sheet: "ASWING STRUCT"</t>
  </si>
  <si>
    <t>Sheet: "ASWING AERO"</t>
  </si>
  <si>
    <t xml:space="preserve">Note that realistic sectional max lift, lift-slope, and moment coefficients are required for ASWING results to converge.  Recommend generating properties from a 2D panel code such as XFOIL. </t>
  </si>
  <si>
    <t>Driven by AERO Inputs</t>
  </si>
  <si>
    <t>General ASWING phsyics inputs (units, acceleration due to gravity, reference locations,)etc.</t>
  </si>
  <si>
    <t>Point Mass - locations and mass</t>
  </si>
  <si>
    <t>Joint connections between wing, booms, canard, etc.</t>
  </si>
  <si>
    <t>Booms</t>
  </si>
  <si>
    <t>Aero forces applied at 0.25c.</t>
  </si>
  <si>
    <t xml:space="preserve">Initial shear center is assumed between spars.  </t>
  </si>
  <si>
    <t>A realistic "Weight and Balance" and mass-distrubtion is also required to ensure that the as-built ASWING model will have a CG location that corresponds to the desired point.</t>
  </si>
  <si>
    <t>2.  Enter initial structural layout details for discrete masses and booms</t>
  </si>
  <si>
    <t>Canard* - Must be sized with tool.</t>
  </si>
  <si>
    <t>Wing*  - Must be sized with tool.</t>
  </si>
  <si>
    <t>Vertical Stabilizers* - Must be sized with tool.</t>
  </si>
  <si>
    <t>Sheet: "Inputs"</t>
  </si>
  <si>
    <t>A representative trapezoidal surface must be sized for the wing, canard, and verticals.  See "Prosperity Reference" for examples of sizing loads to be used for initial weight and stiffness estimates.</t>
  </si>
  <si>
    <t>Create trazoidal approximation for "Canard" surface sizing in Sheet "Input".</t>
  </si>
  <si>
    <t>Create trazoidal approximation for "Wing" surface sizing in Sheet "Input".</t>
  </si>
  <si>
    <t>Wing data will be used directly for ASWING model.</t>
  </si>
  <si>
    <t>Wing data can be varied quickly from Sheet "Input" for AWING wing stiffness trades studies.</t>
  </si>
  <si>
    <t>3.  Size Lifting Surfaces</t>
  </si>
  <si>
    <t>Copy data in sheet "ASWING STRUCT" AW50:CK71 to vertical stabilizer blocks (Far-right).  Ensure left stabilizer has a negative "y" value.</t>
  </si>
  <si>
    <t>Copy data in sheet "ASWING STRUCT" AW50:CK71 to canard block to right.</t>
  </si>
  <si>
    <t>Note wing stiffness properties (Section AV48:CL71) are generated from the sizing spreadsheet stiffness calculator.  See hidden tab "Stiffness" for calculation details.</t>
  </si>
  <si>
    <t>Recommended sizing order:</t>
  </si>
  <si>
    <t>4. Generate ASWING Input file</t>
  </si>
  <si>
    <t>Run MATLAB script:  ASWING_FileGen_20230501.m</t>
  </si>
  <si>
    <t>This script with create a "*.asw" file that can be read into ASWING for structural loads and flutter results.</t>
  </si>
  <si>
    <t>Example ASWING .pnt and .set files for structural and flutter runs are provided in accompanying folders.</t>
  </si>
  <si>
    <t>Create trapezoidal approximation for "Vertical" surface sizing in Sheet "Input".</t>
  </si>
  <si>
    <t xml:space="preserve">Ensure AWING model has center of gravity in desired location.  </t>
  </si>
  <si>
    <t>dClda</t>
  </si>
  <si>
    <t>Estimated from wing root stiffness</t>
  </si>
  <si>
    <t>(8.526, -0.004, 2.993)</t>
  </si>
  <si>
    <t>FromAVL (different from CG location)</t>
  </si>
  <si>
    <t>Battery Mass X Shift</t>
  </si>
  <si>
    <t>*05/02/2023 Used 90 m/s to converge for 3.8 g and -1.7 g load cases</t>
  </si>
  <si>
    <t>Provided by Autoflight from weights&amp;balances.xlsx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</si>
</sst>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
    <numFmt numFmtId="165" formatCode="0.000"/>
    <numFmt numFmtId="166" formatCode="0.0000"/>
    <numFmt numFmtId="167" formatCode="#,##0.000"/>
    <numFmt numFmtId="168" formatCode="0.00000"/>
    <numFmt numFmtId="169" formatCode="0.00000000"/>
    <numFmt numFmtId="170" formatCode="0.000000"/>
    <numFmt numFmtId="171" formatCode="#,##0.0000"/>
  </numFmts>
  <fonts count="16" x14ac:knownFonts="1">
    <font>
      <sz val="11"/>
      <color theme="1"/>
      <name val="Calibri"/>
      <family val="2"/>
      <scheme val="minor"/>
    </font>
    <font>
      <sz val="11"/>
      <color theme="1"/>
      <name val="Calibri"/>
      <family val="2"/>
      <scheme val="minor"/>
    </font>
    <font>
      <sz val="11"/>
      <color rgb="FF9C6500"/>
      <name val="Calibri"/>
      <family val="2"/>
      <scheme val="minor"/>
    </font>
    <font>
      <b/>
      <sz val="11"/>
      <color theme="1"/>
      <name val="Calibri"/>
      <family val="2"/>
      <scheme val="minor"/>
    </font>
    <font>
      <sz val="11"/>
      <name val="Calibri"/>
      <family val="2"/>
      <scheme val="minor"/>
    </font>
    <font>
      <i/>
      <sz val="11"/>
      <color theme="1"/>
      <name val="Calibri"/>
      <family val="2"/>
      <scheme val="minor"/>
    </font>
    <font>
      <b/>
      <sz val="11"/>
      <color theme="1"/>
      <name val="Arial"/>
      <family val="2"/>
    </font>
    <font>
      <sz val="10"/>
      <color theme="1"/>
      <name val="Arial"/>
      <family val="2"/>
    </font>
    <font>
      <sz val="11"/>
      <color theme="1"/>
      <name val="Arial"/>
      <family val="2"/>
    </font>
    <font>
      <b/>
      <i/>
      <sz val="11"/>
      <color theme="1"/>
      <name val="Calibri"/>
      <family val="2"/>
      <scheme val="minor"/>
    </font>
    <font>
      <sz val="11"/>
      <color theme="1"/>
      <name val="Calibri"/>
      <family val="2"/>
    </font>
    <font>
      <b/>
      <sz val="11"/>
      <name val="Calibri"/>
      <family val="2"/>
      <scheme val="minor"/>
    </font>
    <font>
      <b/>
      <i/>
      <sz val="11"/>
      <name val="Calibri"/>
      <family val="2"/>
      <scheme val="minor"/>
    </font>
    <font>
      <sz val="11"/>
      <color rgb="FF66FF66"/>
      <name val="Calibri"/>
      <family val="2"/>
      <scheme val="minor"/>
    </font>
    <font>
      <sz val="11"/>
      <color theme="1"/>
      <name val="Consolas"/>
      <family val="3"/>
    </font>
    <font>
      <u/>
      <sz val="11"/>
      <color theme="10"/>
      <name val="Calibri"/>
      <family val="2"/>
      <scheme val="minor"/>
    </font>
  </fonts>
  <fills count="36">
    <fill>
      <patternFill patternType="none"/>
    </fill>
    <fill>
      <patternFill patternType="gray125"/>
    </fill>
    <fill>
      <patternFill patternType="solid">
        <fgColor rgb="FFFFEB9C"/>
      </patternFill>
    </fill>
    <fill>
      <patternFill patternType="solid">
        <fgColor theme="0" tint="-0.14999847407452621"/>
        <bgColor indexed="64"/>
      </patternFill>
    </fill>
    <fill>
      <patternFill patternType="solid">
        <fgColor theme="2" tint="-9.9978637043366805E-2"/>
        <bgColor indexed="64"/>
      </patternFill>
    </fill>
    <fill>
      <patternFill patternType="solid">
        <fgColor rgb="FFFFFF00"/>
        <bgColor indexed="64"/>
      </patternFill>
    </fill>
    <fill>
      <patternFill patternType="solid">
        <fgColor rgb="FF9FC5E8"/>
        <bgColor rgb="FF9FC5E8"/>
      </patternFill>
    </fill>
    <fill>
      <patternFill patternType="solid">
        <fgColor theme="4" tint="0.59999389629810485"/>
        <bgColor indexed="64"/>
      </patternFill>
    </fill>
    <fill>
      <patternFill patternType="solid">
        <fgColor theme="4" tint="0.39997558519241921"/>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rgb="FFF5B7F6"/>
        <bgColor indexed="64"/>
      </patternFill>
    </fill>
    <fill>
      <patternFill patternType="solid">
        <fgColor theme="8" tint="0.79998168889431442"/>
        <bgColor indexed="64"/>
      </patternFill>
    </fill>
    <fill>
      <patternFill patternType="solid">
        <fgColor rgb="FFDEC0F2"/>
        <bgColor indexed="64"/>
      </patternFill>
    </fill>
    <fill>
      <patternFill patternType="solid">
        <fgColor rgb="FFFF66FF"/>
        <bgColor indexed="64"/>
      </patternFill>
    </fill>
    <fill>
      <patternFill patternType="lightUp"/>
    </fill>
    <fill>
      <patternFill patternType="solid">
        <fgColor theme="9" tint="0.39997558519241921"/>
        <bgColor indexed="64"/>
      </patternFill>
    </fill>
    <fill>
      <patternFill patternType="solid">
        <fgColor theme="0"/>
        <bgColor indexed="64"/>
      </patternFill>
    </fill>
    <fill>
      <patternFill patternType="solid">
        <fgColor rgb="FF00B0F0"/>
        <bgColor indexed="64"/>
      </patternFill>
    </fill>
    <fill>
      <patternFill patternType="solid">
        <fgColor theme="3" tint="0.59999389629810485"/>
        <bgColor indexed="64"/>
      </patternFill>
    </fill>
    <fill>
      <patternFill patternType="solid">
        <fgColor rgb="FF66FF66"/>
        <bgColor indexed="64"/>
      </patternFill>
    </fill>
    <fill>
      <patternFill patternType="solid">
        <fgColor theme="1"/>
        <bgColor indexed="64"/>
      </patternFill>
    </fill>
    <fill>
      <patternFill patternType="solid">
        <fgColor theme="0" tint="-0.34998626667073579"/>
        <bgColor indexed="64"/>
      </patternFill>
    </fill>
    <fill>
      <patternFill patternType="solid">
        <fgColor theme="5" tint="0.39997558519241921"/>
        <bgColor indexed="64"/>
      </patternFill>
    </fill>
    <fill>
      <patternFill patternType="solid">
        <fgColor theme="6" tint="-0.249977111117893"/>
        <bgColor indexed="64"/>
      </patternFill>
    </fill>
    <fill>
      <patternFill patternType="solid">
        <fgColor theme="0" tint="-0.499984740745262"/>
        <bgColor indexed="64"/>
      </patternFill>
    </fill>
    <fill>
      <patternFill patternType="solid">
        <fgColor theme="1" tint="0.499984740745262"/>
        <bgColor indexed="64"/>
      </patternFill>
    </fill>
    <fill>
      <patternFill patternType="solid">
        <fgColor rgb="FFFF66FF"/>
        <bgColor rgb="FF000000"/>
      </patternFill>
    </fill>
    <fill>
      <patternFill patternType="solid">
        <fgColor rgb="FFFF0000"/>
        <bgColor indexed="64"/>
      </patternFill>
    </fill>
    <fill>
      <patternFill patternType="solid">
        <fgColor rgb="FFCC66FF"/>
        <bgColor rgb="FF000000"/>
      </patternFill>
    </fill>
    <fill>
      <patternFill patternType="solid">
        <fgColor rgb="FFCC66FF"/>
        <bgColor indexed="64"/>
      </patternFill>
    </fill>
    <fill>
      <patternFill patternType="solid">
        <fgColor rgb="FF66FF66"/>
        <bgColor rgb="FF000000"/>
      </patternFill>
    </fill>
  </fills>
  <borders count="96">
    <border>
      <left/>
      <right/>
      <top/>
      <bottom/>
      <diagonal/>
    </border>
    <border>
      <left style="medium">
        <color indexed="64"/>
      </left>
      <right style="medium">
        <color indexed="64"/>
      </right>
      <top style="medium">
        <color indexed="64"/>
      </top>
      <bottom style="medium">
        <color indexed="64"/>
      </bottom>
      <diagonal/>
    </border>
    <border>
      <left/>
      <right/>
      <top/>
      <bottom style="thin">
        <color indexed="64"/>
      </bottom>
      <diagonal/>
    </border>
    <border>
      <left style="medium">
        <color indexed="64"/>
      </left>
      <right style="medium">
        <color indexed="64"/>
      </right>
      <top style="medium">
        <color indexed="64"/>
      </top>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style="medium">
        <color indexed="64"/>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bottom/>
      <diagonal/>
    </border>
    <border>
      <left style="medium">
        <color indexed="64"/>
      </left>
      <right/>
      <top/>
      <bottom style="thin">
        <color indexed="64"/>
      </bottom>
      <diagonal/>
    </border>
    <border>
      <left style="medium">
        <color indexed="64"/>
      </left>
      <right/>
      <top style="thin">
        <color indexed="64"/>
      </top>
      <bottom/>
      <diagonal/>
    </border>
    <border>
      <left style="medium">
        <color indexed="64"/>
      </left>
      <right/>
      <top/>
      <bottom style="medium">
        <color indexed="64"/>
      </bottom>
      <diagonal/>
    </border>
    <border>
      <left/>
      <right/>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indexed="64"/>
      </left>
      <right style="thin">
        <color rgb="FF000000"/>
      </right>
      <top style="medium">
        <color indexed="64"/>
      </top>
      <bottom style="thin">
        <color rgb="FF000000"/>
      </bottom>
      <diagonal/>
    </border>
    <border>
      <left style="thin">
        <color rgb="FF000000"/>
      </left>
      <right style="thin">
        <color rgb="FF000000"/>
      </right>
      <top style="medium">
        <color indexed="64"/>
      </top>
      <bottom style="thin">
        <color rgb="FF000000"/>
      </bottom>
      <diagonal/>
    </border>
    <border>
      <left style="thin">
        <color rgb="FF000000"/>
      </left>
      <right style="medium">
        <color indexed="64"/>
      </right>
      <top style="medium">
        <color indexed="64"/>
      </top>
      <bottom style="thin">
        <color rgb="FF000000"/>
      </bottom>
      <diagonal/>
    </border>
    <border>
      <left style="medium">
        <color indexed="64"/>
      </left>
      <right style="thin">
        <color rgb="FF000000"/>
      </right>
      <top style="thin">
        <color rgb="FF000000"/>
      </top>
      <bottom style="thin">
        <color rgb="FF000000"/>
      </bottom>
      <diagonal/>
    </border>
    <border>
      <left style="medium">
        <color indexed="64"/>
      </left>
      <right style="thin">
        <color rgb="FF000000"/>
      </right>
      <top style="thin">
        <color rgb="FF000000"/>
      </top>
      <bottom style="medium">
        <color indexed="64"/>
      </bottom>
      <diagonal/>
    </border>
    <border>
      <left style="thin">
        <color rgb="FF000000"/>
      </left>
      <right style="thin">
        <color rgb="FF000000"/>
      </right>
      <top style="thin">
        <color rgb="FF000000"/>
      </top>
      <bottom style="medium">
        <color indexed="64"/>
      </bottom>
      <diagonal/>
    </border>
    <border>
      <left style="medium">
        <color indexed="64"/>
      </left>
      <right style="thin">
        <color rgb="FF000000"/>
      </right>
      <top style="medium">
        <color indexed="64"/>
      </top>
      <bottom/>
      <diagonal/>
    </border>
    <border>
      <left style="thin">
        <color rgb="FF000000"/>
      </left>
      <right style="thin">
        <color rgb="FF000000"/>
      </right>
      <top style="medium">
        <color indexed="64"/>
      </top>
      <bottom/>
      <diagonal/>
    </border>
    <border>
      <left style="thin">
        <color rgb="FF000000"/>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rgb="FF000000"/>
      </right>
      <top style="thin">
        <color rgb="FF000000"/>
      </top>
      <bottom style="medium">
        <color indexed="64"/>
      </bottom>
      <diagonal/>
    </border>
    <border>
      <left style="medium">
        <color indexed="64"/>
      </left>
      <right style="medium">
        <color indexed="64"/>
      </right>
      <top style="thin">
        <color rgb="FF000000"/>
      </top>
      <bottom style="thin">
        <color rgb="FF000000"/>
      </bottom>
      <diagonal/>
    </border>
    <border>
      <left style="medium">
        <color indexed="64"/>
      </left>
      <right style="medium">
        <color indexed="64"/>
      </right>
      <top style="thin">
        <color rgb="FF000000"/>
      </top>
      <bottom style="medium">
        <color indexed="64"/>
      </bottom>
      <diagonal/>
    </border>
    <border>
      <left/>
      <right style="medium">
        <color indexed="64"/>
      </right>
      <top style="medium">
        <color indexed="64"/>
      </top>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top style="thin">
        <color rgb="FF000000"/>
      </top>
      <bottom style="thin">
        <color rgb="FF000000"/>
      </bottom>
      <diagonal/>
    </border>
    <border>
      <left style="medium">
        <color indexed="64"/>
      </left>
      <right/>
      <top style="thin">
        <color rgb="FF000000"/>
      </top>
      <bottom style="medium">
        <color indexed="64"/>
      </bottom>
      <diagonal/>
    </border>
    <border>
      <left style="thin">
        <color rgb="FF000000"/>
      </left>
      <right/>
      <top style="thin">
        <color rgb="FF000000"/>
      </top>
      <bottom style="medium">
        <color indexed="64"/>
      </bottom>
      <diagonal/>
    </border>
    <border>
      <left style="medium">
        <color indexed="64"/>
      </left>
      <right/>
      <top style="medium">
        <color indexed="64"/>
      </top>
      <bottom style="thin">
        <color rgb="FF000000"/>
      </bottom>
      <diagonal/>
    </border>
    <border>
      <left/>
      <right style="thin">
        <color rgb="FF000000"/>
      </right>
      <top style="medium">
        <color indexed="64"/>
      </top>
      <bottom/>
      <diagonal/>
    </border>
    <border>
      <left style="thin">
        <color rgb="FF000000"/>
      </left>
      <right/>
      <top style="medium">
        <color indexed="64"/>
      </top>
      <bottom/>
      <diagonal/>
    </border>
    <border>
      <left style="thin">
        <color rgb="FF000000"/>
      </left>
      <right/>
      <top style="medium">
        <color indexed="64"/>
      </top>
      <bottom style="thin">
        <color rgb="FF000000"/>
      </bottom>
      <diagonal/>
    </border>
    <border>
      <left/>
      <right/>
      <top style="thin">
        <color rgb="FF000000"/>
      </top>
      <bottom style="thin">
        <color rgb="FF000000"/>
      </bottom>
      <diagonal/>
    </border>
    <border>
      <left/>
      <right/>
      <top style="thin">
        <color rgb="FF000000"/>
      </top>
      <bottom style="medium">
        <color indexed="64"/>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right style="thin">
        <color rgb="FF000000"/>
      </right>
      <top style="medium">
        <color indexed="64"/>
      </top>
      <bottom style="thin">
        <color rgb="FF000000"/>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right style="medium">
        <color indexed="64"/>
      </right>
      <top style="medium">
        <color indexed="64"/>
      </top>
      <bottom style="thin">
        <color rgb="FF000000"/>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bottom style="medium">
        <color indexed="64"/>
      </bottom>
      <diagonal/>
    </border>
    <border>
      <left/>
      <right style="medium">
        <color indexed="64"/>
      </right>
      <top/>
      <bottom/>
      <diagonal/>
    </border>
    <border>
      <left style="medium">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medium">
        <color indexed="64"/>
      </right>
      <top/>
      <bottom style="thin">
        <color indexed="64"/>
      </bottom>
      <diagonal/>
    </border>
    <border>
      <left style="thin">
        <color indexed="64"/>
      </left>
      <right/>
      <top style="medium">
        <color indexed="64"/>
      </top>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double">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thin">
        <color indexed="64"/>
      </top>
      <bottom/>
      <diagonal/>
    </border>
  </borders>
  <cellStyleXfs count="5">
    <xf numFmtId="0" fontId="0" fillId="0" borderId="0"/>
    <xf numFmtId="0" fontId="2" fillId="2" borderId="0" applyNumberFormat="0" applyBorder="0" applyAlignment="0" applyProtection="0"/>
    <xf numFmtId="9" fontId="1" fillId="0" borderId="0" applyFont="0" applyFill="0" applyBorder="0" applyAlignment="0" applyProtection="0"/>
    <xf numFmtId="0" fontId="15" fillId="0" borderId="0" applyNumberFormat="0" applyFill="0" applyBorder="0" applyAlignment="0" applyProtection="0"/>
    <xf numFmtId="43" fontId="1" fillId="0" borderId="0" applyFont="0" applyFill="0" applyBorder="0" applyAlignment="0" applyProtection="0"/>
  </cellStyleXfs>
  <cellXfs count="873">
    <xf numFmtId="0" fontId="0" fillId="0" borderId="0" xfId="0"/>
    <xf numFmtId="0" fontId="0" fillId="0" borderId="2" xfId="0" applyBorder="1" applyAlignment="1">
      <alignment horizontal="center"/>
    </xf>
    <xf numFmtId="0" fontId="0" fillId="0" borderId="0" xfId="0" applyAlignment="1">
      <alignment horizontal="center"/>
    </xf>
    <xf numFmtId="0" fontId="0" fillId="0" borderId="5" xfId="0" applyBorder="1" applyAlignment="1">
      <alignment horizontal="center"/>
    </xf>
    <xf numFmtId="0" fontId="3" fillId="0" borderId="0" xfId="0" applyFont="1"/>
    <xf numFmtId="0" fontId="0" fillId="0" borderId="0" xfId="0" applyAlignment="1">
      <alignment horizontal="left"/>
    </xf>
    <xf numFmtId="0" fontId="0" fillId="0" borderId="0" xfId="0" quotePrefix="1" applyAlignment="1">
      <alignment horizontal="center"/>
    </xf>
    <xf numFmtId="0" fontId="4" fillId="0" borderId="0" xfId="0" applyFont="1" applyAlignment="1">
      <alignment horizontal="center"/>
    </xf>
    <xf numFmtId="2" fontId="0" fillId="0" borderId="0" xfId="0" applyNumberFormat="1" applyAlignment="1">
      <alignment horizontal="center"/>
    </xf>
    <xf numFmtId="0" fontId="0" fillId="0" borderId="6" xfId="0" applyBorder="1" applyAlignment="1">
      <alignment horizontal="center"/>
    </xf>
    <xf numFmtId="0" fontId="0" fillId="0" borderId="2" xfId="0" quotePrefix="1" applyBorder="1" applyAlignment="1">
      <alignment horizontal="center"/>
    </xf>
    <xf numFmtId="164" fontId="0" fillId="0" borderId="0" xfId="0" applyNumberFormat="1" applyAlignment="1">
      <alignment horizontal="center"/>
    </xf>
    <xf numFmtId="1" fontId="0" fillId="0" borderId="0" xfId="0" applyNumberFormat="1" applyAlignment="1">
      <alignment horizontal="center"/>
    </xf>
    <xf numFmtId="0" fontId="4" fillId="0" borderId="2" xfId="0" applyFont="1" applyBorder="1" applyAlignment="1">
      <alignment horizontal="center"/>
    </xf>
    <xf numFmtId="0" fontId="3" fillId="0" borderId="0" xfId="0" applyFont="1" applyAlignment="1">
      <alignment horizontal="center"/>
    </xf>
    <xf numFmtId="0" fontId="0" fillId="0" borderId="11" xfId="0" applyBorder="1" applyAlignment="1">
      <alignment horizontal="center"/>
    </xf>
    <xf numFmtId="165" fontId="0" fillId="0" borderId="12" xfId="0" applyNumberFormat="1" applyBorder="1" applyAlignment="1">
      <alignment horizontal="center"/>
    </xf>
    <xf numFmtId="165" fontId="0" fillId="0" borderId="13" xfId="0" applyNumberFormat="1" applyBorder="1" applyAlignment="1">
      <alignment horizontal="center"/>
    </xf>
    <xf numFmtId="0" fontId="0" fillId="0" borderId="13" xfId="0" applyBorder="1" applyAlignment="1">
      <alignment horizontal="center"/>
    </xf>
    <xf numFmtId="164" fontId="0" fillId="0" borderId="12" xfId="0" applyNumberFormat="1" applyBorder="1" applyAlignment="1">
      <alignment horizontal="center"/>
    </xf>
    <xf numFmtId="0" fontId="0" fillId="0" borderId="12" xfId="0" applyBorder="1" applyAlignment="1">
      <alignment horizontal="center"/>
    </xf>
    <xf numFmtId="164" fontId="0" fillId="0" borderId="13" xfId="0" applyNumberFormat="1" applyBorder="1" applyAlignment="1">
      <alignment horizontal="center"/>
    </xf>
    <xf numFmtId="1" fontId="0" fillId="0" borderId="13" xfId="0" applyNumberFormat="1" applyBorder="1" applyAlignment="1">
      <alignment horizontal="center"/>
    </xf>
    <xf numFmtId="0" fontId="5" fillId="4" borderId="8" xfId="0" applyFont="1" applyFill="1" applyBorder="1" applyAlignment="1">
      <alignment horizontal="left"/>
    </xf>
    <xf numFmtId="0" fontId="0" fillId="0" borderId="9" xfId="0" applyBorder="1" applyAlignment="1">
      <alignment horizontal="center"/>
    </xf>
    <xf numFmtId="0" fontId="0" fillId="0" borderId="15" xfId="0" applyBorder="1" applyAlignment="1">
      <alignment horizontal="left"/>
    </xf>
    <xf numFmtId="0" fontId="0" fillId="0" borderId="16" xfId="0" applyBorder="1" applyAlignment="1">
      <alignment horizontal="left"/>
    </xf>
    <xf numFmtId="0" fontId="5" fillId="4" borderId="17" xfId="0" applyFont="1" applyFill="1" applyBorder="1" applyAlignment="1">
      <alignment horizontal="left"/>
    </xf>
    <xf numFmtId="0" fontId="0" fillId="0" borderId="18" xfId="0" applyBorder="1" applyAlignment="1">
      <alignment horizontal="left"/>
    </xf>
    <xf numFmtId="0" fontId="0" fillId="0" borderId="19" xfId="0" applyBorder="1" applyAlignment="1">
      <alignment horizontal="center"/>
    </xf>
    <xf numFmtId="0" fontId="0" fillId="0" borderId="14" xfId="0" applyBorder="1" applyAlignment="1">
      <alignment horizontal="center"/>
    </xf>
    <xf numFmtId="14" fontId="0" fillId="0" borderId="0" xfId="0" applyNumberFormat="1" applyAlignment="1">
      <alignment horizontal="left"/>
    </xf>
    <xf numFmtId="0" fontId="6" fillId="0" borderId="20" xfId="0" applyFont="1" applyBorder="1"/>
    <xf numFmtId="0" fontId="7" fillId="0" borderId="20" xfId="0" applyFont="1" applyBorder="1"/>
    <xf numFmtId="0" fontId="8" fillId="6" borderId="20" xfId="0" applyFont="1" applyFill="1" applyBorder="1"/>
    <xf numFmtId="0" fontId="8" fillId="6" borderId="20" xfId="0" applyFont="1" applyFill="1" applyBorder="1" applyAlignment="1">
      <alignment horizontal="right"/>
    </xf>
    <xf numFmtId="0" fontId="7" fillId="6" borderId="20" xfId="0" applyFont="1" applyFill="1" applyBorder="1"/>
    <xf numFmtId="11" fontId="7" fillId="6" borderId="20" xfId="0" applyNumberFormat="1" applyFont="1" applyFill="1" applyBorder="1" applyAlignment="1">
      <alignment horizontal="right"/>
    </xf>
    <xf numFmtId="0" fontId="7" fillId="0" borderId="0" xfId="0" applyFont="1" applyAlignment="1">
      <alignment horizontal="right"/>
    </xf>
    <xf numFmtId="0" fontId="7" fillId="0" borderId="0" xfId="0" applyFont="1"/>
    <xf numFmtId="11" fontId="7" fillId="0" borderId="0" xfId="0" applyNumberFormat="1" applyFont="1" applyAlignment="1">
      <alignment horizontal="right"/>
    </xf>
    <xf numFmtId="0" fontId="5" fillId="0" borderId="0" xfId="0" applyFont="1"/>
    <xf numFmtId="0" fontId="8" fillId="0" borderId="20" xfId="0" applyFont="1" applyBorder="1"/>
    <xf numFmtId="11" fontId="8" fillId="0" borderId="20" xfId="0" applyNumberFormat="1" applyFont="1" applyBorder="1" applyAlignment="1">
      <alignment horizontal="right"/>
    </xf>
    <xf numFmtId="0" fontId="7" fillId="0" borderId="21" xfId="0" applyFont="1" applyBorder="1"/>
    <xf numFmtId="0" fontId="7" fillId="0" borderId="22" xfId="0" applyFont="1" applyBorder="1"/>
    <xf numFmtId="11" fontId="7" fillId="0" borderId="28" xfId="0" applyNumberFormat="1" applyFont="1" applyBorder="1" applyAlignment="1">
      <alignment horizontal="right"/>
    </xf>
    <xf numFmtId="0" fontId="7" fillId="11" borderId="29" xfId="0" applyFont="1" applyFill="1" applyBorder="1"/>
    <xf numFmtId="0" fontId="7" fillId="11" borderId="31" xfId="0" applyFont="1" applyFill="1" applyBorder="1"/>
    <xf numFmtId="3" fontId="8" fillId="11" borderId="33" xfId="0" applyNumberFormat="1" applyFont="1" applyFill="1" applyBorder="1" applyAlignment="1">
      <alignment horizontal="center"/>
    </xf>
    <xf numFmtId="3" fontId="8" fillId="11" borderId="32" xfId="0" applyNumberFormat="1" applyFont="1" applyFill="1" applyBorder="1" applyAlignment="1">
      <alignment horizontal="center"/>
    </xf>
    <xf numFmtId="3" fontId="8" fillId="11" borderId="34" xfId="0" applyNumberFormat="1" applyFont="1" applyFill="1" applyBorder="1" applyAlignment="1">
      <alignment horizontal="center"/>
    </xf>
    <xf numFmtId="3" fontId="8" fillId="11" borderId="35" xfId="0" applyNumberFormat="1" applyFont="1" applyFill="1" applyBorder="1" applyAlignment="1">
      <alignment horizontal="center"/>
    </xf>
    <xf numFmtId="3" fontId="8" fillId="11" borderId="36" xfId="0" applyNumberFormat="1" applyFont="1" applyFill="1" applyBorder="1" applyAlignment="1">
      <alignment horizontal="center"/>
    </xf>
    <xf numFmtId="3" fontId="8" fillId="11" borderId="37" xfId="0" applyNumberFormat="1" applyFont="1" applyFill="1" applyBorder="1" applyAlignment="1">
      <alignment horizontal="center"/>
    </xf>
    <xf numFmtId="0" fontId="7" fillId="11" borderId="31" xfId="0" applyFont="1" applyFill="1" applyBorder="1" applyAlignment="1">
      <alignment horizontal="center"/>
    </xf>
    <xf numFmtId="0" fontId="7" fillId="11" borderId="3" xfId="0" applyFont="1" applyFill="1" applyBorder="1" applyAlignment="1">
      <alignment horizontal="center"/>
    </xf>
    <xf numFmtId="3" fontId="8" fillId="11" borderId="38" xfId="0" applyNumberFormat="1" applyFont="1" applyFill="1" applyBorder="1" applyAlignment="1">
      <alignment horizontal="center"/>
    </xf>
    <xf numFmtId="3" fontId="8" fillId="11" borderId="39" xfId="0" applyNumberFormat="1" applyFont="1" applyFill="1" applyBorder="1" applyAlignment="1">
      <alignment horizontal="center"/>
    </xf>
    <xf numFmtId="11" fontId="8" fillId="0" borderId="22" xfId="0" applyNumberFormat="1" applyFont="1" applyBorder="1" applyAlignment="1">
      <alignment horizontal="right"/>
    </xf>
    <xf numFmtId="0" fontId="7" fillId="11" borderId="41" xfId="0" applyFont="1" applyFill="1" applyBorder="1" applyAlignment="1">
      <alignment horizontal="center"/>
    </xf>
    <xf numFmtId="165" fontId="8" fillId="12" borderId="22" xfId="0" applyNumberFormat="1" applyFont="1" applyFill="1" applyBorder="1" applyAlignment="1">
      <alignment horizontal="center"/>
    </xf>
    <xf numFmtId="0" fontId="7" fillId="0" borderId="23" xfId="0" quotePrefix="1" applyFont="1" applyBorder="1"/>
    <xf numFmtId="0" fontId="7" fillId="0" borderId="24" xfId="0" quotePrefix="1" applyFont="1" applyBorder="1"/>
    <xf numFmtId="165" fontId="8" fillId="12" borderId="26" xfId="0" applyNumberFormat="1" applyFont="1" applyFill="1" applyBorder="1" applyAlignment="1">
      <alignment horizontal="center"/>
    </xf>
    <xf numFmtId="165" fontId="8" fillId="12" borderId="27" xfId="0" applyNumberFormat="1" applyFont="1" applyFill="1" applyBorder="1" applyAlignment="1">
      <alignment horizontal="center"/>
    </xf>
    <xf numFmtId="165" fontId="8" fillId="12" borderId="42" xfId="0" applyNumberFormat="1" applyFont="1" applyFill="1" applyBorder="1" applyAlignment="1">
      <alignment horizontal="center"/>
    </xf>
    <xf numFmtId="11" fontId="8" fillId="0" borderId="21" xfId="0" applyNumberFormat="1" applyFont="1" applyBorder="1" applyAlignment="1">
      <alignment horizontal="right"/>
    </xf>
    <xf numFmtId="0" fontId="0" fillId="13" borderId="3" xfId="0" applyFill="1" applyBorder="1" applyAlignment="1">
      <alignment horizontal="center"/>
    </xf>
    <xf numFmtId="166" fontId="7" fillId="13" borderId="43" xfId="0" applyNumberFormat="1" applyFont="1" applyFill="1" applyBorder="1" applyAlignment="1">
      <alignment horizontal="center"/>
    </xf>
    <xf numFmtId="166" fontId="7" fillId="13" borderId="44" xfId="0" applyNumberFormat="1" applyFont="1" applyFill="1" applyBorder="1" applyAlignment="1">
      <alignment horizontal="center"/>
    </xf>
    <xf numFmtId="0" fontId="7" fillId="11" borderId="29" xfId="0" applyFont="1" applyFill="1" applyBorder="1" applyAlignment="1">
      <alignment horizontal="center"/>
    </xf>
    <xf numFmtId="0" fontId="7" fillId="11" borderId="30" xfId="0" applyFont="1" applyFill="1" applyBorder="1" applyAlignment="1">
      <alignment horizontal="center"/>
    </xf>
    <xf numFmtId="3" fontId="0" fillId="0" borderId="11" xfId="0" applyNumberFormat="1" applyBorder="1" applyAlignment="1">
      <alignment horizontal="center"/>
    </xf>
    <xf numFmtId="3" fontId="0" fillId="0" borderId="13" xfId="0" applyNumberFormat="1" applyBorder="1" applyAlignment="1">
      <alignment horizontal="center"/>
    </xf>
    <xf numFmtId="0" fontId="7" fillId="0" borderId="20" xfId="0" applyFont="1" applyBorder="1" applyAlignment="1">
      <alignment horizontal="center"/>
    </xf>
    <xf numFmtId="0" fontId="7" fillId="6" borderId="20" xfId="0" applyFont="1" applyFill="1" applyBorder="1" applyAlignment="1">
      <alignment horizontal="center"/>
    </xf>
    <xf numFmtId="11" fontId="8" fillId="6" borderId="20" xfId="0" applyNumberFormat="1" applyFont="1" applyFill="1" applyBorder="1" applyAlignment="1">
      <alignment horizontal="center"/>
    </xf>
    <xf numFmtId="0" fontId="8" fillId="6" borderId="20" xfId="0" applyFont="1" applyFill="1" applyBorder="1" applyAlignment="1">
      <alignment horizontal="center"/>
    </xf>
    <xf numFmtId="11" fontId="7" fillId="6" borderId="20" xfId="0" applyNumberFormat="1" applyFont="1" applyFill="1" applyBorder="1" applyAlignment="1">
      <alignment horizontal="center"/>
    </xf>
    <xf numFmtId="0" fontId="9" fillId="0" borderId="0" xfId="0" applyFont="1"/>
    <xf numFmtId="0" fontId="6" fillId="0" borderId="21" xfId="0" applyFont="1" applyBorder="1"/>
    <xf numFmtId="0" fontId="8" fillId="0" borderId="21" xfId="0" applyFont="1" applyBorder="1"/>
    <xf numFmtId="0" fontId="6" fillId="0" borderId="22" xfId="0" applyFont="1" applyBorder="1"/>
    <xf numFmtId="0" fontId="7" fillId="11" borderId="45" xfId="0" applyFont="1" applyFill="1" applyBorder="1" applyAlignment="1">
      <alignment horizontal="center"/>
    </xf>
    <xf numFmtId="3" fontId="8" fillId="11" borderId="46" xfId="0" applyNumberFormat="1" applyFont="1" applyFill="1" applyBorder="1" applyAlignment="1">
      <alignment horizontal="center"/>
    </xf>
    <xf numFmtId="3" fontId="8" fillId="11" borderId="47" xfId="0" applyNumberFormat="1" applyFont="1" applyFill="1" applyBorder="1" applyAlignment="1">
      <alignment horizontal="center"/>
    </xf>
    <xf numFmtId="0" fontId="6" fillId="0" borderId="23" xfId="0" applyFont="1" applyBorder="1"/>
    <xf numFmtId="0" fontId="6" fillId="0" borderId="30" xfId="0" applyFont="1" applyBorder="1"/>
    <xf numFmtId="0" fontId="6" fillId="0" borderId="24" xfId="0" applyFont="1" applyBorder="1"/>
    <xf numFmtId="0" fontId="6" fillId="0" borderId="25" xfId="0" applyFont="1" applyBorder="1"/>
    <xf numFmtId="0" fontId="7" fillId="0" borderId="48" xfId="0" applyFont="1" applyBorder="1"/>
    <xf numFmtId="0" fontId="7" fillId="0" borderId="49" xfId="0" applyFont="1" applyBorder="1"/>
    <xf numFmtId="11" fontId="7" fillId="0" borderId="42" xfId="0" applyNumberFormat="1" applyFont="1" applyBorder="1" applyAlignment="1">
      <alignment horizontal="right"/>
    </xf>
    <xf numFmtId="11" fontId="7" fillId="0" borderId="50" xfId="0" applyNumberFormat="1" applyFont="1" applyBorder="1" applyAlignment="1">
      <alignment horizontal="right"/>
    </xf>
    <xf numFmtId="0" fontId="6" fillId="0" borderId="51" xfId="0" applyFont="1" applyBorder="1"/>
    <xf numFmtId="0" fontId="6" fillId="0" borderId="52" xfId="0" applyFont="1" applyBorder="1"/>
    <xf numFmtId="0" fontId="7" fillId="11" borderId="45" xfId="0" applyFont="1" applyFill="1" applyBorder="1"/>
    <xf numFmtId="0" fontId="6" fillId="0" borderId="29" xfId="0" applyFont="1" applyBorder="1"/>
    <xf numFmtId="0" fontId="6" fillId="0" borderId="31" xfId="0" applyFont="1" applyBorder="1"/>
    <xf numFmtId="0" fontId="6" fillId="0" borderId="53" xfId="0" applyFont="1" applyBorder="1"/>
    <xf numFmtId="0" fontId="7" fillId="0" borderId="54" xfId="0" quotePrefix="1" applyFont="1" applyBorder="1"/>
    <xf numFmtId="165" fontId="8" fillId="12" borderId="55" xfId="0" applyNumberFormat="1" applyFont="1" applyFill="1" applyBorder="1" applyAlignment="1">
      <alignment horizontal="center"/>
    </xf>
    <xf numFmtId="165" fontId="8" fillId="12" borderId="56" xfId="0" applyNumberFormat="1" applyFont="1" applyFill="1" applyBorder="1" applyAlignment="1">
      <alignment horizontal="center"/>
    </xf>
    <xf numFmtId="0" fontId="7" fillId="11" borderId="57" xfId="0" applyFont="1" applyFill="1" applyBorder="1" applyAlignment="1">
      <alignment horizontal="center"/>
    </xf>
    <xf numFmtId="3" fontId="8" fillId="11" borderId="58" xfId="0" applyNumberFormat="1" applyFont="1" applyFill="1" applyBorder="1" applyAlignment="1">
      <alignment horizontal="center"/>
    </xf>
    <xf numFmtId="3" fontId="8" fillId="11" borderId="59" xfId="0" applyNumberFormat="1" applyFont="1" applyFill="1" applyBorder="1" applyAlignment="1">
      <alignment horizontal="center"/>
    </xf>
    <xf numFmtId="0" fontId="6" fillId="0" borderId="3" xfId="0" applyFont="1" applyBorder="1"/>
    <xf numFmtId="0" fontId="7" fillId="11" borderId="60" xfId="0" applyFont="1" applyFill="1" applyBorder="1" applyAlignment="1">
      <alignment horizontal="center"/>
    </xf>
    <xf numFmtId="0" fontId="6" fillId="0" borderId="54" xfId="0" applyFont="1" applyBorder="1"/>
    <xf numFmtId="0" fontId="6" fillId="0" borderId="61" xfId="0" applyFont="1" applyBorder="1"/>
    <xf numFmtId="0" fontId="7" fillId="11" borderId="52" xfId="0" applyFont="1" applyFill="1" applyBorder="1" applyAlignment="1">
      <alignment horizontal="center"/>
    </xf>
    <xf numFmtId="0" fontId="7" fillId="11" borderId="53" xfId="0" applyFont="1" applyFill="1" applyBorder="1" applyAlignment="1">
      <alignment horizontal="center"/>
    </xf>
    <xf numFmtId="3" fontId="8" fillId="11" borderId="62" xfId="0" applyNumberFormat="1" applyFont="1" applyFill="1" applyBorder="1" applyAlignment="1">
      <alignment horizontal="center"/>
    </xf>
    <xf numFmtId="3" fontId="8" fillId="11" borderId="63" xfId="0" applyNumberFormat="1" applyFont="1" applyFill="1" applyBorder="1" applyAlignment="1">
      <alignment horizontal="center"/>
    </xf>
    <xf numFmtId="0" fontId="6" fillId="0" borderId="64" xfId="0" applyFont="1" applyBorder="1"/>
    <xf numFmtId="3" fontId="0" fillId="0" borderId="0" xfId="0" applyNumberFormat="1" applyAlignment="1">
      <alignment horizontal="center"/>
    </xf>
    <xf numFmtId="167" fontId="0" fillId="0" borderId="0" xfId="0" applyNumberFormat="1" applyAlignment="1">
      <alignment horizontal="center"/>
    </xf>
    <xf numFmtId="167" fontId="0" fillId="0" borderId="0" xfId="0" applyNumberFormat="1"/>
    <xf numFmtId="0" fontId="3" fillId="0" borderId="1" xfId="0" applyFont="1" applyBorder="1" applyAlignment="1">
      <alignment horizontal="center" wrapText="1"/>
    </xf>
    <xf numFmtId="0" fontId="9" fillId="0" borderId="1" xfId="0" applyFont="1" applyBorder="1" applyAlignment="1">
      <alignment horizontal="center" wrapText="1"/>
    </xf>
    <xf numFmtId="0" fontId="0" fillId="0" borderId="45" xfId="0" applyBorder="1" applyAlignment="1">
      <alignment horizontal="center"/>
    </xf>
    <xf numFmtId="2" fontId="0" fillId="0" borderId="19" xfId="0" applyNumberFormat="1" applyBorder="1" applyAlignment="1">
      <alignment horizontal="center"/>
    </xf>
    <xf numFmtId="0" fontId="0" fillId="0" borderId="67" xfId="0" applyBorder="1" applyAlignment="1">
      <alignment horizontal="center"/>
    </xf>
    <xf numFmtId="0" fontId="3" fillId="0" borderId="65" xfId="0" applyFont="1" applyBorder="1" applyAlignment="1">
      <alignment horizontal="center" wrapText="1"/>
    </xf>
    <xf numFmtId="0" fontId="3" fillId="0" borderId="66" xfId="0" applyFont="1" applyBorder="1" applyAlignment="1">
      <alignment horizontal="center" wrapText="1"/>
    </xf>
    <xf numFmtId="0" fontId="0" fillId="0" borderId="3" xfId="0" applyBorder="1" applyAlignment="1">
      <alignment horizontal="center"/>
    </xf>
    <xf numFmtId="0" fontId="0" fillId="0" borderId="68" xfId="0" applyBorder="1" applyAlignment="1">
      <alignment horizontal="center"/>
    </xf>
    <xf numFmtId="0" fontId="0" fillId="0" borderId="15" xfId="0" applyBorder="1" applyAlignment="1">
      <alignment horizontal="center"/>
    </xf>
    <xf numFmtId="0" fontId="0" fillId="0" borderId="8" xfId="0" applyBorder="1" applyAlignment="1">
      <alignment horizontal="center"/>
    </xf>
    <xf numFmtId="2" fontId="0" fillId="0" borderId="9" xfId="0" applyNumberFormat="1" applyBorder="1" applyAlignment="1">
      <alignment horizontal="center"/>
    </xf>
    <xf numFmtId="0" fontId="0" fillId="0" borderId="18" xfId="0" applyBorder="1" applyAlignment="1">
      <alignment horizontal="center"/>
    </xf>
    <xf numFmtId="2" fontId="0" fillId="0" borderId="67" xfId="0" applyNumberFormat="1" applyBorder="1" applyAlignment="1">
      <alignment horizontal="center"/>
    </xf>
    <xf numFmtId="2" fontId="0" fillId="0" borderId="45" xfId="0" applyNumberFormat="1" applyBorder="1" applyAlignment="1">
      <alignment horizontal="center"/>
    </xf>
    <xf numFmtId="2" fontId="0" fillId="0" borderId="68" xfId="0" applyNumberFormat="1" applyBorder="1" applyAlignment="1">
      <alignment horizontal="center"/>
    </xf>
    <xf numFmtId="0" fontId="3" fillId="0" borderId="45" xfId="0" applyFont="1" applyBorder="1" applyAlignment="1">
      <alignment horizontal="center" wrapText="1"/>
    </xf>
    <xf numFmtId="0" fontId="3" fillId="0" borderId="0" xfId="0" applyFont="1" applyAlignment="1">
      <alignment horizontal="center" wrapText="1"/>
    </xf>
    <xf numFmtId="1" fontId="0" fillId="0" borderId="67" xfId="0" applyNumberFormat="1" applyBorder="1" applyAlignment="1">
      <alignment horizontal="center"/>
    </xf>
    <xf numFmtId="165" fontId="0" fillId="0" borderId="0" xfId="0" applyNumberFormat="1" applyAlignment="1">
      <alignment horizontal="center"/>
    </xf>
    <xf numFmtId="2" fontId="3" fillId="0" borderId="0" xfId="0" applyNumberFormat="1" applyFont="1" applyAlignment="1">
      <alignment horizontal="center"/>
    </xf>
    <xf numFmtId="0" fontId="0" fillId="0" borderId="62" xfId="0" applyBorder="1" applyAlignment="1">
      <alignment horizontal="center"/>
    </xf>
    <xf numFmtId="0" fontId="0" fillId="0" borderId="32" xfId="0" applyBorder="1" applyAlignment="1">
      <alignment horizontal="center"/>
    </xf>
    <xf numFmtId="0" fontId="0" fillId="0" borderId="7" xfId="0" applyBorder="1" applyAlignment="1">
      <alignment horizontal="center"/>
    </xf>
    <xf numFmtId="0" fontId="5" fillId="0" borderId="15" xfId="0" applyFont="1" applyBorder="1" applyAlignment="1">
      <alignment horizontal="left"/>
    </xf>
    <xf numFmtId="1" fontId="0" fillId="0" borderId="0" xfId="0" applyNumberFormat="1"/>
    <xf numFmtId="0" fontId="0" fillId="0" borderId="66" xfId="0" applyBorder="1"/>
    <xf numFmtId="0" fontId="0" fillId="0" borderId="10" xfId="0" applyBorder="1"/>
    <xf numFmtId="1" fontId="0" fillId="14" borderId="65" xfId="0" applyNumberFormat="1" applyFill="1" applyBorder="1" applyAlignment="1">
      <alignment horizontal="center"/>
    </xf>
    <xf numFmtId="1" fontId="0" fillId="7" borderId="10" xfId="0" applyNumberFormat="1" applyFill="1" applyBorder="1" applyAlignment="1">
      <alignment horizontal="center"/>
    </xf>
    <xf numFmtId="1" fontId="0" fillId="7" borderId="68" xfId="0" applyNumberFormat="1" applyFill="1" applyBorder="1" applyAlignment="1">
      <alignment horizontal="center"/>
    </xf>
    <xf numFmtId="1" fontId="0" fillId="14" borderId="15" xfId="0" applyNumberFormat="1" applyFill="1" applyBorder="1" applyAlignment="1">
      <alignment horizontal="center"/>
    </xf>
    <xf numFmtId="1" fontId="0" fillId="0" borderId="15" xfId="0" applyNumberFormat="1" applyBorder="1" applyAlignment="1">
      <alignment horizontal="center"/>
    </xf>
    <xf numFmtId="1" fontId="0" fillId="0" borderId="68" xfId="0" applyNumberFormat="1" applyBorder="1" applyAlignment="1">
      <alignment horizontal="center"/>
    </xf>
    <xf numFmtId="1" fontId="0" fillId="0" borderId="18" xfId="0" applyNumberFormat="1" applyBorder="1" applyAlignment="1">
      <alignment horizontal="center"/>
    </xf>
    <xf numFmtId="0" fontId="3" fillId="0" borderId="10" xfId="0" applyFont="1" applyBorder="1" applyAlignment="1">
      <alignment horizontal="center" wrapText="1"/>
    </xf>
    <xf numFmtId="0" fontId="0" fillId="0" borderId="71" xfId="0" applyBorder="1" applyAlignment="1">
      <alignment horizontal="center"/>
    </xf>
    <xf numFmtId="0" fontId="9" fillId="4" borderId="15" xfId="0" applyFont="1" applyFill="1" applyBorder="1" applyAlignment="1">
      <alignment horizontal="left"/>
    </xf>
    <xf numFmtId="0" fontId="9" fillId="4" borderId="17" xfId="0" applyFont="1" applyFill="1" applyBorder="1" applyAlignment="1">
      <alignment horizontal="left"/>
    </xf>
    <xf numFmtId="0" fontId="0" fillId="0" borderId="8" xfId="0" applyBorder="1"/>
    <xf numFmtId="0" fontId="9" fillId="0" borderId="0" xfId="0" applyFont="1" applyAlignment="1">
      <alignment horizontal="center"/>
    </xf>
    <xf numFmtId="0" fontId="0" fillId="0" borderId="65" xfId="0" applyBorder="1"/>
    <xf numFmtId="0" fontId="3" fillId="0" borderId="18" xfId="0" applyFont="1" applyBorder="1" applyAlignment="1">
      <alignment horizontal="center" wrapText="1"/>
    </xf>
    <xf numFmtId="0" fontId="3" fillId="0" borderId="67" xfId="0" applyFont="1" applyBorder="1" applyAlignment="1">
      <alignment horizontal="center" wrapText="1"/>
    </xf>
    <xf numFmtId="0" fontId="3" fillId="0" borderId="65" xfId="0" applyFont="1" applyBorder="1" applyAlignment="1">
      <alignment horizontal="center"/>
    </xf>
    <xf numFmtId="0" fontId="3" fillId="0" borderId="18" xfId="0" applyFont="1" applyBorder="1" applyAlignment="1">
      <alignment horizontal="center"/>
    </xf>
    <xf numFmtId="0" fontId="3" fillId="0" borderId="19" xfId="0" applyFont="1" applyBorder="1" applyAlignment="1">
      <alignment horizontal="center"/>
    </xf>
    <xf numFmtId="1" fontId="0" fillId="0" borderId="9" xfId="0" applyNumberFormat="1" applyBorder="1" applyAlignment="1">
      <alignment horizontal="center"/>
    </xf>
    <xf numFmtId="1" fontId="0" fillId="0" borderId="45" xfId="0" applyNumberFormat="1" applyBorder="1" applyAlignment="1">
      <alignment horizontal="center"/>
    </xf>
    <xf numFmtId="1" fontId="0" fillId="0" borderId="19" xfId="0" applyNumberFormat="1" applyBorder="1" applyAlignment="1">
      <alignment horizontal="center"/>
    </xf>
    <xf numFmtId="0" fontId="9" fillId="0" borderId="10" xfId="0" applyFont="1" applyBorder="1" applyAlignment="1">
      <alignment horizontal="center" wrapText="1"/>
    </xf>
    <xf numFmtId="2" fontId="0" fillId="0" borderId="15" xfId="0" applyNumberFormat="1" applyBorder="1" applyAlignment="1">
      <alignment horizontal="center"/>
    </xf>
    <xf numFmtId="2" fontId="0" fillId="0" borderId="18" xfId="0" applyNumberFormat="1" applyBorder="1" applyAlignment="1">
      <alignment horizontal="center"/>
    </xf>
    <xf numFmtId="164" fontId="0" fillId="0" borderId="19" xfId="0" applyNumberFormat="1" applyBorder="1" applyAlignment="1">
      <alignment horizontal="center"/>
    </xf>
    <xf numFmtId="164" fontId="0" fillId="0" borderId="9" xfId="0" applyNumberFormat="1" applyBorder="1" applyAlignment="1">
      <alignment horizontal="center"/>
    </xf>
    <xf numFmtId="0" fontId="9" fillId="0" borderId="0" xfId="0" applyFont="1" applyAlignment="1">
      <alignment horizontal="center" wrapText="1"/>
    </xf>
    <xf numFmtId="165" fontId="0" fillId="0" borderId="0" xfId="1" applyNumberFormat="1" applyFont="1" applyFill="1" applyBorder="1" applyAlignment="1">
      <alignment horizontal="center"/>
    </xf>
    <xf numFmtId="0" fontId="3" fillId="19" borderId="65" xfId="0" applyFont="1" applyFill="1" applyBorder="1" applyAlignment="1">
      <alignment horizontal="center"/>
    </xf>
    <xf numFmtId="0" fontId="3" fillId="19" borderId="66" xfId="0" applyFont="1" applyFill="1" applyBorder="1" applyAlignment="1">
      <alignment horizontal="center"/>
    </xf>
    <xf numFmtId="0" fontId="3" fillId="19" borderId="66" xfId="0" applyFont="1" applyFill="1" applyBorder="1" applyAlignment="1">
      <alignment horizontal="center" wrapText="1"/>
    </xf>
    <xf numFmtId="0" fontId="3" fillId="19" borderId="10" xfId="0" applyFont="1" applyFill="1" applyBorder="1" applyAlignment="1">
      <alignment horizontal="center" wrapText="1"/>
    </xf>
    <xf numFmtId="0" fontId="0" fillId="19" borderId="8" xfId="0" applyFill="1" applyBorder="1" applyAlignment="1">
      <alignment horizontal="center"/>
    </xf>
    <xf numFmtId="164" fontId="0" fillId="19" borderId="9" xfId="0" applyNumberFormat="1" applyFill="1" applyBorder="1" applyAlignment="1">
      <alignment horizontal="center"/>
    </xf>
    <xf numFmtId="2" fontId="0" fillId="19" borderId="9" xfId="0" applyNumberFormat="1" applyFill="1" applyBorder="1" applyAlignment="1">
      <alignment horizontal="center"/>
    </xf>
    <xf numFmtId="0" fontId="0" fillId="19" borderId="9" xfId="0" applyFill="1" applyBorder="1" applyAlignment="1">
      <alignment horizontal="center"/>
    </xf>
    <xf numFmtId="1" fontId="0" fillId="19" borderId="9" xfId="0" applyNumberFormat="1" applyFill="1" applyBorder="1" applyAlignment="1">
      <alignment horizontal="center" wrapText="1"/>
    </xf>
    <xf numFmtId="1" fontId="0" fillId="19" borderId="45" xfId="0" applyNumberFormat="1" applyFill="1" applyBorder="1" applyAlignment="1">
      <alignment horizontal="center" wrapText="1"/>
    </xf>
    <xf numFmtId="0" fontId="0" fillId="19" borderId="15" xfId="0" applyFill="1" applyBorder="1" applyAlignment="1">
      <alignment horizontal="center"/>
    </xf>
    <xf numFmtId="164" fontId="0" fillId="19" borderId="0" xfId="0" applyNumberFormat="1" applyFill="1" applyAlignment="1">
      <alignment horizontal="center"/>
    </xf>
    <xf numFmtId="2" fontId="0" fillId="19" borderId="0" xfId="0" applyNumberFormat="1" applyFill="1" applyAlignment="1">
      <alignment horizontal="center"/>
    </xf>
    <xf numFmtId="1" fontId="0" fillId="19" borderId="68" xfId="0" applyNumberFormat="1" applyFill="1" applyBorder="1" applyAlignment="1">
      <alignment horizontal="center" wrapText="1"/>
    </xf>
    <xf numFmtId="0" fontId="0" fillId="19" borderId="18" xfId="0" applyFill="1" applyBorder="1" applyAlignment="1">
      <alignment horizontal="center"/>
    </xf>
    <xf numFmtId="164" fontId="0" fillId="19" borderId="19" xfId="0" applyNumberFormat="1" applyFill="1" applyBorder="1" applyAlignment="1">
      <alignment horizontal="center"/>
    </xf>
    <xf numFmtId="2" fontId="0" fillId="19" borderId="19" xfId="0" applyNumberFormat="1" applyFill="1" applyBorder="1" applyAlignment="1">
      <alignment horizontal="center"/>
    </xf>
    <xf numFmtId="1" fontId="0" fillId="19" borderId="19" xfId="0" applyNumberFormat="1" applyFill="1" applyBorder="1" applyAlignment="1">
      <alignment horizontal="center" wrapText="1"/>
    </xf>
    <xf numFmtId="1" fontId="0" fillId="19" borderId="67" xfId="0" applyNumberFormat="1" applyFill="1" applyBorder="1" applyAlignment="1">
      <alignment horizontal="center" wrapText="1"/>
    </xf>
    <xf numFmtId="2" fontId="0" fillId="0" borderId="3" xfId="0" applyNumberFormat="1" applyBorder="1" applyAlignment="1">
      <alignment horizontal="center"/>
    </xf>
    <xf numFmtId="2" fontId="0" fillId="0" borderId="10" xfId="0" applyNumberFormat="1" applyBorder="1" applyAlignment="1">
      <alignment horizontal="center"/>
    </xf>
    <xf numFmtId="0" fontId="9" fillId="0" borderId="65" xfId="0" applyFont="1" applyBorder="1" applyAlignment="1">
      <alignment horizontal="left" wrapText="1"/>
    </xf>
    <xf numFmtId="165" fontId="0" fillId="0" borderId="0" xfId="1" applyNumberFormat="1" applyFont="1" applyFill="1" applyBorder="1" applyAlignment="1">
      <alignment horizontal="left"/>
    </xf>
    <xf numFmtId="165" fontId="0" fillId="0" borderId="0" xfId="0" applyNumberFormat="1" applyAlignment="1">
      <alignment horizontal="left"/>
    </xf>
    <xf numFmtId="0" fontId="3" fillId="0" borderId="1" xfId="0" applyFont="1" applyBorder="1"/>
    <xf numFmtId="0" fontId="9" fillId="3" borderId="0" xfId="0" applyFont="1" applyFill="1" applyAlignment="1">
      <alignment horizontal="left"/>
    </xf>
    <xf numFmtId="2" fontId="0" fillId="0" borderId="8" xfId="0" applyNumberFormat="1" applyBorder="1" applyAlignment="1">
      <alignment horizontal="center"/>
    </xf>
    <xf numFmtId="0" fontId="3" fillId="0" borderId="9" xfId="0" applyFont="1" applyBorder="1" applyAlignment="1">
      <alignment horizontal="center" wrapText="1"/>
    </xf>
    <xf numFmtId="0" fontId="5" fillId="0" borderId="0" xfId="0" applyFont="1" applyAlignment="1">
      <alignment horizontal="center"/>
    </xf>
    <xf numFmtId="3" fontId="0" fillId="0" borderId="0" xfId="0" applyNumberFormat="1" applyAlignment="1">
      <alignment horizontal="left"/>
    </xf>
    <xf numFmtId="165" fontId="0" fillId="0" borderId="14" xfId="0" applyNumberFormat="1" applyBorder="1" applyAlignment="1">
      <alignment horizontal="center"/>
    </xf>
    <xf numFmtId="2" fontId="0" fillId="0" borderId="0" xfId="0" applyNumberFormat="1"/>
    <xf numFmtId="0" fontId="0" fillId="0" borderId="66" xfId="0" applyBorder="1" applyAlignment="1">
      <alignment horizontal="center"/>
    </xf>
    <xf numFmtId="9" fontId="0" fillId="0" borderId="0" xfId="2" applyFont="1" applyAlignment="1">
      <alignment horizontal="center"/>
    </xf>
    <xf numFmtId="0" fontId="9" fillId="0" borderId="65" xfId="0" applyFont="1" applyBorder="1" applyAlignment="1">
      <alignment wrapText="1"/>
    </xf>
    <xf numFmtId="0" fontId="5" fillId="0" borderId="66" xfId="0" applyFont="1" applyBorder="1"/>
    <xf numFmtId="0" fontId="5" fillId="0" borderId="10" xfId="0" applyFont="1" applyBorder="1"/>
    <xf numFmtId="0" fontId="9" fillId="0" borderId="66" xfId="0" applyFont="1" applyBorder="1" applyAlignment="1">
      <alignment wrapText="1"/>
    </xf>
    <xf numFmtId="0" fontId="0" fillId="0" borderId="19" xfId="0" applyBorder="1"/>
    <xf numFmtId="0" fontId="0" fillId="0" borderId="67" xfId="0" applyBorder="1"/>
    <xf numFmtId="165" fontId="0" fillId="0" borderId="15" xfId="0" applyNumberFormat="1" applyBorder="1" applyAlignment="1">
      <alignment horizontal="center"/>
    </xf>
    <xf numFmtId="2" fontId="5" fillId="0" borderId="0" xfId="0" applyNumberFormat="1" applyFont="1" applyAlignment="1">
      <alignment horizontal="center"/>
    </xf>
    <xf numFmtId="165" fontId="0" fillId="0" borderId="18" xfId="0" applyNumberFormat="1" applyBorder="1" applyAlignment="1">
      <alignment horizontal="center"/>
    </xf>
    <xf numFmtId="0" fontId="0" fillId="0" borderId="78" xfId="0" applyBorder="1" applyAlignment="1">
      <alignment horizontal="center"/>
    </xf>
    <xf numFmtId="165" fontId="0" fillId="0" borderId="19" xfId="0" applyNumberFormat="1" applyBorder="1" applyAlignment="1">
      <alignment horizontal="center"/>
    </xf>
    <xf numFmtId="3" fontId="0" fillId="0" borderId="19" xfId="0" applyNumberFormat="1" applyBorder="1" applyAlignment="1">
      <alignment horizontal="center"/>
    </xf>
    <xf numFmtId="2" fontId="5" fillId="0" borderId="19" xfId="0" applyNumberFormat="1" applyFont="1" applyBorder="1" applyAlignment="1">
      <alignment horizontal="center"/>
    </xf>
    <xf numFmtId="2" fontId="0" fillId="0" borderId="19" xfId="0" applyNumberFormat="1" applyBorder="1"/>
    <xf numFmtId="1" fontId="0" fillId="0" borderId="19" xfId="0" applyNumberFormat="1" applyBorder="1"/>
    <xf numFmtId="0" fontId="0" fillId="0" borderId="15" xfId="0" applyBorder="1"/>
    <xf numFmtId="0" fontId="0" fillId="0" borderId="68" xfId="0" applyBorder="1"/>
    <xf numFmtId="0" fontId="0" fillId="0" borderId="18" xfId="0" applyBorder="1"/>
    <xf numFmtId="3" fontId="0" fillId="0" borderId="14" xfId="0" applyNumberFormat="1" applyBorder="1" applyAlignment="1">
      <alignment horizontal="center"/>
    </xf>
    <xf numFmtId="0" fontId="9" fillId="4" borderId="65" xfId="0" applyFont="1" applyFill="1" applyBorder="1" applyAlignment="1">
      <alignment horizontal="left"/>
    </xf>
    <xf numFmtId="0" fontId="0" fillId="8" borderId="8" xfId="0" applyFill="1" applyBorder="1"/>
    <xf numFmtId="0" fontId="0" fillId="8" borderId="9" xfId="0" applyFill="1" applyBorder="1"/>
    <xf numFmtId="0" fontId="0" fillId="8" borderId="45" xfId="0" applyFill="1" applyBorder="1"/>
    <xf numFmtId="0" fontId="3" fillId="8" borderId="19" xfId="0" applyFont="1" applyFill="1" applyBorder="1" applyAlignment="1">
      <alignment horizontal="center" wrapText="1"/>
    </xf>
    <xf numFmtId="0" fontId="3" fillId="8" borderId="67" xfId="0" applyFont="1" applyFill="1" applyBorder="1" applyAlignment="1">
      <alignment horizontal="center" wrapText="1"/>
    </xf>
    <xf numFmtId="0" fontId="9" fillId="15" borderId="8" xfId="0" applyFont="1" applyFill="1" applyBorder="1" applyAlignment="1">
      <alignment horizontal="center"/>
    </xf>
    <xf numFmtId="0" fontId="9" fillId="15" borderId="9" xfId="0" applyFont="1" applyFill="1" applyBorder="1" applyAlignment="1">
      <alignment horizontal="center"/>
    </xf>
    <xf numFmtId="0" fontId="9" fillId="15" borderId="45" xfId="0" applyFont="1" applyFill="1" applyBorder="1" applyAlignment="1">
      <alignment horizontal="center"/>
    </xf>
    <xf numFmtId="165" fontId="0" fillId="0" borderId="68" xfId="0" applyNumberFormat="1" applyBorder="1" applyAlignment="1">
      <alignment horizontal="center"/>
    </xf>
    <xf numFmtId="0" fontId="3" fillId="15" borderId="19" xfId="0" applyFont="1" applyFill="1" applyBorder="1" applyAlignment="1">
      <alignment horizontal="center" wrapText="1"/>
    </xf>
    <xf numFmtId="165" fontId="0" fillId="0" borderId="8" xfId="0" applyNumberFormat="1" applyBorder="1" applyAlignment="1">
      <alignment horizontal="center"/>
    </xf>
    <xf numFmtId="165" fontId="0" fillId="0" borderId="45" xfId="0" applyNumberFormat="1" applyBorder="1" applyAlignment="1">
      <alignment horizontal="center"/>
    </xf>
    <xf numFmtId="0" fontId="9" fillId="8" borderId="18" xfId="0" applyFont="1" applyFill="1" applyBorder="1" applyAlignment="1">
      <alignment horizontal="center" wrapText="1"/>
    </xf>
    <xf numFmtId="0" fontId="9" fillId="15" borderId="18" xfId="0" applyFont="1" applyFill="1" applyBorder="1" applyAlignment="1">
      <alignment horizontal="center" wrapText="1"/>
    </xf>
    <xf numFmtId="0" fontId="3" fillId="9" borderId="65" xfId="0" applyFont="1" applyFill="1" applyBorder="1"/>
    <xf numFmtId="0" fontId="3" fillId="9" borderId="66" xfId="0" applyFont="1" applyFill="1" applyBorder="1"/>
    <xf numFmtId="0" fontId="0" fillId="20" borderId="8" xfId="0" applyFill="1" applyBorder="1"/>
    <xf numFmtId="0" fontId="0" fillId="20" borderId="9" xfId="0" applyFill="1" applyBorder="1"/>
    <xf numFmtId="0" fontId="0" fillId="20" borderId="45" xfId="0" applyFill="1" applyBorder="1"/>
    <xf numFmtId="0" fontId="9" fillId="20" borderId="18" xfId="0" applyFont="1" applyFill="1" applyBorder="1" applyAlignment="1">
      <alignment horizontal="center" wrapText="1"/>
    </xf>
    <xf numFmtId="0" fontId="3" fillId="20" borderId="19" xfId="0" applyFont="1" applyFill="1" applyBorder="1" applyAlignment="1">
      <alignment horizontal="center" wrapText="1"/>
    </xf>
    <xf numFmtId="0" fontId="3" fillId="20" borderId="67" xfId="0" applyFont="1" applyFill="1" applyBorder="1" applyAlignment="1">
      <alignment horizontal="center" wrapText="1"/>
    </xf>
    <xf numFmtId="0" fontId="3" fillId="0" borderId="19" xfId="0" applyFont="1" applyBorder="1" applyAlignment="1">
      <alignment horizontal="center" wrapText="1"/>
    </xf>
    <xf numFmtId="164" fontId="0" fillId="0" borderId="15" xfId="0" applyNumberFormat="1" applyBorder="1"/>
    <xf numFmtId="0" fontId="3" fillId="0" borderId="65" xfId="0" applyFont="1" applyBorder="1"/>
    <xf numFmtId="0" fontId="3" fillId="0" borderId="66" xfId="0" applyFont="1" applyBorder="1"/>
    <xf numFmtId="0" fontId="3" fillId="17" borderId="18" xfId="0" applyFont="1" applyFill="1" applyBorder="1" applyAlignment="1">
      <alignment horizontal="center" wrapText="1"/>
    </xf>
    <xf numFmtId="0" fontId="3" fillId="17" borderId="67" xfId="0" applyFont="1" applyFill="1" applyBorder="1" applyAlignment="1">
      <alignment horizontal="center" wrapText="1"/>
    </xf>
    <xf numFmtId="0" fontId="0" fillId="17" borderId="15" xfId="0" applyFill="1" applyBorder="1"/>
    <xf numFmtId="0" fontId="0" fillId="17" borderId="68" xfId="0" applyFill="1" applyBorder="1"/>
    <xf numFmtId="0" fontId="3" fillId="0" borderId="10" xfId="0" applyFont="1" applyBorder="1"/>
    <xf numFmtId="0" fontId="9" fillId="0" borderId="66" xfId="0" applyFont="1" applyBorder="1" applyAlignment="1">
      <alignment horizontal="center" wrapText="1"/>
    </xf>
    <xf numFmtId="0" fontId="3" fillId="5" borderId="66" xfId="0" applyFont="1" applyFill="1" applyBorder="1" applyAlignment="1">
      <alignment horizontal="center" wrapText="1"/>
    </xf>
    <xf numFmtId="0" fontId="3" fillId="5" borderId="10" xfId="0" applyFont="1" applyFill="1" applyBorder="1" applyAlignment="1">
      <alignment horizontal="center" wrapText="1"/>
    </xf>
    <xf numFmtId="0" fontId="3" fillId="5" borderId="66" xfId="0" applyFont="1" applyFill="1" applyBorder="1" applyAlignment="1">
      <alignment horizontal="center"/>
    </xf>
    <xf numFmtId="3" fontId="0" fillId="0" borderId="1" xfId="0" applyNumberFormat="1" applyBorder="1" applyAlignment="1">
      <alignment horizontal="center"/>
    </xf>
    <xf numFmtId="0" fontId="3" fillId="0" borderId="66" xfId="0" applyFont="1" applyBorder="1" applyAlignment="1">
      <alignment horizontal="center"/>
    </xf>
    <xf numFmtId="165" fontId="0" fillId="0" borderId="67" xfId="0" applyNumberFormat="1" applyBorder="1" applyAlignment="1">
      <alignment horizontal="center"/>
    </xf>
    <xf numFmtId="0" fontId="3" fillId="15" borderId="67" xfId="0" applyFont="1" applyFill="1" applyBorder="1" applyAlignment="1">
      <alignment horizontal="center" wrapText="1"/>
    </xf>
    <xf numFmtId="0" fontId="0" fillId="0" borderId="1" xfId="0" applyBorder="1"/>
    <xf numFmtId="0" fontId="9" fillId="0" borderId="0" xfId="0" applyFont="1" applyAlignment="1">
      <alignment horizontal="left" wrapText="1"/>
    </xf>
    <xf numFmtId="0" fontId="9" fillId="0" borderId="3" xfId="0" applyFont="1" applyBorder="1" applyAlignment="1">
      <alignment horizontal="center" wrapText="1"/>
    </xf>
    <xf numFmtId="2" fontId="0" fillId="0" borderId="13" xfId="0" applyNumberFormat="1" applyBorder="1" applyAlignment="1">
      <alignment horizontal="center"/>
    </xf>
    <xf numFmtId="0" fontId="9" fillId="3" borderId="8" xfId="0" applyFont="1" applyFill="1" applyBorder="1" applyAlignment="1">
      <alignment horizontal="left"/>
    </xf>
    <xf numFmtId="165" fontId="0" fillId="0" borderId="3" xfId="1" applyNumberFormat="1" applyFont="1" applyFill="1" applyBorder="1" applyAlignment="1">
      <alignment horizontal="center"/>
    </xf>
    <xf numFmtId="0" fontId="9" fillId="0" borderId="18" xfId="0" applyFont="1" applyBorder="1" applyAlignment="1">
      <alignment horizontal="left"/>
    </xf>
    <xf numFmtId="0" fontId="4" fillId="0" borderId="19" xfId="0" applyFont="1" applyBorder="1" applyAlignment="1">
      <alignment horizontal="center"/>
    </xf>
    <xf numFmtId="0" fontId="0" fillId="0" borderId="19" xfId="0" quotePrefix="1" applyBorder="1" applyAlignment="1">
      <alignment horizontal="center"/>
    </xf>
    <xf numFmtId="0" fontId="3" fillId="15" borderId="18" xfId="0" applyFont="1" applyFill="1" applyBorder="1" applyAlignment="1">
      <alignment horizontal="center" wrapText="1"/>
    </xf>
    <xf numFmtId="165" fontId="0" fillId="0" borderId="9" xfId="0" applyNumberFormat="1" applyBorder="1" applyAlignment="1">
      <alignment horizontal="center"/>
    </xf>
    <xf numFmtId="0" fontId="3" fillId="15" borderId="68" xfId="0" applyFont="1" applyFill="1" applyBorder="1" applyAlignment="1">
      <alignment horizontal="center" wrapText="1"/>
    </xf>
    <xf numFmtId="0" fontId="3" fillId="15" borderId="15" xfId="0" applyFont="1" applyFill="1" applyBorder="1" applyAlignment="1">
      <alignment horizontal="center" wrapText="1"/>
    </xf>
    <xf numFmtId="0" fontId="3" fillId="15" borderId="0" xfId="0" applyFont="1" applyFill="1" applyAlignment="1">
      <alignment horizontal="center" wrapText="1"/>
    </xf>
    <xf numFmtId="0" fontId="12" fillId="8" borderId="8" xfId="0" applyFont="1" applyFill="1" applyBorder="1" applyAlignment="1">
      <alignment horizontal="center"/>
    </xf>
    <xf numFmtId="0" fontId="12" fillId="8" borderId="9" xfId="0" applyFont="1" applyFill="1" applyBorder="1" applyAlignment="1">
      <alignment horizontal="center"/>
    </xf>
    <xf numFmtId="0" fontId="12" fillId="8" borderId="45" xfId="0" applyFont="1" applyFill="1" applyBorder="1" applyAlignment="1">
      <alignment horizontal="center"/>
    </xf>
    <xf numFmtId="0" fontId="11" fillId="8" borderId="15" xfId="0" applyFont="1" applyFill="1" applyBorder="1" applyAlignment="1">
      <alignment horizontal="center" wrapText="1"/>
    </xf>
    <xf numFmtId="0" fontId="11" fillId="8" borderId="0" xfId="0" applyFont="1" applyFill="1" applyAlignment="1">
      <alignment horizontal="center" wrapText="1"/>
    </xf>
    <xf numFmtId="0" fontId="11" fillId="8" borderId="68" xfId="0" applyFont="1" applyFill="1" applyBorder="1" applyAlignment="1">
      <alignment horizontal="center" wrapText="1"/>
    </xf>
    <xf numFmtId="0" fontId="11" fillId="8" borderId="18" xfId="0" applyFont="1" applyFill="1" applyBorder="1" applyAlignment="1">
      <alignment horizontal="center" wrapText="1"/>
    </xf>
    <xf numFmtId="0" fontId="11" fillId="8" borderId="19" xfId="0" applyFont="1" applyFill="1" applyBorder="1" applyAlignment="1">
      <alignment horizontal="center" wrapText="1"/>
    </xf>
    <xf numFmtId="0" fontId="11" fillId="8" borderId="67" xfId="0" applyFont="1" applyFill="1" applyBorder="1" applyAlignment="1">
      <alignment horizontal="center" wrapText="1"/>
    </xf>
    <xf numFmtId="0" fontId="3" fillId="5" borderId="65" xfId="0" applyFont="1" applyFill="1" applyBorder="1" applyAlignment="1">
      <alignment horizontal="center" wrapText="1"/>
    </xf>
    <xf numFmtId="165" fontId="0" fillId="0" borderId="3" xfId="0" applyNumberFormat="1" applyBorder="1" applyAlignment="1">
      <alignment horizontal="center"/>
    </xf>
    <xf numFmtId="0" fontId="12" fillId="20" borderId="8" xfId="0" applyFont="1" applyFill="1" applyBorder="1" applyAlignment="1">
      <alignment horizontal="center"/>
    </xf>
    <xf numFmtId="0" fontId="12" fillId="20" borderId="9" xfId="0" applyFont="1" applyFill="1" applyBorder="1" applyAlignment="1">
      <alignment horizontal="center"/>
    </xf>
    <xf numFmtId="0" fontId="12" fillId="20" borderId="45" xfId="0" applyFont="1" applyFill="1" applyBorder="1" applyAlignment="1">
      <alignment horizontal="center"/>
    </xf>
    <xf numFmtId="0" fontId="11" fillId="20" borderId="15" xfId="0" applyFont="1" applyFill="1" applyBorder="1" applyAlignment="1">
      <alignment horizontal="center" wrapText="1"/>
    </xf>
    <xf numFmtId="0" fontId="11" fillId="20" borderId="0" xfId="0" applyFont="1" applyFill="1" applyAlignment="1">
      <alignment horizontal="center" wrapText="1"/>
    </xf>
    <xf numFmtId="0" fontId="11" fillId="20" borderId="68" xfId="0" applyFont="1" applyFill="1" applyBorder="1" applyAlignment="1">
      <alignment horizontal="center" wrapText="1"/>
    </xf>
    <xf numFmtId="0" fontId="11" fillId="20" borderId="18" xfId="0" applyFont="1" applyFill="1" applyBorder="1" applyAlignment="1">
      <alignment horizontal="center" wrapText="1"/>
    </xf>
    <xf numFmtId="0" fontId="11" fillId="20" borderId="19" xfId="0" applyFont="1" applyFill="1" applyBorder="1" applyAlignment="1">
      <alignment horizontal="center" wrapText="1"/>
    </xf>
    <xf numFmtId="0" fontId="11" fillId="20" borderId="67" xfId="0" applyFont="1" applyFill="1" applyBorder="1" applyAlignment="1">
      <alignment horizontal="center" wrapText="1"/>
    </xf>
    <xf numFmtId="2" fontId="0" fillId="0" borderId="14" xfId="0" applyNumberFormat="1" applyBorder="1" applyAlignment="1">
      <alignment horizontal="center"/>
    </xf>
    <xf numFmtId="0" fontId="3" fillId="17" borderId="8" xfId="0" applyFont="1" applyFill="1" applyBorder="1" applyAlignment="1">
      <alignment horizontal="center"/>
    </xf>
    <xf numFmtId="0" fontId="3" fillId="17" borderId="45" xfId="0" applyFont="1" applyFill="1" applyBorder="1" applyAlignment="1">
      <alignment horizontal="center"/>
    </xf>
    <xf numFmtId="0" fontId="9" fillId="0" borderId="15" xfId="0" applyFont="1" applyBorder="1" applyAlignment="1">
      <alignment horizontal="left" wrapText="1"/>
    </xf>
    <xf numFmtId="0" fontId="9" fillId="0" borderId="16" xfId="0" applyFont="1" applyBorder="1" applyAlignment="1">
      <alignment horizontal="left"/>
    </xf>
    <xf numFmtId="0" fontId="9" fillId="15" borderId="65" xfId="0" applyFont="1" applyFill="1" applyBorder="1" applyAlignment="1">
      <alignment horizontal="center" wrapText="1"/>
    </xf>
    <xf numFmtId="0" fontId="9" fillId="15" borderId="1" xfId="0" applyFont="1" applyFill="1" applyBorder="1" applyAlignment="1">
      <alignment horizontal="center" wrapText="1"/>
    </xf>
    <xf numFmtId="0" fontId="9" fillId="0" borderId="65" xfId="0" applyFont="1" applyBorder="1" applyAlignment="1">
      <alignment horizontal="center" wrapText="1"/>
    </xf>
    <xf numFmtId="164" fontId="0" fillId="0" borderId="15" xfId="0" applyNumberFormat="1" applyBorder="1" applyAlignment="1">
      <alignment horizontal="center"/>
    </xf>
    <xf numFmtId="0" fontId="9" fillId="5" borderId="1" xfId="0" applyFont="1" applyFill="1" applyBorder="1" applyAlignment="1">
      <alignment horizontal="center" wrapText="1"/>
    </xf>
    <xf numFmtId="164" fontId="0" fillId="0" borderId="45" xfId="0" applyNumberFormat="1" applyBorder="1" applyAlignment="1">
      <alignment horizontal="center"/>
    </xf>
    <xf numFmtId="164" fontId="0" fillId="0" borderId="8" xfId="0" applyNumberFormat="1" applyBorder="1" applyAlignment="1">
      <alignment horizontal="center"/>
    </xf>
    <xf numFmtId="164" fontId="0" fillId="0" borderId="3" xfId="0" applyNumberFormat="1" applyBorder="1" applyAlignment="1">
      <alignment horizontal="center"/>
    </xf>
    <xf numFmtId="164" fontId="0" fillId="0" borderId="68" xfId="0" applyNumberFormat="1" applyBorder="1" applyAlignment="1">
      <alignment horizontal="center"/>
    </xf>
    <xf numFmtId="164" fontId="0" fillId="0" borderId="18" xfId="0" applyNumberFormat="1" applyBorder="1" applyAlignment="1">
      <alignment horizontal="center"/>
    </xf>
    <xf numFmtId="164" fontId="0" fillId="0" borderId="67" xfId="0" applyNumberFormat="1" applyBorder="1" applyAlignment="1">
      <alignment horizontal="center"/>
    </xf>
    <xf numFmtId="164" fontId="0" fillId="0" borderId="14" xfId="0" applyNumberFormat="1" applyBorder="1" applyAlignment="1">
      <alignment horizontal="center"/>
    </xf>
    <xf numFmtId="0" fontId="11" fillId="0" borderId="18" xfId="0" applyFont="1" applyBorder="1" applyAlignment="1">
      <alignment horizontal="center" wrapText="1"/>
    </xf>
    <xf numFmtId="0" fontId="11" fillId="0" borderId="19" xfId="0" applyFont="1" applyBorder="1" applyAlignment="1">
      <alignment horizontal="center" wrapText="1"/>
    </xf>
    <xf numFmtId="0" fontId="11" fillId="0" borderId="67" xfId="0" applyFont="1" applyBorder="1" applyAlignment="1">
      <alignment horizontal="center" wrapText="1"/>
    </xf>
    <xf numFmtId="0" fontId="9" fillId="0" borderId="18" xfId="0" applyFont="1" applyBorder="1" applyAlignment="1">
      <alignment horizontal="center" wrapText="1"/>
    </xf>
    <xf numFmtId="0" fontId="9" fillId="0" borderId="14" xfId="0" applyFont="1" applyBorder="1" applyAlignment="1">
      <alignment horizontal="center" wrapText="1"/>
    </xf>
    <xf numFmtId="0" fontId="11" fillId="0" borderId="65" xfId="0" applyFont="1" applyBorder="1" applyAlignment="1">
      <alignment horizontal="center" wrapText="1"/>
    </xf>
    <xf numFmtId="0" fontId="11" fillId="0" borderId="66" xfId="0" applyFont="1" applyBorder="1" applyAlignment="1">
      <alignment horizontal="center" wrapText="1"/>
    </xf>
    <xf numFmtId="0" fontId="11" fillId="0" borderId="10" xfId="0" applyFont="1" applyBorder="1" applyAlignment="1">
      <alignment horizontal="center" wrapText="1"/>
    </xf>
    <xf numFmtId="0" fontId="11" fillId="20" borderId="10" xfId="0" applyFont="1" applyFill="1" applyBorder="1" applyAlignment="1">
      <alignment horizontal="center" wrapText="1"/>
    </xf>
    <xf numFmtId="164" fontId="0" fillId="5" borderId="1" xfId="0" applyNumberFormat="1" applyFill="1" applyBorder="1" applyAlignment="1">
      <alignment horizontal="center"/>
    </xf>
    <xf numFmtId="0" fontId="0" fillId="21" borderId="19" xfId="0" applyFill="1" applyBorder="1" applyAlignment="1">
      <alignment horizontal="left"/>
    </xf>
    <xf numFmtId="0" fontId="0" fillId="21" borderId="18" xfId="0" applyFill="1" applyBorder="1" applyAlignment="1">
      <alignment horizontal="left"/>
    </xf>
    <xf numFmtId="0" fontId="0" fillId="21" borderId="15" xfId="0" applyFill="1" applyBorder="1" applyAlignment="1">
      <alignment horizontal="left"/>
    </xf>
    <xf numFmtId="0" fontId="0" fillId="21" borderId="0" xfId="0" applyFill="1" applyAlignment="1">
      <alignment horizontal="left"/>
    </xf>
    <xf numFmtId="165" fontId="0" fillId="21" borderId="0" xfId="0" applyNumberFormat="1" applyFill="1" applyAlignment="1">
      <alignment horizontal="left"/>
    </xf>
    <xf numFmtId="164" fontId="0" fillId="21" borderId="8" xfId="0" applyNumberFormat="1" applyFill="1" applyBorder="1" applyAlignment="1">
      <alignment horizontal="center"/>
    </xf>
    <xf numFmtId="0" fontId="0" fillId="21" borderId="3" xfId="0" applyFill="1" applyBorder="1" applyAlignment="1">
      <alignment horizontal="center"/>
    </xf>
    <xf numFmtId="0" fontId="0" fillId="21" borderId="15" xfId="0" applyFill="1" applyBorder="1" applyAlignment="1">
      <alignment horizontal="center"/>
    </xf>
    <xf numFmtId="164" fontId="0" fillId="21" borderId="13" xfId="0" applyNumberFormat="1" applyFill="1" applyBorder="1" applyAlignment="1">
      <alignment horizontal="center"/>
    </xf>
    <xf numFmtId="164" fontId="0" fillId="21" borderId="15" xfId="0" applyNumberFormat="1" applyFill="1" applyBorder="1" applyAlignment="1">
      <alignment horizontal="center"/>
    </xf>
    <xf numFmtId="0" fontId="0" fillId="21" borderId="13" xfId="0" applyFill="1" applyBorder="1" applyAlignment="1">
      <alignment horizontal="center"/>
    </xf>
    <xf numFmtId="0" fontId="0" fillId="21" borderId="15" xfId="0" applyFill="1" applyBorder="1"/>
    <xf numFmtId="0" fontId="0" fillId="21" borderId="14" xfId="0" applyFill="1" applyBorder="1"/>
    <xf numFmtId="0" fontId="4" fillId="0" borderId="0" xfId="0" applyFont="1"/>
    <xf numFmtId="0" fontId="3" fillId="14" borderId="1" xfId="0" applyFont="1" applyFill="1" applyBorder="1" applyAlignment="1">
      <alignment horizontal="center" wrapText="1"/>
    </xf>
    <xf numFmtId="1" fontId="0" fillId="14" borderId="13" xfId="0" applyNumberFormat="1" applyFill="1" applyBorder="1" applyAlignment="1">
      <alignment horizontal="center"/>
    </xf>
    <xf numFmtId="168" fontId="0" fillId="0" borderId="0" xfId="0" applyNumberFormat="1" applyAlignment="1">
      <alignment horizontal="center"/>
    </xf>
    <xf numFmtId="0" fontId="0" fillId="0" borderId="9" xfId="0" applyBorder="1" applyAlignment="1">
      <alignment horizontal="center" wrapText="1"/>
    </xf>
    <xf numFmtId="0" fontId="3" fillId="0" borderId="40" xfId="0" applyFont="1" applyBorder="1" applyAlignment="1">
      <alignment horizontal="center"/>
    </xf>
    <xf numFmtId="0" fontId="0" fillId="0" borderId="33" xfId="0" applyBorder="1" applyAlignment="1">
      <alignment horizontal="center"/>
    </xf>
    <xf numFmtId="0" fontId="3" fillId="0" borderId="35" xfId="0" applyFont="1" applyBorder="1" applyAlignment="1">
      <alignment horizontal="center"/>
    </xf>
    <xf numFmtId="0" fontId="3" fillId="5" borderId="1" xfId="0" applyFont="1" applyFill="1" applyBorder="1" applyAlignment="1">
      <alignment horizontal="center" wrapText="1"/>
    </xf>
    <xf numFmtId="0" fontId="9" fillId="0" borderId="0" xfId="0" applyFont="1" applyAlignment="1">
      <alignment horizontal="left"/>
    </xf>
    <xf numFmtId="0" fontId="0" fillId="0" borderId="80" xfId="0" applyBorder="1" applyAlignment="1">
      <alignment horizontal="center"/>
    </xf>
    <xf numFmtId="0" fontId="9" fillId="0" borderId="45" xfId="0" applyFont="1" applyBorder="1" applyAlignment="1">
      <alignment horizontal="center" wrapText="1"/>
    </xf>
    <xf numFmtId="0" fontId="3" fillId="5" borderId="1" xfId="0" applyFont="1" applyFill="1" applyBorder="1" applyAlignment="1">
      <alignment horizontal="center"/>
    </xf>
    <xf numFmtId="1" fontId="0" fillId="0" borderId="14" xfId="0" applyNumberFormat="1" applyBorder="1" applyAlignment="1">
      <alignment horizontal="center"/>
    </xf>
    <xf numFmtId="0" fontId="3" fillId="9" borderId="1" xfId="0" applyFont="1" applyFill="1" applyBorder="1" applyAlignment="1">
      <alignment horizontal="center" wrapText="1"/>
    </xf>
    <xf numFmtId="0" fontId="3" fillId="0" borderId="66" xfId="0" applyFont="1" applyBorder="1" applyAlignment="1">
      <alignment horizontal="right"/>
    </xf>
    <xf numFmtId="0" fontId="3" fillId="0" borderId="10" xfId="0" applyFont="1" applyBorder="1" applyAlignment="1">
      <alignment horizontal="right"/>
    </xf>
    <xf numFmtId="0" fontId="0" fillId="24" borderId="13" xfId="0" applyFill="1" applyBorder="1" applyAlignment="1" applyProtection="1">
      <alignment horizontal="center"/>
      <protection locked="0"/>
    </xf>
    <xf numFmtId="164" fontId="0" fillId="24" borderId="3" xfId="0" applyNumberFormat="1" applyFill="1" applyBorder="1" applyAlignment="1" applyProtection="1">
      <alignment horizontal="center"/>
      <protection locked="0"/>
    </xf>
    <xf numFmtId="2" fontId="0" fillId="24" borderId="13" xfId="0" applyNumberFormat="1" applyFill="1" applyBorder="1" applyAlignment="1" applyProtection="1">
      <alignment horizontal="center"/>
      <protection locked="0"/>
    </xf>
    <xf numFmtId="2" fontId="0" fillId="24" borderId="13" xfId="1" applyNumberFormat="1" applyFont="1" applyFill="1" applyBorder="1" applyAlignment="1" applyProtection="1">
      <alignment horizontal="center"/>
      <protection locked="0"/>
    </xf>
    <xf numFmtId="2" fontId="0" fillId="24" borderId="3" xfId="1" applyNumberFormat="1" applyFont="1" applyFill="1" applyBorder="1" applyAlignment="1" applyProtection="1">
      <alignment horizontal="center"/>
      <protection locked="0"/>
    </xf>
    <xf numFmtId="1" fontId="0" fillId="24" borderId="13" xfId="0" applyNumberFormat="1" applyFill="1" applyBorder="1" applyAlignment="1" applyProtection="1">
      <alignment horizontal="center"/>
      <protection locked="0"/>
    </xf>
    <xf numFmtId="2" fontId="0" fillId="24" borderId="3" xfId="0" applyNumberFormat="1" applyFill="1" applyBorder="1" applyAlignment="1" applyProtection="1">
      <alignment horizontal="center"/>
      <protection locked="0"/>
    </xf>
    <xf numFmtId="2" fontId="0" fillId="24" borderId="14" xfId="0" applyNumberFormat="1" applyFill="1" applyBorder="1" applyAlignment="1" applyProtection="1">
      <alignment horizontal="center"/>
      <protection locked="0"/>
    </xf>
    <xf numFmtId="165" fontId="0" fillId="24" borderId="13" xfId="0" applyNumberFormat="1" applyFill="1" applyBorder="1" applyAlignment="1" applyProtection="1">
      <alignment horizontal="center"/>
      <protection locked="0"/>
    </xf>
    <xf numFmtId="3" fontId="0" fillId="24" borderId="3" xfId="0" applyNumberFormat="1" applyFill="1" applyBorder="1" applyAlignment="1" applyProtection="1">
      <alignment horizontal="center"/>
      <protection locked="0"/>
    </xf>
    <xf numFmtId="3" fontId="0" fillId="24" borderId="13" xfId="0" applyNumberFormat="1" applyFill="1" applyBorder="1" applyAlignment="1" applyProtection="1">
      <alignment horizontal="center"/>
      <protection locked="0"/>
    </xf>
    <xf numFmtId="167" fontId="0" fillId="24" borderId="13" xfId="0" applyNumberFormat="1" applyFill="1" applyBorder="1" applyAlignment="1" applyProtection="1">
      <alignment horizontal="center"/>
      <protection locked="0"/>
    </xf>
    <xf numFmtId="0" fontId="0" fillId="24" borderId="14" xfId="0" applyFill="1" applyBorder="1" applyAlignment="1" applyProtection="1">
      <alignment horizontal="center"/>
      <protection locked="0"/>
    </xf>
    <xf numFmtId="0" fontId="9" fillId="3" borderId="72" xfId="0" applyFont="1" applyFill="1" applyBorder="1" applyAlignment="1">
      <alignment horizontal="center"/>
    </xf>
    <xf numFmtId="0" fontId="9" fillId="3" borderId="73" xfId="0" applyFont="1" applyFill="1" applyBorder="1" applyAlignment="1">
      <alignment horizontal="center"/>
    </xf>
    <xf numFmtId="0" fontId="9" fillId="3" borderId="74" xfId="0" applyFont="1" applyFill="1" applyBorder="1" applyAlignment="1">
      <alignment horizontal="center"/>
    </xf>
    <xf numFmtId="0" fontId="0" fillId="0" borderId="79" xfId="0" applyBorder="1" applyAlignment="1">
      <alignment horizontal="center"/>
    </xf>
    <xf numFmtId="0" fontId="0" fillId="0" borderId="41" xfId="0" applyBorder="1" applyAlignment="1">
      <alignment horizontal="center"/>
    </xf>
    <xf numFmtId="0" fontId="0" fillId="0" borderId="34" xfId="0" applyBorder="1" applyAlignment="1">
      <alignment horizontal="center"/>
    </xf>
    <xf numFmtId="0" fontId="0" fillId="0" borderId="35" xfId="0" applyBorder="1" applyAlignment="1">
      <alignment horizontal="center"/>
    </xf>
    <xf numFmtId="0" fontId="0" fillId="0" borderId="36" xfId="0" applyBorder="1" applyAlignment="1">
      <alignment horizontal="center"/>
    </xf>
    <xf numFmtId="0" fontId="0" fillId="0" borderId="37" xfId="0" applyBorder="1" applyAlignment="1">
      <alignment horizontal="center"/>
    </xf>
    <xf numFmtId="0" fontId="0" fillId="0" borderId="40" xfId="0" applyBorder="1" applyAlignment="1">
      <alignment horizontal="center"/>
    </xf>
    <xf numFmtId="0" fontId="0" fillId="0" borderId="40" xfId="0" applyBorder="1" applyAlignment="1">
      <alignment horizontal="center" vertical="top"/>
    </xf>
    <xf numFmtId="0" fontId="0" fillId="0" borderId="79" xfId="0" applyBorder="1" applyAlignment="1">
      <alignment horizontal="center" vertical="top"/>
    </xf>
    <xf numFmtId="0" fontId="0" fillId="0" borderId="41" xfId="0" applyBorder="1" applyAlignment="1">
      <alignment horizontal="center" vertical="top"/>
    </xf>
    <xf numFmtId="0" fontId="0" fillId="0" borderId="33" xfId="0" applyBorder="1" applyAlignment="1">
      <alignment horizontal="center" vertical="top"/>
    </xf>
    <xf numFmtId="0" fontId="0" fillId="0" borderId="32" xfId="0" applyBorder="1" applyAlignment="1">
      <alignment horizontal="center" vertical="top"/>
    </xf>
    <xf numFmtId="0" fontId="0" fillId="0" borderId="35" xfId="0" applyBorder="1" applyAlignment="1">
      <alignment horizontal="center" vertical="top"/>
    </xf>
    <xf numFmtId="0" fontId="0" fillId="0" borderId="36" xfId="0" applyBorder="1" applyAlignment="1">
      <alignment horizontal="center" vertical="top"/>
    </xf>
    <xf numFmtId="0" fontId="0" fillId="0" borderId="37" xfId="0" applyBorder="1" applyAlignment="1">
      <alignment horizontal="center" vertical="top"/>
    </xf>
    <xf numFmtId="0" fontId="5" fillId="0" borderId="0" xfId="0" applyFont="1" applyAlignment="1">
      <alignment wrapText="1"/>
    </xf>
    <xf numFmtId="0" fontId="0" fillId="0" borderId="76" xfId="0" applyBorder="1" applyAlignment="1">
      <alignment horizontal="center" vertical="top"/>
    </xf>
    <xf numFmtId="0" fontId="0" fillId="0" borderId="62" xfId="0" applyBorder="1" applyAlignment="1">
      <alignment horizontal="center" vertical="top"/>
    </xf>
    <xf numFmtId="0" fontId="0" fillId="0" borderId="76" xfId="0" applyBorder="1" applyAlignment="1">
      <alignment horizontal="center"/>
    </xf>
    <xf numFmtId="0" fontId="0" fillId="0" borderId="63" xfId="0" applyBorder="1" applyAlignment="1">
      <alignment horizontal="center"/>
    </xf>
    <xf numFmtId="0" fontId="9" fillId="3" borderId="83" xfId="0" applyFont="1" applyFill="1" applyBorder="1" applyAlignment="1">
      <alignment horizontal="center"/>
    </xf>
    <xf numFmtId="0" fontId="9" fillId="3" borderId="84" xfId="0" applyFont="1" applyFill="1" applyBorder="1" applyAlignment="1">
      <alignment horizontal="center"/>
    </xf>
    <xf numFmtId="0" fontId="0" fillId="0" borderId="69" xfId="0" applyBorder="1" applyAlignment="1">
      <alignment horizontal="center"/>
    </xf>
    <xf numFmtId="0" fontId="0" fillId="0" borderId="80" xfId="0" applyBorder="1" applyAlignment="1">
      <alignment horizontal="center" vertical="top"/>
    </xf>
    <xf numFmtId="0" fontId="0" fillId="0" borderId="70" xfId="0" applyBorder="1" applyAlignment="1">
      <alignment horizontal="center" vertical="top"/>
    </xf>
    <xf numFmtId="0" fontId="0" fillId="0" borderId="4" xfId="0" applyBorder="1" applyAlignment="1">
      <alignment horizontal="center" vertical="top"/>
    </xf>
    <xf numFmtId="0" fontId="9" fillId="3" borderId="75" xfId="0" applyFont="1" applyFill="1" applyBorder="1" applyAlignment="1">
      <alignment horizontal="center"/>
    </xf>
    <xf numFmtId="0" fontId="9" fillId="3" borderId="82" xfId="0" applyFont="1" applyFill="1" applyBorder="1" applyAlignment="1">
      <alignment horizontal="center"/>
    </xf>
    <xf numFmtId="0" fontId="0" fillId="0" borderId="81" xfId="0" applyBorder="1" applyAlignment="1">
      <alignment horizontal="center"/>
    </xf>
    <xf numFmtId="0" fontId="0" fillId="0" borderId="85" xfId="0" applyBorder="1" applyAlignment="1">
      <alignment horizontal="center"/>
    </xf>
    <xf numFmtId="0" fontId="9" fillId="3" borderId="86" xfId="0" applyFont="1" applyFill="1" applyBorder="1" applyAlignment="1">
      <alignment horizontal="center"/>
    </xf>
    <xf numFmtId="1" fontId="0" fillId="0" borderId="33" xfId="0" applyNumberFormat="1" applyBorder="1" applyAlignment="1">
      <alignment horizontal="center"/>
    </xf>
    <xf numFmtId="165" fontId="0" fillId="0" borderId="32" xfId="0" applyNumberFormat="1" applyBorder="1" applyAlignment="1">
      <alignment horizontal="center" vertical="top"/>
    </xf>
    <xf numFmtId="2" fontId="0" fillId="0" borderId="32" xfId="0" applyNumberFormat="1" applyBorder="1" applyAlignment="1">
      <alignment horizontal="center"/>
    </xf>
    <xf numFmtId="1" fontId="0" fillId="0" borderId="32" xfId="0" applyNumberFormat="1" applyBorder="1" applyAlignment="1">
      <alignment horizontal="center"/>
    </xf>
    <xf numFmtId="164" fontId="0" fillId="0" borderId="32" xfId="0" applyNumberFormat="1" applyBorder="1" applyAlignment="1">
      <alignment horizontal="center"/>
    </xf>
    <xf numFmtId="0" fontId="0" fillId="0" borderId="0" xfId="0" applyAlignment="1">
      <alignment horizontal="center" vertical="top"/>
    </xf>
    <xf numFmtId="1" fontId="0" fillId="5" borderId="32" xfId="0" applyNumberFormat="1" applyFill="1" applyBorder="1" applyAlignment="1">
      <alignment horizontal="center"/>
    </xf>
    <xf numFmtId="1" fontId="0" fillId="24" borderId="3" xfId="0" applyNumberFormat="1" applyFill="1" applyBorder="1" applyAlignment="1" applyProtection="1">
      <alignment horizontal="center"/>
      <protection locked="0"/>
    </xf>
    <xf numFmtId="1" fontId="0" fillId="14" borderId="1" xfId="0" applyNumberFormat="1" applyFill="1" applyBorder="1" applyAlignment="1">
      <alignment horizontal="center"/>
    </xf>
    <xf numFmtId="1" fontId="0" fillId="7" borderId="13" xfId="0" applyNumberFormat="1" applyFill="1" applyBorder="1" applyAlignment="1">
      <alignment horizontal="center"/>
    </xf>
    <xf numFmtId="1" fontId="0" fillId="7" borderId="1" xfId="0" applyNumberFormat="1" applyFill="1" applyBorder="1" applyAlignment="1">
      <alignment horizontal="center"/>
    </xf>
    <xf numFmtId="0" fontId="3" fillId="7" borderId="1" xfId="0" applyFont="1" applyFill="1" applyBorder="1" applyAlignment="1">
      <alignment horizontal="center" wrapText="1"/>
    </xf>
    <xf numFmtId="0" fontId="3" fillId="14" borderId="8" xfId="0" applyFont="1" applyFill="1" applyBorder="1" applyAlignment="1">
      <alignment horizontal="center"/>
    </xf>
    <xf numFmtId="0" fontId="3" fillId="7" borderId="45" xfId="0" applyFont="1" applyFill="1" applyBorder="1" applyAlignment="1">
      <alignment horizontal="center"/>
    </xf>
    <xf numFmtId="0" fontId="3" fillId="14" borderId="18" xfId="0" applyFont="1" applyFill="1" applyBorder="1" applyAlignment="1">
      <alignment horizontal="center" wrapText="1"/>
    </xf>
    <xf numFmtId="0" fontId="3" fillId="7" borderId="67" xfId="0" applyFont="1" applyFill="1" applyBorder="1" applyAlignment="1">
      <alignment horizontal="center" wrapText="1"/>
    </xf>
    <xf numFmtId="1" fontId="0" fillId="19" borderId="0" xfId="0" applyNumberFormat="1" applyFill="1" applyAlignment="1">
      <alignment horizontal="center" wrapText="1"/>
    </xf>
    <xf numFmtId="0" fontId="3" fillId="19" borderId="65" xfId="0" applyFont="1" applyFill="1" applyBorder="1" applyAlignment="1">
      <alignment horizontal="center" wrapText="1"/>
    </xf>
    <xf numFmtId="0" fontId="0" fillId="0" borderId="0" xfId="0" applyAlignment="1">
      <alignment horizontal="center" wrapText="1"/>
    </xf>
    <xf numFmtId="0" fontId="0" fillId="0" borderId="13" xfId="0" applyBorder="1" applyAlignment="1">
      <alignment horizontal="center" wrapText="1"/>
    </xf>
    <xf numFmtId="0" fontId="0" fillId="0" borderId="3" xfId="0" applyBorder="1" applyAlignment="1">
      <alignment horizontal="center" wrapText="1"/>
    </xf>
    <xf numFmtId="0" fontId="3" fillId="0" borderId="65" xfId="0" applyFont="1" applyBorder="1" applyAlignment="1">
      <alignment horizontal="left"/>
    </xf>
    <xf numFmtId="0" fontId="11" fillId="20" borderId="8" xfId="0" applyFont="1" applyFill="1" applyBorder="1" applyAlignment="1">
      <alignment horizontal="left"/>
    </xf>
    <xf numFmtId="0" fontId="11" fillId="20" borderId="9" xfId="0" applyFont="1" applyFill="1" applyBorder="1" applyAlignment="1">
      <alignment horizontal="left"/>
    </xf>
    <xf numFmtId="0" fontId="3" fillId="10" borderId="18" xfId="0" applyFont="1" applyFill="1" applyBorder="1" applyAlignment="1">
      <alignment horizontal="left"/>
    </xf>
    <xf numFmtId="0" fontId="3" fillId="10" borderId="19" xfId="0" applyFont="1" applyFill="1" applyBorder="1" applyAlignment="1">
      <alignment horizontal="left"/>
    </xf>
    <xf numFmtId="0" fontId="3" fillId="10" borderId="67" xfId="0" applyFont="1" applyFill="1" applyBorder="1" applyAlignment="1">
      <alignment horizontal="left"/>
    </xf>
    <xf numFmtId="0" fontId="0" fillId="21" borderId="0" xfId="0" applyFill="1"/>
    <xf numFmtId="164" fontId="0" fillId="21" borderId="0" xfId="0" applyNumberFormat="1" applyFill="1" applyAlignment="1">
      <alignment horizontal="center"/>
    </xf>
    <xf numFmtId="0" fontId="0" fillId="0" borderId="13" xfId="0" applyBorder="1"/>
    <xf numFmtId="0" fontId="0" fillId="21" borderId="0" xfId="0" applyFill="1" applyAlignment="1">
      <alignment horizontal="center"/>
    </xf>
    <xf numFmtId="164" fontId="0" fillId="21" borderId="19" xfId="0" applyNumberFormat="1" applyFill="1" applyBorder="1" applyAlignment="1">
      <alignment horizontal="center"/>
    </xf>
    <xf numFmtId="0" fontId="11" fillId="20" borderId="45" xfId="0" applyFont="1" applyFill="1" applyBorder="1" applyAlignment="1">
      <alignment horizontal="left"/>
    </xf>
    <xf numFmtId="0" fontId="0" fillId="21" borderId="68" xfId="0" applyFill="1" applyBorder="1" applyAlignment="1">
      <alignment horizontal="left"/>
    </xf>
    <xf numFmtId="0" fontId="3" fillId="15" borderId="65" xfId="0" applyFont="1" applyFill="1" applyBorder="1"/>
    <xf numFmtId="0" fontId="3" fillId="15" borderId="66" xfId="0" applyFont="1" applyFill="1" applyBorder="1"/>
    <xf numFmtId="0" fontId="3" fillId="15" borderId="10" xfId="0" applyFont="1" applyFill="1" applyBorder="1"/>
    <xf numFmtId="0" fontId="3" fillId="18" borderId="65" xfId="0" applyFont="1" applyFill="1" applyBorder="1"/>
    <xf numFmtId="0" fontId="3" fillId="18" borderId="66" xfId="0" applyFont="1" applyFill="1" applyBorder="1"/>
    <xf numFmtId="0" fontId="3" fillId="18" borderId="10" xfId="0" applyFont="1" applyFill="1" applyBorder="1"/>
    <xf numFmtId="0" fontId="3" fillId="7" borderId="65" xfId="0" applyFont="1" applyFill="1" applyBorder="1"/>
    <xf numFmtId="0" fontId="3" fillId="7" borderId="66" xfId="0" applyFont="1" applyFill="1" applyBorder="1"/>
    <xf numFmtId="0" fontId="3" fillId="7" borderId="10" xfId="0" applyFont="1" applyFill="1" applyBorder="1"/>
    <xf numFmtId="0" fontId="3" fillId="14" borderId="65" xfId="0" applyFont="1" applyFill="1" applyBorder="1"/>
    <xf numFmtId="0" fontId="3" fillId="14" borderId="66" xfId="0" applyFont="1" applyFill="1" applyBorder="1"/>
    <xf numFmtId="0" fontId="3" fillId="14" borderId="10" xfId="0" applyFont="1" applyFill="1" applyBorder="1"/>
    <xf numFmtId="0" fontId="3" fillId="22" borderId="65" xfId="0" applyFont="1" applyFill="1" applyBorder="1"/>
    <xf numFmtId="0" fontId="3" fillId="22" borderId="66" xfId="0" applyFont="1" applyFill="1" applyBorder="1"/>
    <xf numFmtId="0" fontId="3" fillId="22" borderId="10" xfId="0" applyFont="1" applyFill="1" applyBorder="1"/>
    <xf numFmtId="0" fontId="3" fillId="10" borderId="65" xfId="0" applyFont="1" applyFill="1" applyBorder="1"/>
    <xf numFmtId="0" fontId="3" fillId="10" borderId="66" xfId="0" applyFont="1" applyFill="1" applyBorder="1"/>
    <xf numFmtId="0" fontId="3" fillId="10" borderId="10" xfId="0" applyFont="1" applyFill="1" applyBorder="1"/>
    <xf numFmtId="0" fontId="3" fillId="0" borderId="65" xfId="0" applyFont="1" applyBorder="1" applyAlignment="1">
      <alignment horizontal="left" wrapText="1"/>
    </xf>
    <xf numFmtId="0" fontId="9" fillId="4" borderId="8" xfId="0" applyFont="1" applyFill="1" applyBorder="1" applyAlignment="1">
      <alignment horizontal="left"/>
    </xf>
    <xf numFmtId="0" fontId="5" fillId="0" borderId="15" xfId="0" quotePrefix="1" applyFont="1" applyBorder="1" applyAlignment="1">
      <alignment horizontal="left"/>
    </xf>
    <xf numFmtId="0" fontId="0" fillId="0" borderId="68" xfId="0" quotePrefix="1" applyBorder="1" applyAlignment="1">
      <alignment horizontal="center"/>
    </xf>
    <xf numFmtId="0" fontId="5" fillId="0" borderId="18" xfId="0" applyFont="1" applyBorder="1" applyAlignment="1">
      <alignment horizontal="left"/>
    </xf>
    <xf numFmtId="0" fontId="0" fillId="0" borderId="67" xfId="0" quotePrefix="1" applyBorder="1" applyAlignment="1">
      <alignment horizontal="center"/>
    </xf>
    <xf numFmtId="0" fontId="0" fillId="0" borderId="45" xfId="0" quotePrefix="1" applyBorder="1" applyAlignment="1">
      <alignment horizontal="center"/>
    </xf>
    <xf numFmtId="0" fontId="0" fillId="21" borderId="8" xfId="0" applyFill="1" applyBorder="1" applyAlignment="1">
      <alignment horizontal="left"/>
    </xf>
    <xf numFmtId="0" fontId="0" fillId="21" borderId="9" xfId="0" applyFill="1" applyBorder="1" applyAlignment="1">
      <alignment horizontal="left"/>
    </xf>
    <xf numFmtId="165" fontId="0" fillId="21" borderId="9" xfId="0" applyNumberFormat="1" applyFill="1" applyBorder="1" applyAlignment="1">
      <alignment horizontal="left"/>
    </xf>
    <xf numFmtId="165" fontId="0" fillId="21" borderId="19" xfId="0" applyNumberFormat="1" applyFill="1" applyBorder="1" applyAlignment="1">
      <alignment horizontal="left"/>
    </xf>
    <xf numFmtId="0" fontId="3" fillId="23" borderId="65" xfId="0" applyFont="1" applyFill="1" applyBorder="1" applyAlignment="1">
      <alignment horizontal="left"/>
    </xf>
    <xf numFmtId="0" fontId="3" fillId="23" borderId="66" xfId="0" applyFont="1" applyFill="1" applyBorder="1" applyAlignment="1">
      <alignment horizontal="left"/>
    </xf>
    <xf numFmtId="0" fontId="3" fillId="23" borderId="10" xfId="0" applyFont="1" applyFill="1" applyBorder="1" applyAlignment="1">
      <alignment horizontal="left"/>
    </xf>
    <xf numFmtId="164" fontId="0" fillId="21" borderId="18" xfId="0" applyNumberFormat="1" applyFill="1" applyBorder="1" applyAlignment="1">
      <alignment horizontal="center"/>
    </xf>
    <xf numFmtId="164" fontId="3" fillId="5" borderId="1" xfId="0" applyNumberFormat="1" applyFont="1" applyFill="1" applyBorder="1" applyAlignment="1">
      <alignment horizontal="center"/>
    </xf>
    <xf numFmtId="0" fontId="0" fillId="9" borderId="8" xfId="0" applyFill="1" applyBorder="1"/>
    <xf numFmtId="0" fontId="0" fillId="9" borderId="9" xfId="0" applyFill="1" applyBorder="1"/>
    <xf numFmtId="0" fontId="3" fillId="9" borderId="9" xfId="0" applyFont="1" applyFill="1" applyBorder="1" applyAlignment="1">
      <alignment horizontal="right"/>
    </xf>
    <xf numFmtId="0" fontId="3" fillId="9" borderId="60" xfId="0" applyFont="1" applyFill="1" applyBorder="1" applyAlignment="1">
      <alignment horizontal="center"/>
    </xf>
    <xf numFmtId="2" fontId="0" fillId="0" borderId="77" xfId="0" applyNumberFormat="1" applyBorder="1" applyAlignment="1">
      <alignment horizontal="center"/>
    </xf>
    <xf numFmtId="0" fontId="0" fillId="9" borderId="15" xfId="0" applyFill="1" applyBorder="1"/>
    <xf numFmtId="0" fontId="0" fillId="9" borderId="0" xfId="0" applyFill="1"/>
    <xf numFmtId="0" fontId="3" fillId="9" borderId="0" xfId="0" applyFont="1" applyFill="1" applyAlignment="1">
      <alignment horizontal="right"/>
    </xf>
    <xf numFmtId="0" fontId="3" fillId="9" borderId="38" xfId="0" applyFont="1" applyFill="1" applyBorder="1" applyAlignment="1">
      <alignment horizontal="center"/>
    </xf>
    <xf numFmtId="2" fontId="0" fillId="0" borderId="46" xfId="0" applyNumberFormat="1" applyBorder="1" applyAlignment="1">
      <alignment horizontal="center"/>
    </xf>
    <xf numFmtId="0" fontId="0" fillId="9" borderId="18" xfId="0" applyFill="1" applyBorder="1"/>
    <xf numFmtId="0" fontId="0" fillId="9" borderId="19" xfId="0" applyFill="1" applyBorder="1"/>
    <xf numFmtId="0" fontId="3" fillId="9" borderId="19" xfId="0" applyFont="1" applyFill="1" applyBorder="1" applyAlignment="1">
      <alignment horizontal="right"/>
    </xf>
    <xf numFmtId="0" fontId="3" fillId="9" borderId="39" xfId="0" applyFont="1" applyFill="1" applyBorder="1" applyAlignment="1">
      <alignment horizontal="center"/>
    </xf>
    <xf numFmtId="2" fontId="0" fillId="0" borderId="47" xfId="0" applyNumberFormat="1" applyBorder="1" applyAlignment="1">
      <alignment horizontal="center"/>
    </xf>
    <xf numFmtId="0" fontId="0" fillId="0" borderId="9" xfId="0" applyBorder="1"/>
    <xf numFmtId="0" fontId="9" fillId="0" borderId="9" xfId="0" applyFont="1" applyBorder="1"/>
    <xf numFmtId="0" fontId="9" fillId="0" borderId="45" xfId="0" applyFont="1" applyBorder="1"/>
    <xf numFmtId="0" fontId="3" fillId="0" borderId="15" xfId="0" quotePrefix="1" applyFont="1" applyBorder="1" applyAlignment="1">
      <alignment horizontal="center"/>
    </xf>
    <xf numFmtId="0" fontId="3" fillId="0" borderId="68" xfId="0" applyFont="1" applyBorder="1" applyAlignment="1">
      <alignment horizontal="center"/>
    </xf>
    <xf numFmtId="2" fontId="0" fillId="16" borderId="3" xfId="0" applyNumberFormat="1" applyFill="1" applyBorder="1" applyAlignment="1">
      <alignment horizontal="center"/>
    </xf>
    <xf numFmtId="0" fontId="0" fillId="16" borderId="9" xfId="0" applyFill="1" applyBorder="1"/>
    <xf numFmtId="0" fontId="3" fillId="16" borderId="9" xfId="0" applyFont="1" applyFill="1" applyBorder="1" applyAlignment="1">
      <alignment horizontal="right"/>
    </xf>
    <xf numFmtId="2" fontId="0" fillId="16" borderId="13" xfId="0" applyNumberFormat="1" applyFill="1" applyBorder="1" applyAlignment="1">
      <alignment horizontal="center"/>
    </xf>
    <xf numFmtId="0" fontId="0" fillId="16" borderId="0" xfId="0" applyFill="1"/>
    <xf numFmtId="0" fontId="3" fillId="16" borderId="0" xfId="0" applyFont="1" applyFill="1" applyAlignment="1">
      <alignment horizontal="right"/>
    </xf>
    <xf numFmtId="2" fontId="0" fillId="16" borderId="14" xfId="0" applyNumberFormat="1" applyFill="1" applyBorder="1" applyAlignment="1">
      <alignment horizontal="center"/>
    </xf>
    <xf numFmtId="0" fontId="0" fillId="16" borderId="19" xfId="0" applyFill="1" applyBorder="1"/>
    <xf numFmtId="0" fontId="3" fillId="16" borderId="19" xfId="0" applyFont="1" applyFill="1" applyBorder="1" applyAlignment="1">
      <alignment horizontal="right"/>
    </xf>
    <xf numFmtId="2" fontId="0" fillId="9" borderId="3" xfId="0" applyNumberFormat="1" applyFill="1" applyBorder="1" applyAlignment="1">
      <alignment horizontal="center"/>
    </xf>
    <xf numFmtId="2" fontId="0" fillId="9" borderId="13" xfId="0" applyNumberFormat="1" applyFill="1" applyBorder="1" applyAlignment="1">
      <alignment horizontal="center"/>
    </xf>
    <xf numFmtId="2" fontId="0" fillId="9" borderId="14" xfId="0" applyNumberFormat="1" applyFill="1" applyBorder="1" applyAlignment="1">
      <alignment horizontal="center"/>
    </xf>
    <xf numFmtId="14" fontId="3" fillId="21" borderId="8" xfId="0" applyNumberFormat="1" applyFont="1" applyFill="1" applyBorder="1" applyAlignment="1">
      <alignment horizontal="left"/>
    </xf>
    <xf numFmtId="0" fontId="0" fillId="21" borderId="9" xfId="0" applyFill="1" applyBorder="1"/>
    <xf numFmtId="0" fontId="0" fillId="21" borderId="9" xfId="0" applyFill="1" applyBorder="1" applyAlignment="1">
      <alignment horizontal="center"/>
    </xf>
    <xf numFmtId="165" fontId="0" fillId="21" borderId="9" xfId="0" applyNumberFormat="1" applyFill="1" applyBorder="1" applyAlignment="1">
      <alignment horizontal="center"/>
    </xf>
    <xf numFmtId="0" fontId="3" fillId="21" borderId="45" xfId="0" applyFont="1" applyFill="1" applyBorder="1" applyAlignment="1">
      <alignment horizontal="left"/>
    </xf>
    <xf numFmtId="2" fontId="0" fillId="20" borderId="13" xfId="0" applyNumberFormat="1" applyFill="1" applyBorder="1" applyAlignment="1">
      <alignment horizontal="center"/>
    </xf>
    <xf numFmtId="0" fontId="0" fillId="20" borderId="0" xfId="0" applyFill="1"/>
    <xf numFmtId="0" fontId="3" fillId="20" borderId="0" xfId="0" applyFont="1" applyFill="1" applyAlignment="1">
      <alignment horizontal="right"/>
    </xf>
    <xf numFmtId="0" fontId="3" fillId="21" borderId="0" xfId="0" applyFont="1" applyFill="1" applyAlignment="1">
      <alignment horizontal="center"/>
    </xf>
    <xf numFmtId="0" fontId="3" fillId="21" borderId="68" xfId="0" applyFont="1" applyFill="1" applyBorder="1" applyAlignment="1">
      <alignment horizontal="center"/>
    </xf>
    <xf numFmtId="0" fontId="0" fillId="21" borderId="68" xfId="0" applyFill="1" applyBorder="1" applyAlignment="1">
      <alignment horizontal="center"/>
    </xf>
    <xf numFmtId="2" fontId="0" fillId="20" borderId="14" xfId="0" applyNumberFormat="1" applyFill="1" applyBorder="1" applyAlignment="1">
      <alignment horizontal="center"/>
    </xf>
    <xf numFmtId="0" fontId="0" fillId="20" borderId="19" xfId="0" applyFill="1" applyBorder="1"/>
    <xf numFmtId="0" fontId="3" fillId="20" borderId="19" xfId="0" applyFont="1" applyFill="1" applyBorder="1" applyAlignment="1">
      <alignment horizontal="right"/>
    </xf>
    <xf numFmtId="2" fontId="0" fillId="21" borderId="0" xfId="0" applyNumberFormat="1" applyFill="1" applyAlignment="1">
      <alignment horizontal="center"/>
    </xf>
    <xf numFmtId="2" fontId="0" fillId="21" borderId="68" xfId="0" applyNumberFormat="1" applyFill="1" applyBorder="1" applyAlignment="1">
      <alignment horizontal="center"/>
    </xf>
    <xf numFmtId="0" fontId="5" fillId="21" borderId="15" xfId="0" applyFont="1" applyFill="1" applyBorder="1"/>
    <xf numFmtId="0" fontId="3" fillId="0" borderId="0" xfId="0" applyFont="1" applyAlignment="1">
      <alignment horizontal="right"/>
    </xf>
    <xf numFmtId="0" fontId="3" fillId="21" borderId="15" xfId="0" applyFont="1" applyFill="1" applyBorder="1"/>
    <xf numFmtId="0" fontId="9" fillId="21" borderId="15" xfId="0" applyFont="1" applyFill="1" applyBorder="1"/>
    <xf numFmtId="0" fontId="0" fillId="0" borderId="8" xfId="0" applyBorder="1" applyAlignment="1">
      <alignment horizontal="right"/>
    </xf>
    <xf numFmtId="2" fontId="5" fillId="4" borderId="9" xfId="0" applyNumberFormat="1" applyFont="1" applyFill="1" applyBorder="1" applyAlignment="1">
      <alignment horizontal="center"/>
    </xf>
    <xf numFmtId="2" fontId="5" fillId="4" borderId="45" xfId="0" applyNumberFormat="1" applyFont="1" applyFill="1" applyBorder="1" applyAlignment="1">
      <alignment horizontal="center"/>
    </xf>
    <xf numFmtId="0" fontId="0" fillId="0" borderId="18" xfId="0" applyBorder="1" applyAlignment="1">
      <alignment horizontal="right"/>
    </xf>
    <xf numFmtId="0" fontId="0" fillId="0" borderId="8" xfId="0" applyBorder="1" applyAlignment="1">
      <alignment horizontal="right" indent="1"/>
    </xf>
    <xf numFmtId="0" fontId="0" fillId="0" borderId="15" xfId="0" applyBorder="1" applyAlignment="1">
      <alignment horizontal="right" indent="1"/>
    </xf>
    <xf numFmtId="0" fontId="0" fillId="0" borderId="65" xfId="0" applyBorder="1" applyAlignment="1">
      <alignment horizontal="right" indent="1"/>
    </xf>
    <xf numFmtId="165" fontId="0" fillId="0" borderId="66" xfId="0" applyNumberFormat="1" applyBorder="1" applyAlignment="1">
      <alignment horizontal="center"/>
    </xf>
    <xf numFmtId="0" fontId="0" fillId="21" borderId="19" xfId="0" applyFill="1" applyBorder="1" applyAlignment="1">
      <alignment horizontal="center"/>
    </xf>
    <xf numFmtId="0" fontId="0" fillId="21" borderId="67" xfId="0" applyFill="1" applyBorder="1" applyAlignment="1">
      <alignment horizontal="center"/>
    </xf>
    <xf numFmtId="0" fontId="9" fillId="15" borderId="66" xfId="0" applyFont="1" applyFill="1" applyBorder="1" applyAlignment="1">
      <alignment horizontal="center"/>
    </xf>
    <xf numFmtId="14" fontId="0" fillId="0" borderId="0" xfId="0" applyNumberFormat="1"/>
    <xf numFmtId="0" fontId="0" fillId="25" borderId="0" xfId="0" applyFill="1"/>
    <xf numFmtId="0" fontId="3" fillId="5" borderId="65" xfId="0" applyFont="1" applyFill="1" applyBorder="1"/>
    <xf numFmtId="0" fontId="3" fillId="5" borderId="66" xfId="0" applyFont="1" applyFill="1" applyBorder="1"/>
    <xf numFmtId="0" fontId="3" fillId="5" borderId="10" xfId="0" applyFont="1" applyFill="1" applyBorder="1"/>
    <xf numFmtId="0" fontId="3" fillId="0" borderId="65" xfId="0" applyFont="1" applyBorder="1" applyAlignment="1">
      <alignment wrapText="1"/>
    </xf>
    <xf numFmtId="0" fontId="3" fillId="0" borderId="66" xfId="0" applyFont="1" applyBorder="1" applyAlignment="1">
      <alignment wrapText="1"/>
    </xf>
    <xf numFmtId="0" fontId="3" fillId="0" borderId="10" xfId="0" applyFont="1" applyBorder="1" applyAlignment="1">
      <alignment wrapText="1"/>
    </xf>
    <xf numFmtId="0" fontId="11" fillId="20" borderId="65" xfId="0" applyFont="1" applyFill="1" applyBorder="1"/>
    <xf numFmtId="0" fontId="11" fillId="20" borderId="66" xfId="0" applyFont="1" applyFill="1" applyBorder="1"/>
    <xf numFmtId="0" fontId="11" fillId="20" borderId="10" xfId="0" applyFont="1" applyFill="1" applyBorder="1"/>
    <xf numFmtId="0" fontId="3" fillId="24" borderId="3" xfId="0" applyFont="1" applyFill="1" applyBorder="1" applyAlignment="1">
      <alignment horizontal="center"/>
    </xf>
    <xf numFmtId="164" fontId="0" fillId="24" borderId="13" xfId="0" applyNumberFormat="1" applyFill="1" applyBorder="1" applyAlignment="1">
      <alignment horizontal="center"/>
    </xf>
    <xf numFmtId="164" fontId="0" fillId="24" borderId="14" xfId="0" applyNumberFormat="1" applyFill="1" applyBorder="1" applyAlignment="1">
      <alignment horizontal="center"/>
    </xf>
    <xf numFmtId="2" fontId="0" fillId="24" borderId="13" xfId="0" applyNumberFormat="1" applyFill="1" applyBorder="1" applyAlignment="1">
      <alignment horizontal="center"/>
    </xf>
    <xf numFmtId="0" fontId="0" fillId="0" borderId="0" xfId="0" applyAlignment="1">
      <alignment horizontal="right"/>
    </xf>
    <xf numFmtId="165" fontId="0" fillId="0" borderId="0" xfId="0" applyNumberFormat="1"/>
    <xf numFmtId="11" fontId="0" fillId="0" borderId="13" xfId="0" applyNumberFormat="1" applyBorder="1" applyAlignment="1">
      <alignment horizontal="center"/>
    </xf>
    <xf numFmtId="11" fontId="0" fillId="0" borderId="14" xfId="0" applyNumberFormat="1" applyBorder="1" applyAlignment="1">
      <alignment horizontal="center"/>
    </xf>
    <xf numFmtId="0" fontId="9" fillId="15" borderId="10" xfId="0" applyFont="1" applyFill="1" applyBorder="1" applyAlignment="1">
      <alignment horizontal="center"/>
    </xf>
    <xf numFmtId="0" fontId="9" fillId="15" borderId="65" xfId="0" applyFont="1" applyFill="1" applyBorder="1" applyAlignment="1">
      <alignment horizontal="left"/>
    </xf>
    <xf numFmtId="0" fontId="9" fillId="15" borderId="66" xfId="0" applyFont="1" applyFill="1" applyBorder="1" applyAlignment="1">
      <alignment horizontal="left"/>
    </xf>
    <xf numFmtId="11" fontId="0" fillId="0" borderId="0" xfId="0" applyNumberFormat="1"/>
    <xf numFmtId="0" fontId="0" fillId="26" borderId="0" xfId="0" applyFill="1"/>
    <xf numFmtId="0" fontId="0" fillId="0" borderId="32" xfId="0" applyBorder="1"/>
    <xf numFmtId="0" fontId="11" fillId="27" borderId="0" xfId="0" applyFont="1" applyFill="1" applyAlignment="1">
      <alignment horizontal="center" wrapText="1"/>
    </xf>
    <xf numFmtId="164" fontId="0" fillId="0" borderId="0" xfId="0" applyNumberFormat="1"/>
    <xf numFmtId="166" fontId="0" fillId="0" borderId="0" xfId="0" applyNumberFormat="1"/>
    <xf numFmtId="0" fontId="14" fillId="0" borderId="0" xfId="0" applyFont="1"/>
    <xf numFmtId="14" fontId="3" fillId="0" borderId="0" xfId="0" applyNumberFormat="1" applyFont="1"/>
    <xf numFmtId="0" fontId="3" fillId="0" borderId="32" xfId="0" applyFont="1" applyBorder="1" applyAlignment="1">
      <alignment horizontal="center"/>
    </xf>
    <xf numFmtId="0" fontId="0" fillId="0" borderId="62" xfId="0" applyBorder="1" applyAlignment="1">
      <alignment wrapText="1"/>
    </xf>
    <xf numFmtId="0" fontId="0" fillId="0" borderId="87" xfId="0" applyBorder="1" applyAlignment="1">
      <alignment wrapText="1"/>
    </xf>
    <xf numFmtId="0" fontId="3" fillId="0" borderId="87" xfId="0" applyFont="1" applyBorder="1"/>
    <xf numFmtId="0" fontId="0" fillId="0" borderId="4" xfId="0" applyBorder="1"/>
    <xf numFmtId="0" fontId="0" fillId="0" borderId="5" xfId="0" applyBorder="1"/>
    <xf numFmtId="0" fontId="0" fillId="0" borderId="88" xfId="0" applyBorder="1"/>
    <xf numFmtId="0" fontId="0" fillId="0" borderId="89" xfId="0" applyBorder="1"/>
    <xf numFmtId="0" fontId="0" fillId="0" borderId="7" xfId="0" applyBorder="1"/>
    <xf numFmtId="0" fontId="0" fillId="0" borderId="6" xfId="0" applyBorder="1"/>
    <xf numFmtId="0" fontId="0" fillId="0" borderId="2" xfId="0" applyBorder="1"/>
    <xf numFmtId="0" fontId="0" fillId="0" borderId="90" xfId="0" applyBorder="1"/>
    <xf numFmtId="0" fontId="0" fillId="28" borderId="0" xfId="0" applyFill="1"/>
    <xf numFmtId="0" fontId="3" fillId="0" borderId="62" xfId="0" applyFont="1" applyBorder="1"/>
    <xf numFmtId="0" fontId="3" fillId="0" borderId="58" xfId="0" applyFont="1" applyBorder="1"/>
    <xf numFmtId="0" fontId="3" fillId="24" borderId="4" xfId="0" applyFont="1" applyFill="1" applyBorder="1"/>
    <xf numFmtId="0" fontId="0" fillId="24" borderId="5" xfId="0" applyFill="1" applyBorder="1"/>
    <xf numFmtId="0" fontId="0" fillId="24" borderId="88" xfId="0" applyFill="1" applyBorder="1"/>
    <xf numFmtId="0" fontId="3" fillId="14" borderId="4" xfId="0" applyFont="1" applyFill="1" applyBorder="1"/>
    <xf numFmtId="0" fontId="0" fillId="14" borderId="5" xfId="0" applyFill="1" applyBorder="1"/>
    <xf numFmtId="0" fontId="0" fillId="14" borderId="88" xfId="0" applyFill="1" applyBorder="1"/>
    <xf numFmtId="0" fontId="3" fillId="14" borderId="89" xfId="0" applyFont="1" applyFill="1" applyBorder="1"/>
    <xf numFmtId="0" fontId="0" fillId="14" borderId="0" xfId="0" applyFill="1"/>
    <xf numFmtId="0" fontId="0" fillId="14" borderId="7" xfId="0" applyFill="1" applyBorder="1"/>
    <xf numFmtId="0" fontId="0" fillId="14" borderId="89" xfId="0" applyFill="1" applyBorder="1"/>
    <xf numFmtId="0" fontId="3" fillId="14" borderId="0" xfId="0" applyFont="1" applyFill="1"/>
    <xf numFmtId="0" fontId="0" fillId="29" borderId="0" xfId="0" applyFill="1"/>
    <xf numFmtId="2" fontId="0" fillId="0" borderId="2" xfId="0" applyNumberFormat="1" applyBorder="1"/>
    <xf numFmtId="0" fontId="0" fillId="30" borderId="62" xfId="0" applyFill="1" applyBorder="1"/>
    <xf numFmtId="0" fontId="0" fillId="30" borderId="87" xfId="0" applyFill="1" applyBorder="1"/>
    <xf numFmtId="0" fontId="3" fillId="30" borderId="87" xfId="0" applyFont="1" applyFill="1" applyBorder="1"/>
    <xf numFmtId="0" fontId="0" fillId="30" borderId="58" xfId="0" applyFill="1" applyBorder="1"/>
    <xf numFmtId="0" fontId="3" fillId="30" borderId="32" xfId="0" applyFont="1" applyFill="1" applyBorder="1" applyAlignment="1">
      <alignment wrapText="1"/>
    </xf>
    <xf numFmtId="0" fontId="3" fillId="0" borderId="32" xfId="0" applyFont="1" applyBorder="1"/>
    <xf numFmtId="2" fontId="0" fillId="0" borderId="5" xfId="0" applyNumberFormat="1" applyBorder="1"/>
    <xf numFmtId="0" fontId="0" fillId="0" borderId="87" xfId="0" applyBorder="1" applyAlignment="1">
      <alignment horizontal="left"/>
    </xf>
    <xf numFmtId="0" fontId="5" fillId="0" borderId="0" xfId="0" applyFont="1" applyAlignment="1">
      <alignment horizontal="left"/>
    </xf>
    <xf numFmtId="0" fontId="0" fillId="24" borderId="89" xfId="0" applyFill="1" applyBorder="1"/>
    <xf numFmtId="0" fontId="0" fillId="24" borderId="0" xfId="0" applyFill="1"/>
    <xf numFmtId="0" fontId="0" fillId="24" borderId="7" xfId="0" applyFill="1" applyBorder="1"/>
    <xf numFmtId="0" fontId="3" fillId="0" borderId="71" xfId="0" applyFont="1" applyBorder="1" applyAlignment="1">
      <alignment horizontal="center"/>
    </xf>
    <xf numFmtId="0" fontId="3" fillId="0" borderId="2" xfId="0" applyFont="1" applyBorder="1"/>
    <xf numFmtId="0" fontId="0" fillId="13" borderId="5" xfId="0" applyFill="1" applyBorder="1"/>
    <xf numFmtId="0" fontId="0" fillId="13" borderId="88" xfId="0" applyFill="1" applyBorder="1"/>
    <xf numFmtId="0" fontId="3" fillId="0" borderId="2" xfId="0" applyFont="1" applyBorder="1" applyAlignment="1">
      <alignment horizontal="center"/>
    </xf>
    <xf numFmtId="0" fontId="3" fillId="0" borderId="90" xfId="0" applyFont="1" applyBorder="1"/>
    <xf numFmtId="0" fontId="3" fillId="13" borderId="70" xfId="0" applyFont="1" applyFill="1" applyBorder="1"/>
    <xf numFmtId="0" fontId="3" fillId="0" borderId="5" xfId="0" applyFont="1" applyBorder="1"/>
    <xf numFmtId="0" fontId="10" fillId="31" borderId="7" xfId="0" applyFont="1" applyFill="1" applyBorder="1"/>
    <xf numFmtId="0" fontId="10" fillId="31" borderId="0" xfId="0" applyFont="1" applyFill="1"/>
    <xf numFmtId="0" fontId="10" fillId="0" borderId="0" xfId="0" applyFont="1"/>
    <xf numFmtId="0" fontId="3" fillId="14" borderId="5" xfId="0" applyFont="1" applyFill="1" applyBorder="1"/>
    <xf numFmtId="0" fontId="0" fillId="0" borderId="89" xfId="0" applyBorder="1" applyAlignment="1">
      <alignment horizontal="center"/>
    </xf>
    <xf numFmtId="0" fontId="3" fillId="27" borderId="87" xfId="0" applyFont="1" applyFill="1" applyBorder="1"/>
    <xf numFmtId="0" fontId="0" fillId="27" borderId="87" xfId="0" applyFill="1" applyBorder="1"/>
    <xf numFmtId="0" fontId="0" fillId="27" borderId="58" xfId="0" applyFill="1" applyBorder="1"/>
    <xf numFmtId="0" fontId="3" fillId="0" borderId="89" xfId="0" applyFont="1" applyBorder="1"/>
    <xf numFmtId="0" fontId="3" fillId="0" borderId="70" xfId="0" applyFont="1" applyBorder="1" applyAlignment="1">
      <alignment horizontal="center"/>
    </xf>
    <xf numFmtId="2" fontId="0" fillId="0" borderId="0" xfId="0" applyNumberFormat="1" applyAlignment="1">
      <alignment horizontal="right"/>
    </xf>
    <xf numFmtId="0" fontId="3" fillId="13" borderId="4" xfId="0" applyFont="1" applyFill="1" applyBorder="1"/>
    <xf numFmtId="0" fontId="3" fillId="13" borderId="5" xfId="0" applyFont="1" applyFill="1" applyBorder="1"/>
    <xf numFmtId="0" fontId="3" fillId="13" borderId="89" xfId="0" applyFont="1" applyFill="1" applyBorder="1"/>
    <xf numFmtId="0" fontId="3" fillId="13" borderId="0" xfId="0" applyFont="1" applyFill="1"/>
    <xf numFmtId="0" fontId="0" fillId="13" borderId="0" xfId="0" applyFill="1"/>
    <xf numFmtId="0" fontId="0" fillId="13" borderId="7" xfId="0" applyFill="1" applyBorder="1"/>
    <xf numFmtId="0" fontId="0" fillId="0" borderId="4" xfId="0" applyBorder="1" applyAlignment="1">
      <alignment wrapText="1"/>
    </xf>
    <xf numFmtId="0" fontId="0" fillId="0" borderId="5" xfId="0" applyBorder="1" applyAlignment="1">
      <alignment wrapText="1"/>
    </xf>
    <xf numFmtId="2" fontId="0" fillId="0" borderId="88" xfId="0" applyNumberFormat="1" applyBorder="1"/>
    <xf numFmtId="2" fontId="0" fillId="0" borderId="7" xfId="0" applyNumberFormat="1" applyBorder="1"/>
    <xf numFmtId="169" fontId="0" fillId="0" borderId="0" xfId="0" applyNumberFormat="1"/>
    <xf numFmtId="0" fontId="0" fillId="24" borderId="4" xfId="0" applyFill="1" applyBorder="1"/>
    <xf numFmtId="2" fontId="0" fillId="0" borderId="32" xfId="0" applyNumberFormat="1" applyBorder="1"/>
    <xf numFmtId="0" fontId="0" fillId="0" borderId="32" xfId="0" applyBorder="1" applyAlignment="1">
      <alignment horizontal="right"/>
    </xf>
    <xf numFmtId="0" fontId="10" fillId="33" borderId="7" xfId="0" applyFont="1" applyFill="1" applyBorder="1"/>
    <xf numFmtId="0" fontId="10" fillId="33" borderId="0" xfId="0" applyFont="1" applyFill="1"/>
    <xf numFmtId="0" fontId="0" fillId="34" borderId="0" xfId="0" applyFill="1"/>
    <xf numFmtId="0" fontId="10" fillId="33" borderId="70" xfId="0" applyFont="1" applyFill="1" applyBorder="1"/>
    <xf numFmtId="0" fontId="10" fillId="33" borderId="91" xfId="0" applyFont="1" applyFill="1" applyBorder="1"/>
    <xf numFmtId="1" fontId="0" fillId="24" borderId="32" xfId="0" applyNumberFormat="1" applyFill="1" applyBorder="1" applyAlignment="1" applyProtection="1">
      <alignment horizontal="left"/>
      <protection locked="0"/>
    </xf>
    <xf numFmtId="2" fontId="0" fillId="24" borderId="32" xfId="0" applyNumberFormat="1" applyFill="1" applyBorder="1" applyAlignment="1" applyProtection="1">
      <alignment horizontal="left"/>
      <protection locked="0"/>
    </xf>
    <xf numFmtId="165" fontId="0" fillId="24" borderId="32" xfId="0" applyNumberFormat="1" applyFill="1" applyBorder="1" applyAlignment="1" applyProtection="1">
      <alignment horizontal="left"/>
      <protection locked="0"/>
    </xf>
    <xf numFmtId="170" fontId="0" fillId="24" borderId="32" xfId="0" applyNumberFormat="1" applyFill="1" applyBorder="1" applyAlignment="1" applyProtection="1">
      <alignment horizontal="left"/>
      <protection locked="0"/>
    </xf>
    <xf numFmtId="11" fontId="5" fillId="32" borderId="32" xfId="0" applyNumberFormat="1" applyFont="1" applyFill="1" applyBorder="1" applyAlignment="1">
      <alignment horizontal="left"/>
    </xf>
    <xf numFmtId="2" fontId="0" fillId="0" borderId="32" xfId="0" applyNumberFormat="1" applyBorder="1" applyAlignment="1">
      <alignment horizontal="left"/>
    </xf>
    <xf numFmtId="0" fontId="0" fillId="24" borderId="32" xfId="0" applyFill="1" applyBorder="1" applyAlignment="1">
      <alignment horizontal="left"/>
    </xf>
    <xf numFmtId="0" fontId="0" fillId="5" borderId="32" xfId="0" applyFill="1" applyBorder="1" applyAlignment="1">
      <alignment horizontal="center"/>
    </xf>
    <xf numFmtId="0" fontId="5" fillId="5" borderId="32" xfId="0" applyFont="1" applyFill="1" applyBorder="1" applyAlignment="1">
      <alignment horizontal="center"/>
    </xf>
    <xf numFmtId="0" fontId="3" fillId="24" borderId="5" xfId="0" applyFont="1" applyFill="1" applyBorder="1"/>
    <xf numFmtId="0" fontId="3" fillId="24" borderId="5" xfId="0" applyFont="1" applyFill="1" applyBorder="1" applyAlignment="1">
      <alignment horizontal="center"/>
    </xf>
    <xf numFmtId="0" fontId="3" fillId="24" borderId="62" xfId="0" applyFont="1" applyFill="1" applyBorder="1"/>
    <xf numFmtId="0" fontId="0" fillId="24" borderId="87" xfId="0" applyFill="1" applyBorder="1"/>
    <xf numFmtId="0" fontId="0" fillId="24" borderId="58" xfId="0" applyFill="1" applyBorder="1"/>
    <xf numFmtId="2" fontId="5" fillId="0" borderId="0" xfId="0" applyNumberFormat="1" applyFont="1"/>
    <xf numFmtId="0" fontId="5" fillId="0" borderId="5" xfId="0" applyFont="1" applyBorder="1"/>
    <xf numFmtId="0" fontId="9" fillId="27" borderId="62" xfId="0" applyFont="1" applyFill="1" applyBorder="1"/>
    <xf numFmtId="0" fontId="0" fillId="24" borderId="2" xfId="0" applyFill="1" applyBorder="1" applyAlignment="1">
      <alignment horizontal="center"/>
    </xf>
    <xf numFmtId="165" fontId="13" fillId="29" borderId="89" xfId="0" applyNumberFormat="1" applyFont="1" applyFill="1" applyBorder="1" applyAlignment="1">
      <alignment horizontal="center"/>
    </xf>
    <xf numFmtId="165" fontId="13" fillId="29" borderId="0" xfId="0" applyNumberFormat="1" applyFont="1" applyFill="1" applyAlignment="1">
      <alignment horizontal="center"/>
    </xf>
    <xf numFmtId="0" fontId="5" fillId="0" borderId="7" xfId="0" applyFont="1" applyBorder="1" applyAlignment="1">
      <alignment horizontal="center"/>
    </xf>
    <xf numFmtId="0" fontId="0" fillId="24" borderId="5" xfId="0" applyFill="1" applyBorder="1" applyAlignment="1">
      <alignment horizontal="center"/>
    </xf>
    <xf numFmtId="0" fontId="0" fillId="24" borderId="0" xfId="0" applyFill="1" applyAlignment="1">
      <alignment horizontal="center"/>
    </xf>
    <xf numFmtId="0" fontId="3" fillId="29" borderId="32" xfId="0" applyFont="1" applyFill="1" applyBorder="1" applyAlignment="1">
      <alignment horizontal="center"/>
    </xf>
    <xf numFmtId="165" fontId="5" fillId="0" borderId="0" xfId="0" applyNumberFormat="1" applyFont="1" applyAlignment="1">
      <alignment horizontal="center"/>
    </xf>
    <xf numFmtId="164" fontId="0" fillId="24" borderId="0" xfId="0" applyNumberFormat="1" applyFill="1" applyAlignment="1">
      <alignment horizontal="center"/>
    </xf>
    <xf numFmtId="0" fontId="0" fillId="24" borderId="89" xfId="0" applyFill="1" applyBorder="1" applyAlignment="1">
      <alignment horizontal="center"/>
    </xf>
    <xf numFmtId="49" fontId="0" fillId="0" borderId="32" xfId="0" applyNumberFormat="1" applyBorder="1"/>
    <xf numFmtId="49" fontId="0" fillId="0" borderId="0" xfId="0" applyNumberFormat="1"/>
    <xf numFmtId="49" fontId="3" fillId="0" borderId="1" xfId="0" applyNumberFormat="1" applyFont="1" applyBorder="1" applyAlignment="1" applyProtection="1">
      <alignment horizontal="left"/>
      <protection locked="0"/>
    </xf>
    <xf numFmtId="49" fontId="0" fillId="0" borderId="0" xfId="0" applyNumberFormat="1" applyAlignment="1">
      <alignment horizontal="left"/>
    </xf>
    <xf numFmtId="49" fontId="0" fillId="24" borderId="92" xfId="0" applyNumberFormat="1" applyFill="1" applyBorder="1" applyAlignment="1" applyProtection="1">
      <alignment horizontal="left"/>
      <protection locked="0"/>
    </xf>
    <xf numFmtId="0" fontId="0" fillId="24" borderId="3" xfId="0" applyFill="1" applyBorder="1" applyAlignment="1">
      <alignment horizontal="center"/>
    </xf>
    <xf numFmtId="0" fontId="0" fillId="24" borderId="13" xfId="0" applyFill="1" applyBorder="1" applyAlignment="1">
      <alignment horizontal="center"/>
    </xf>
    <xf numFmtId="0" fontId="0" fillId="24" borderId="14" xfId="0" applyFill="1" applyBorder="1" applyAlignment="1">
      <alignment horizontal="center"/>
    </xf>
    <xf numFmtId="0" fontId="0" fillId="0" borderId="9" xfId="0" quotePrefix="1" applyBorder="1" applyAlignment="1">
      <alignment horizontal="center"/>
    </xf>
    <xf numFmtId="49" fontId="0" fillId="24" borderId="32" xfId="0" applyNumberFormat="1" applyFill="1" applyBorder="1" applyAlignment="1" applyProtection="1">
      <alignment horizontal="left"/>
      <protection locked="0"/>
    </xf>
    <xf numFmtId="0" fontId="3" fillId="0" borderId="4" xfId="0" applyFont="1" applyBorder="1"/>
    <xf numFmtId="0" fontId="3" fillId="0" borderId="88" xfId="0" applyFont="1" applyBorder="1"/>
    <xf numFmtId="165" fontId="0" fillId="24" borderId="0" xfId="0" applyNumberFormat="1" applyFill="1"/>
    <xf numFmtId="0" fontId="10" fillId="33" borderId="88" xfId="0" applyFont="1" applyFill="1" applyBorder="1"/>
    <xf numFmtId="0" fontId="0" fillId="34" borderId="7" xfId="0" applyFill="1" applyBorder="1"/>
    <xf numFmtId="0" fontId="0" fillId="34" borderId="90" xfId="0" applyFill="1" applyBorder="1"/>
    <xf numFmtId="0" fontId="3" fillId="0" borderId="7" xfId="0" applyFont="1" applyBorder="1"/>
    <xf numFmtId="0" fontId="10" fillId="33" borderId="5" xfId="0" applyFont="1" applyFill="1" applyBorder="1"/>
    <xf numFmtId="11" fontId="10" fillId="33" borderId="5" xfId="0" applyNumberFormat="1" applyFont="1" applyFill="1" applyBorder="1"/>
    <xf numFmtId="11" fontId="10" fillId="33" borderId="0" xfId="0" applyNumberFormat="1" applyFont="1" applyFill="1"/>
    <xf numFmtId="0" fontId="10" fillId="31" borderId="70" xfId="0" applyFont="1" applyFill="1" applyBorder="1"/>
    <xf numFmtId="0" fontId="10" fillId="31" borderId="5" xfId="0" applyFont="1" applyFill="1" applyBorder="1"/>
    <xf numFmtId="11" fontId="10" fillId="31" borderId="5" xfId="0" applyNumberFormat="1" applyFont="1" applyFill="1" applyBorder="1"/>
    <xf numFmtId="0" fontId="10" fillId="31" borderId="88" xfId="0" applyFont="1" applyFill="1" applyBorder="1"/>
    <xf numFmtId="0" fontId="10" fillId="31" borderId="91" xfId="0" applyFont="1" applyFill="1" applyBorder="1"/>
    <xf numFmtId="11" fontId="10" fillId="31" borderId="0" xfId="0" applyNumberFormat="1" applyFont="1" applyFill="1"/>
    <xf numFmtId="11" fontId="5" fillId="32" borderId="32" xfId="0" applyNumberFormat="1" applyFont="1" applyFill="1" applyBorder="1" applyAlignment="1">
      <alignment horizontal="center"/>
    </xf>
    <xf numFmtId="1" fontId="0" fillId="0" borderId="2" xfId="0" applyNumberFormat="1" applyBorder="1" applyAlignment="1">
      <alignment horizontal="center"/>
    </xf>
    <xf numFmtId="0" fontId="3" fillId="26" borderId="62" xfId="0" applyFont="1" applyFill="1" applyBorder="1" applyProtection="1">
      <protection locked="0"/>
    </xf>
    <xf numFmtId="0" fontId="3" fillId="26" borderId="87" xfId="0" applyFont="1" applyFill="1" applyBorder="1" applyAlignment="1" applyProtection="1">
      <alignment horizontal="center"/>
      <protection locked="0"/>
    </xf>
    <xf numFmtId="0" fontId="3" fillId="26" borderId="58" xfId="0" applyFont="1" applyFill="1" applyBorder="1" applyAlignment="1" applyProtection="1">
      <alignment horizontal="center"/>
      <protection locked="0"/>
    </xf>
    <xf numFmtId="0" fontId="0" fillId="7" borderId="4" xfId="0" applyFill="1" applyBorder="1" applyProtection="1">
      <protection locked="0"/>
    </xf>
    <xf numFmtId="0" fontId="0" fillId="7" borderId="5" xfId="0" applyFill="1" applyBorder="1" applyAlignment="1" applyProtection="1">
      <alignment horizontal="center"/>
      <protection locked="0"/>
    </xf>
    <xf numFmtId="0" fontId="0" fillId="7" borderId="88" xfId="0" applyFill="1" applyBorder="1" applyAlignment="1" applyProtection="1">
      <alignment horizontal="center"/>
      <protection locked="0"/>
    </xf>
    <xf numFmtId="0" fontId="0" fillId="17" borderId="89" xfId="0" applyFill="1" applyBorder="1" applyProtection="1">
      <protection locked="0"/>
    </xf>
    <xf numFmtId="0" fontId="0" fillId="17" borderId="0" xfId="0" applyFill="1" applyAlignment="1" applyProtection="1">
      <alignment horizontal="center"/>
      <protection locked="0"/>
    </xf>
    <xf numFmtId="0" fontId="0" fillId="17" borderId="7" xfId="0" applyFill="1" applyBorder="1" applyAlignment="1" applyProtection="1">
      <alignment horizontal="center"/>
      <protection locked="0"/>
    </xf>
    <xf numFmtId="165" fontId="0" fillId="24" borderId="89" xfId="0" applyNumberFormat="1" applyFill="1" applyBorder="1"/>
    <xf numFmtId="165" fontId="0" fillId="24" borderId="4" xfId="0" applyNumberFormat="1" applyFill="1" applyBorder="1"/>
    <xf numFmtId="165" fontId="0" fillId="24" borderId="5" xfId="0" applyNumberFormat="1" applyFill="1" applyBorder="1"/>
    <xf numFmtId="0" fontId="0" fillId="24" borderId="32" xfId="0" applyFill="1" applyBorder="1" applyAlignment="1">
      <alignment horizontal="center"/>
    </xf>
    <xf numFmtId="165" fontId="0" fillId="24" borderId="32" xfId="0" applyNumberFormat="1" applyFill="1" applyBorder="1" applyAlignment="1" applyProtection="1">
      <alignment horizontal="center"/>
      <protection locked="0"/>
    </xf>
    <xf numFmtId="0" fontId="3" fillId="0" borderId="87" xfId="0" applyFont="1" applyBorder="1" applyAlignment="1">
      <alignment horizontal="center"/>
    </xf>
    <xf numFmtId="0" fontId="0" fillId="0" borderId="0" xfId="0" applyAlignment="1">
      <alignment wrapText="1"/>
    </xf>
    <xf numFmtId="0" fontId="0" fillId="14" borderId="0" xfId="0" applyFill="1" applyAlignment="1">
      <alignment horizontal="center"/>
    </xf>
    <xf numFmtId="0" fontId="0" fillId="18" borderId="0" xfId="0" applyFill="1" applyAlignment="1">
      <alignment horizontal="center"/>
    </xf>
    <xf numFmtId="0" fontId="10" fillId="31" borderId="0" xfId="0" applyFont="1" applyFill="1" applyAlignment="1">
      <alignment horizontal="center"/>
    </xf>
    <xf numFmtId="0" fontId="0" fillId="0" borderId="72" xfId="0" applyBorder="1" applyAlignment="1">
      <alignment horizontal="center"/>
    </xf>
    <xf numFmtId="0" fontId="0" fillId="0" borderId="73" xfId="0" applyBorder="1" applyAlignment="1">
      <alignment horizontal="center"/>
    </xf>
    <xf numFmtId="0" fontId="0" fillId="0" borderId="75" xfId="0" applyBorder="1" applyAlignment="1">
      <alignment horizontal="center"/>
    </xf>
    <xf numFmtId="1" fontId="0" fillId="0" borderId="72" xfId="0" applyNumberFormat="1" applyBorder="1" applyAlignment="1">
      <alignment horizontal="center"/>
    </xf>
    <xf numFmtId="0" fontId="0" fillId="0" borderId="74" xfId="0" applyBorder="1" applyAlignment="1">
      <alignment horizontal="center"/>
    </xf>
    <xf numFmtId="0" fontId="3" fillId="0" borderId="9" xfId="0" applyFont="1" applyBorder="1" applyAlignment="1">
      <alignment horizontal="center"/>
    </xf>
    <xf numFmtId="2" fontId="5" fillId="0" borderId="32" xfId="0" applyNumberFormat="1" applyFont="1" applyBorder="1"/>
    <xf numFmtId="164" fontId="0" fillId="24" borderId="14" xfId="0" applyNumberFormat="1" applyFill="1" applyBorder="1" applyAlignment="1" applyProtection="1">
      <alignment horizontal="center"/>
      <protection locked="0"/>
    </xf>
    <xf numFmtId="1" fontId="0" fillId="24" borderId="3" xfId="0" applyNumberFormat="1" applyFill="1" applyBorder="1" applyAlignment="1">
      <alignment horizontal="center"/>
    </xf>
    <xf numFmtId="164" fontId="0" fillId="24" borderId="3" xfId="0" applyNumberFormat="1" applyFill="1" applyBorder="1" applyAlignment="1">
      <alignment horizontal="center"/>
    </xf>
    <xf numFmtId="2" fontId="0" fillId="24" borderId="13" xfId="1" applyNumberFormat="1" applyFont="1" applyFill="1" applyBorder="1" applyAlignment="1" applyProtection="1">
      <alignment horizontal="center"/>
    </xf>
    <xf numFmtId="2" fontId="0" fillId="24" borderId="3" xfId="1" applyNumberFormat="1" applyFont="1" applyFill="1" applyBorder="1" applyAlignment="1" applyProtection="1">
      <alignment horizontal="center"/>
    </xf>
    <xf numFmtId="2" fontId="0" fillId="24" borderId="14" xfId="1" applyNumberFormat="1" applyFont="1" applyFill="1" applyBorder="1" applyAlignment="1" applyProtection="1">
      <alignment horizontal="center"/>
    </xf>
    <xf numFmtId="3" fontId="0" fillId="24" borderId="13" xfId="0" applyNumberFormat="1" applyFill="1" applyBorder="1" applyAlignment="1">
      <alignment horizontal="center"/>
    </xf>
    <xf numFmtId="167" fontId="0" fillId="24" borderId="13" xfId="0" applyNumberFormat="1" applyFill="1" applyBorder="1" applyAlignment="1">
      <alignment horizontal="center"/>
    </xf>
    <xf numFmtId="165" fontId="0" fillId="24" borderId="13" xfId="0" applyNumberFormat="1" applyFill="1" applyBorder="1" applyAlignment="1">
      <alignment horizontal="center"/>
    </xf>
    <xf numFmtId="3" fontId="0" fillId="24" borderId="3" xfId="0" applyNumberFormat="1" applyFill="1" applyBorder="1" applyAlignment="1">
      <alignment horizontal="center"/>
    </xf>
    <xf numFmtId="2" fontId="0" fillId="24" borderId="3" xfId="0" applyNumberFormat="1" applyFill="1" applyBorder="1" applyAlignment="1">
      <alignment horizontal="center"/>
    </xf>
    <xf numFmtId="0" fontId="0" fillId="30" borderId="5" xfId="0" applyFill="1" applyBorder="1"/>
    <xf numFmtId="0" fontId="0" fillId="0" borderId="5" xfId="0" applyBorder="1" applyAlignment="1">
      <alignment horizontal="center" wrapText="1"/>
    </xf>
    <xf numFmtId="0" fontId="3" fillId="30" borderId="3" xfId="0" applyFont="1" applyFill="1" applyBorder="1"/>
    <xf numFmtId="0" fontId="3" fillId="30" borderId="39" xfId="0" applyFont="1" applyFill="1" applyBorder="1" applyAlignment="1">
      <alignment horizontal="center" wrapText="1"/>
    </xf>
    <xf numFmtId="0" fontId="5" fillId="24" borderId="0" xfId="0" applyFont="1" applyFill="1"/>
    <xf numFmtId="0" fontId="5" fillId="13" borderId="0" xfId="0" applyFont="1" applyFill="1"/>
    <xf numFmtId="0" fontId="9" fillId="13" borderId="0" xfId="0" applyFont="1" applyFill="1" applyAlignment="1">
      <alignment horizontal="center"/>
    </xf>
    <xf numFmtId="0" fontId="0" fillId="24" borderId="91" xfId="0" applyFill="1" applyBorder="1" applyProtection="1">
      <protection locked="0"/>
    </xf>
    <xf numFmtId="1" fontId="4" fillId="24" borderId="4" xfId="0" applyNumberFormat="1" applyFont="1" applyFill="1" applyBorder="1" applyAlignment="1" applyProtection="1">
      <alignment horizontal="center"/>
      <protection locked="0"/>
    </xf>
    <xf numFmtId="1" fontId="4" fillId="24" borderId="5" xfId="0" applyNumberFormat="1" applyFont="1" applyFill="1" applyBorder="1" applyAlignment="1" applyProtection="1">
      <alignment horizontal="center"/>
      <protection locked="0"/>
    </xf>
    <xf numFmtId="1" fontId="4" fillId="24" borderId="88" xfId="0" applyNumberFormat="1" applyFont="1" applyFill="1" applyBorder="1" applyAlignment="1" applyProtection="1">
      <alignment horizontal="center"/>
      <protection locked="0"/>
    </xf>
    <xf numFmtId="1" fontId="4" fillId="24" borderId="89" xfId="0" applyNumberFormat="1" applyFont="1" applyFill="1" applyBorder="1" applyAlignment="1" applyProtection="1">
      <alignment horizontal="center"/>
      <protection locked="0"/>
    </xf>
    <xf numFmtId="1" fontId="4" fillId="24" borderId="0" xfId="0" applyNumberFormat="1" applyFont="1" applyFill="1" applyAlignment="1" applyProtection="1">
      <alignment horizontal="center"/>
      <protection locked="0"/>
    </xf>
    <xf numFmtId="1" fontId="4" fillId="24" borderId="7" xfId="0" applyNumberFormat="1" applyFont="1" applyFill="1" applyBorder="1" applyAlignment="1" applyProtection="1">
      <alignment horizontal="center"/>
      <protection locked="0"/>
    </xf>
    <xf numFmtId="0" fontId="3" fillId="24" borderId="91" xfId="0" applyFont="1" applyFill="1" applyBorder="1"/>
    <xf numFmtId="165" fontId="4" fillId="24" borderId="89" xfId="0" applyNumberFormat="1" applyFont="1" applyFill="1" applyBorder="1" applyAlignment="1">
      <alignment horizontal="center"/>
    </xf>
    <xf numFmtId="0" fontId="4" fillId="24" borderId="0" xfId="0" applyFont="1" applyFill="1"/>
    <xf numFmtId="165" fontId="4" fillId="24" borderId="7" xfId="0" applyNumberFormat="1" applyFont="1" applyFill="1" applyBorder="1" applyAlignment="1">
      <alignment horizontal="center"/>
    </xf>
    <xf numFmtId="165" fontId="4" fillId="24" borderId="0" xfId="0" applyNumberFormat="1" applyFont="1" applyFill="1" applyAlignment="1">
      <alignment horizontal="center"/>
    </xf>
    <xf numFmtId="165" fontId="0" fillId="24" borderId="0" xfId="0" applyNumberFormat="1" applyFill="1" applyAlignment="1">
      <alignment horizontal="center"/>
    </xf>
    <xf numFmtId="165" fontId="5" fillId="21" borderId="0" xfId="0" applyNumberFormat="1" applyFont="1" applyFill="1" applyAlignment="1">
      <alignment horizontal="center"/>
    </xf>
    <xf numFmtId="165" fontId="0" fillId="24" borderId="7" xfId="0" applyNumberFormat="1" applyFill="1" applyBorder="1" applyAlignment="1">
      <alignment horizontal="center"/>
    </xf>
    <xf numFmtId="165" fontId="0" fillId="24" borderId="5" xfId="0" applyNumberFormat="1" applyFill="1" applyBorder="1" applyAlignment="1">
      <alignment horizontal="center"/>
    </xf>
    <xf numFmtId="165" fontId="0" fillId="24" borderId="89" xfId="0" applyNumberFormat="1" applyFill="1" applyBorder="1" applyAlignment="1">
      <alignment horizontal="center"/>
    </xf>
    <xf numFmtId="165" fontId="3" fillId="0" borderId="62" xfId="0" applyNumberFormat="1" applyFont="1" applyBorder="1" applyAlignment="1">
      <alignment horizontal="center"/>
    </xf>
    <xf numFmtId="165" fontId="3" fillId="0" borderId="87" xfId="0" applyNumberFormat="1" applyFont="1" applyBorder="1" applyAlignment="1">
      <alignment horizontal="center"/>
    </xf>
    <xf numFmtId="165" fontId="3" fillId="0" borderId="58" xfId="0" applyNumberFormat="1" applyFont="1" applyBorder="1" applyAlignment="1">
      <alignment horizontal="center"/>
    </xf>
    <xf numFmtId="165" fontId="3" fillId="0" borderId="4" xfId="0" applyNumberFormat="1" applyFont="1" applyBorder="1" applyAlignment="1">
      <alignment horizontal="center"/>
    </xf>
    <xf numFmtId="165" fontId="0" fillId="24" borderId="4" xfId="0" applyNumberFormat="1" applyFill="1" applyBorder="1" applyAlignment="1">
      <alignment horizontal="center"/>
    </xf>
    <xf numFmtId="165" fontId="0" fillId="0" borderId="5" xfId="0" applyNumberFormat="1" applyBorder="1" applyAlignment="1">
      <alignment horizontal="center"/>
    </xf>
    <xf numFmtId="2" fontId="5" fillId="0" borderId="32" xfId="0" applyNumberFormat="1" applyFont="1" applyBorder="1" applyAlignment="1">
      <alignment horizontal="center"/>
    </xf>
    <xf numFmtId="1" fontId="0" fillId="0" borderId="32" xfId="0" applyNumberFormat="1" applyBorder="1" applyAlignment="1" applyProtection="1">
      <alignment horizontal="center"/>
      <protection locked="0"/>
    </xf>
    <xf numFmtId="0" fontId="0" fillId="0" borderId="62" xfId="0" applyBorder="1"/>
    <xf numFmtId="0" fontId="3" fillId="0" borderId="8" xfId="0" applyFont="1" applyBorder="1"/>
    <xf numFmtId="0" fontId="3" fillId="0" borderId="9" xfId="0" applyFont="1" applyBorder="1"/>
    <xf numFmtId="0" fontId="0" fillId="0" borderId="45" xfId="0" applyBorder="1"/>
    <xf numFmtId="0" fontId="0" fillId="0" borderId="35" xfId="0" applyBorder="1"/>
    <xf numFmtId="0" fontId="0" fillId="0" borderId="36" xfId="0" applyBorder="1"/>
    <xf numFmtId="0" fontId="0" fillId="0" borderId="37" xfId="0" applyBorder="1"/>
    <xf numFmtId="11" fontId="5" fillId="0" borderId="32" xfId="0" applyNumberFormat="1" applyFont="1" applyBorder="1"/>
    <xf numFmtId="0" fontId="10" fillId="0" borderId="70" xfId="0" applyFont="1" applyBorder="1" applyAlignment="1">
      <alignment horizontal="center"/>
    </xf>
    <xf numFmtId="0" fontId="10" fillId="0" borderId="91" xfId="0" applyFont="1" applyBorder="1" applyAlignment="1">
      <alignment horizontal="center"/>
    </xf>
    <xf numFmtId="0" fontId="0" fillId="0" borderId="91" xfId="0" applyBorder="1" applyAlignment="1">
      <alignment horizontal="center"/>
    </xf>
    <xf numFmtId="0" fontId="10" fillId="0" borderId="70" xfId="0" applyFont="1" applyBorder="1"/>
    <xf numFmtId="0" fontId="10" fillId="0" borderId="91" xfId="0" applyFont="1" applyBorder="1"/>
    <xf numFmtId="0" fontId="3" fillId="0" borderId="89" xfId="0" applyFont="1" applyBorder="1" applyAlignment="1">
      <alignment horizontal="center"/>
    </xf>
    <xf numFmtId="0" fontId="3" fillId="0" borderId="93" xfId="0" applyFont="1" applyBorder="1"/>
    <xf numFmtId="0" fontId="3" fillId="0" borderId="94" xfId="0" applyFont="1" applyBorder="1"/>
    <xf numFmtId="0" fontId="3" fillId="0" borderId="45" xfId="0" applyFont="1" applyBorder="1"/>
    <xf numFmtId="2" fontId="5" fillId="0" borderId="15" xfId="0" applyNumberFormat="1" applyFont="1" applyBorder="1"/>
    <xf numFmtId="0" fontId="5" fillId="0" borderId="95" xfId="0" applyFont="1" applyBorder="1"/>
    <xf numFmtId="0" fontId="5" fillId="0" borderId="68" xfId="0" applyFont="1" applyBorder="1"/>
    <xf numFmtId="2" fontId="5" fillId="0" borderId="18" xfId="0" applyNumberFormat="1" applyFont="1" applyBorder="1"/>
    <xf numFmtId="2" fontId="5" fillId="0" borderId="19" xfId="0" applyNumberFormat="1" applyFont="1" applyBorder="1"/>
    <xf numFmtId="0" fontId="5" fillId="0" borderId="19" xfId="0" applyFont="1" applyBorder="1"/>
    <xf numFmtId="0" fontId="5" fillId="0" borderId="67" xfId="0" applyFont="1" applyBorder="1"/>
    <xf numFmtId="0" fontId="10" fillId="35" borderId="5" xfId="0" applyFont="1" applyFill="1" applyBorder="1"/>
    <xf numFmtId="0" fontId="10" fillId="35" borderId="0" xfId="0" applyFont="1" applyFill="1"/>
    <xf numFmtId="1" fontId="5" fillId="0" borderId="32" xfId="0" applyNumberFormat="1" applyFont="1" applyBorder="1" applyAlignment="1" applyProtection="1">
      <alignment horizontal="center"/>
      <protection locked="0"/>
    </xf>
    <xf numFmtId="2" fontId="0" fillId="0" borderId="32" xfId="0" applyNumberFormat="1" applyBorder="1" applyAlignment="1" applyProtection="1">
      <alignment horizontal="center"/>
      <protection locked="0"/>
    </xf>
    <xf numFmtId="170" fontId="0" fillId="0" borderId="32" xfId="0" applyNumberFormat="1" applyBorder="1" applyAlignment="1" applyProtection="1">
      <alignment horizontal="center"/>
      <protection locked="0"/>
    </xf>
    <xf numFmtId="0" fontId="3" fillId="21" borderId="8" xfId="0" applyFont="1" applyFill="1" applyBorder="1" applyAlignment="1">
      <alignment horizontal="left"/>
    </xf>
    <xf numFmtId="0" fontId="0" fillId="21" borderId="45" xfId="0" applyFill="1" applyBorder="1" applyAlignment="1">
      <alignment horizontal="center"/>
    </xf>
    <xf numFmtId="0" fontId="15" fillId="21" borderId="15" xfId="3" applyFill="1" applyBorder="1" applyAlignment="1">
      <alignment horizontal="left"/>
    </xf>
    <xf numFmtId="0" fontId="0" fillId="21" borderId="68" xfId="0" applyFill="1" applyBorder="1"/>
    <xf numFmtId="0" fontId="3" fillId="21" borderId="15" xfId="0" applyFont="1" applyFill="1" applyBorder="1" applyAlignment="1">
      <alignment horizontal="left"/>
    </xf>
    <xf numFmtId="0" fontId="9" fillId="21" borderId="15" xfId="0" applyFont="1" applyFill="1" applyBorder="1" applyAlignment="1">
      <alignment horizontal="left"/>
    </xf>
    <xf numFmtId="0" fontId="5" fillId="21" borderId="15" xfId="0" applyFont="1" applyFill="1" applyBorder="1" applyAlignment="1">
      <alignment horizontal="left"/>
    </xf>
    <xf numFmtId="0" fontId="0" fillId="21" borderId="8" xfId="0" applyFill="1" applyBorder="1"/>
    <xf numFmtId="0" fontId="9" fillId="21" borderId="9" xfId="0" applyFont="1" applyFill="1" applyBorder="1"/>
    <xf numFmtId="0" fontId="9" fillId="21" borderId="45" xfId="0" applyFont="1" applyFill="1" applyBorder="1"/>
    <xf numFmtId="0" fontId="3" fillId="21" borderId="15" xfId="0" quotePrefix="1" applyFont="1" applyFill="1" applyBorder="1" applyAlignment="1">
      <alignment horizontal="center"/>
    </xf>
    <xf numFmtId="165" fontId="0" fillId="17" borderId="4" xfId="0" applyNumberFormat="1" applyFill="1" applyBorder="1" applyAlignment="1" applyProtection="1">
      <alignment horizontal="center"/>
      <protection locked="0"/>
    </xf>
    <xf numFmtId="165" fontId="0" fillId="17" borderId="89" xfId="0" applyNumberFormat="1" applyFill="1" applyBorder="1" applyAlignment="1" applyProtection="1">
      <alignment horizontal="center"/>
      <protection locked="0"/>
    </xf>
    <xf numFmtId="165" fontId="0" fillId="7" borderId="89" xfId="0" applyNumberFormat="1" applyFill="1" applyBorder="1" applyAlignment="1" applyProtection="1">
      <alignment horizontal="center"/>
      <protection locked="0"/>
    </xf>
    <xf numFmtId="9" fontId="0" fillId="0" borderId="0" xfId="2" applyFont="1"/>
    <xf numFmtId="43" fontId="0" fillId="0" borderId="0" xfId="4" applyFont="1"/>
    <xf numFmtId="43" fontId="0" fillId="0" borderId="0" xfId="4" applyFont="1" applyAlignment="1">
      <alignment horizontal="center"/>
    </xf>
    <xf numFmtId="43" fontId="0" fillId="0" borderId="0" xfId="0" applyNumberFormat="1"/>
    <xf numFmtId="3" fontId="0" fillId="0" borderId="0" xfId="0" applyNumberFormat="1"/>
    <xf numFmtId="171" fontId="0" fillId="0" borderId="0" xfId="0" applyNumberFormat="1"/>
    <xf numFmtId="165" fontId="0" fillId="24" borderId="0" xfId="0" applyNumberFormat="1" applyFill="1" applyAlignment="1">
      <alignment horizontal="right"/>
    </xf>
    <xf numFmtId="0" fontId="0" fillId="24" borderId="0" xfId="0" applyFill="1" applyAlignment="1">
      <alignment horizontal="right"/>
    </xf>
    <xf numFmtId="0" fontId="3" fillId="0" borderId="65" xfId="0" applyFont="1" applyBorder="1" applyAlignment="1">
      <alignment horizontal="center"/>
    </xf>
    <xf numFmtId="0" fontId="3" fillId="0" borderId="66" xfId="0" applyFont="1" applyBorder="1" applyAlignment="1">
      <alignment horizontal="center"/>
    </xf>
    <xf numFmtId="0" fontId="3" fillId="0" borderId="10" xfId="0" applyFont="1" applyBorder="1" applyAlignment="1">
      <alignment horizontal="center"/>
    </xf>
    <xf numFmtId="0" fontId="3" fillId="16" borderId="65" xfId="0" applyFont="1" applyFill="1" applyBorder="1" applyAlignment="1">
      <alignment horizontal="left"/>
    </xf>
    <xf numFmtId="0" fontId="3" fillId="16" borderId="66" xfId="0" applyFont="1" applyFill="1" applyBorder="1" applyAlignment="1">
      <alignment horizontal="left"/>
    </xf>
    <xf numFmtId="0" fontId="3" fillId="9" borderId="65" xfId="0" applyFont="1" applyFill="1" applyBorder="1" applyAlignment="1">
      <alignment horizontal="left"/>
    </xf>
    <xf numFmtId="0" fontId="3" fillId="9" borderId="66" xfId="0" applyFont="1" applyFill="1" applyBorder="1" applyAlignment="1">
      <alignment horizontal="left"/>
    </xf>
    <xf numFmtId="0" fontId="11" fillId="20" borderId="65" xfId="0" applyFont="1" applyFill="1" applyBorder="1" applyAlignment="1">
      <alignment horizontal="left"/>
    </xf>
    <xf numFmtId="0" fontId="11" fillId="20" borderId="66" xfId="0" applyFont="1" applyFill="1" applyBorder="1" applyAlignment="1">
      <alignment horizontal="left"/>
    </xf>
    <xf numFmtId="0" fontId="3" fillId="5" borderId="65" xfId="0" applyFont="1" applyFill="1" applyBorder="1" applyAlignment="1">
      <alignment horizontal="right"/>
    </xf>
    <xf numFmtId="0" fontId="3" fillId="5" borderId="66" xfId="0" applyFont="1" applyFill="1" applyBorder="1" applyAlignment="1">
      <alignment horizontal="right"/>
    </xf>
    <xf numFmtId="0" fontId="3" fillId="5" borderId="10" xfId="0" applyFont="1" applyFill="1" applyBorder="1" applyAlignment="1">
      <alignment horizontal="right"/>
    </xf>
    <xf numFmtId="0" fontId="3" fillId="17" borderId="65" xfId="0" applyFont="1" applyFill="1" applyBorder="1" applyAlignment="1">
      <alignment horizontal="center"/>
    </xf>
    <xf numFmtId="0" fontId="3" fillId="17" borderId="66" xfId="0" applyFont="1" applyFill="1" applyBorder="1" applyAlignment="1">
      <alignment horizontal="center"/>
    </xf>
    <xf numFmtId="0" fontId="3" fillId="17" borderId="10" xfId="0" applyFont="1" applyFill="1" applyBorder="1" applyAlignment="1">
      <alignment horizontal="center"/>
    </xf>
    <xf numFmtId="0" fontId="3" fillId="20" borderId="65" xfId="0" applyFont="1" applyFill="1" applyBorder="1" applyAlignment="1">
      <alignment horizontal="center"/>
    </xf>
    <xf numFmtId="0" fontId="3" fillId="20" borderId="66" xfId="0" applyFont="1" applyFill="1" applyBorder="1" applyAlignment="1">
      <alignment horizontal="center"/>
    </xf>
    <xf numFmtId="0" fontId="3" fillId="20" borderId="10" xfId="0" applyFont="1" applyFill="1" applyBorder="1" applyAlignment="1">
      <alignment horizontal="center"/>
    </xf>
    <xf numFmtId="0" fontId="9" fillId="5" borderId="65" xfId="0" applyFont="1" applyFill="1" applyBorder="1" applyAlignment="1">
      <alignment horizontal="center"/>
    </xf>
    <xf numFmtId="0" fontId="9" fillId="5" borderId="66" xfId="0" applyFont="1" applyFill="1" applyBorder="1" applyAlignment="1">
      <alignment horizontal="center"/>
    </xf>
    <xf numFmtId="0" fontId="9" fillId="5" borderId="10" xfId="0" applyFont="1" applyFill="1" applyBorder="1" applyAlignment="1">
      <alignment horizontal="center"/>
    </xf>
    <xf numFmtId="0" fontId="3" fillId="5" borderId="65" xfId="0" applyFont="1" applyFill="1" applyBorder="1" applyAlignment="1">
      <alignment horizontal="center"/>
    </xf>
    <xf numFmtId="0" fontId="3" fillId="5" borderId="66" xfId="0" applyFont="1" applyFill="1" applyBorder="1" applyAlignment="1">
      <alignment horizontal="center"/>
    </xf>
    <xf numFmtId="0" fontId="3" fillId="5" borderId="10" xfId="0" applyFont="1" applyFill="1" applyBorder="1" applyAlignment="1">
      <alignment horizontal="center"/>
    </xf>
    <xf numFmtId="0" fontId="3" fillId="15" borderId="65" xfId="0" applyFont="1" applyFill="1" applyBorder="1" applyAlignment="1">
      <alignment horizontal="center"/>
    </xf>
    <xf numFmtId="0" fontId="3" fillId="15" borderId="66" xfId="0" applyFont="1" applyFill="1" applyBorder="1" applyAlignment="1">
      <alignment horizontal="center"/>
    </xf>
    <xf numFmtId="0" fontId="3" fillId="15" borderId="10" xfId="0" applyFont="1" applyFill="1" applyBorder="1" applyAlignment="1">
      <alignment horizontal="center"/>
    </xf>
    <xf numFmtId="0" fontId="11" fillId="8" borderId="65" xfId="0" applyFont="1" applyFill="1" applyBorder="1" applyAlignment="1">
      <alignment horizontal="center"/>
    </xf>
    <xf numFmtId="0" fontId="11" fillId="8" borderId="66" xfId="0" applyFont="1" applyFill="1" applyBorder="1" applyAlignment="1">
      <alignment horizontal="center"/>
    </xf>
    <xf numFmtId="0" fontId="11" fillId="8" borderId="10" xfId="0" applyFont="1" applyFill="1" applyBorder="1" applyAlignment="1">
      <alignment horizontal="center"/>
    </xf>
    <xf numFmtId="0" fontId="3" fillId="8" borderId="65" xfId="0" applyFont="1" applyFill="1" applyBorder="1" applyAlignment="1">
      <alignment horizontal="center"/>
    </xf>
    <xf numFmtId="0" fontId="3" fillId="8" borderId="66" xfId="0" applyFont="1" applyFill="1" applyBorder="1" applyAlignment="1">
      <alignment horizontal="center"/>
    </xf>
    <xf numFmtId="0" fontId="3" fillId="8" borderId="10" xfId="0" applyFont="1" applyFill="1" applyBorder="1" applyAlignment="1">
      <alignment horizontal="center"/>
    </xf>
    <xf numFmtId="0" fontId="0" fillId="0" borderId="65" xfId="0" applyBorder="1" applyAlignment="1">
      <alignment horizontal="center"/>
    </xf>
    <xf numFmtId="0" fontId="0" fillId="0" borderId="66" xfId="0" applyBorder="1" applyAlignment="1">
      <alignment horizontal="center"/>
    </xf>
    <xf numFmtId="0" fontId="0" fillId="0" borderId="10" xfId="0" applyBorder="1" applyAlignment="1">
      <alignment horizontal="center"/>
    </xf>
    <xf numFmtId="0" fontId="3" fillId="9" borderId="65" xfId="0" applyFont="1" applyFill="1" applyBorder="1" applyAlignment="1">
      <alignment horizontal="center"/>
    </xf>
    <xf numFmtId="0" fontId="3" fillId="9" borderId="66" xfId="0" applyFont="1" applyFill="1" applyBorder="1" applyAlignment="1">
      <alignment horizontal="center"/>
    </xf>
    <xf numFmtId="0" fontId="3" fillId="9" borderId="10" xfId="0" applyFont="1" applyFill="1" applyBorder="1" applyAlignment="1">
      <alignment horizontal="center"/>
    </xf>
    <xf numFmtId="0" fontId="3" fillId="0" borderId="65" xfId="0" applyFont="1" applyBorder="1" applyAlignment="1">
      <alignment horizontal="center" wrapText="1"/>
    </xf>
    <xf numFmtId="0" fontId="3" fillId="0" borderId="66" xfId="0" applyFont="1" applyBorder="1" applyAlignment="1">
      <alignment horizontal="center" wrapText="1"/>
    </xf>
    <xf numFmtId="0" fontId="3" fillId="0" borderId="10" xfId="0" applyFont="1" applyBorder="1" applyAlignment="1">
      <alignment horizontal="center" wrapText="1"/>
    </xf>
    <xf numFmtId="0" fontId="3" fillId="15" borderId="65" xfId="0" applyFont="1" applyFill="1" applyBorder="1" applyAlignment="1">
      <alignment horizontal="left"/>
    </xf>
    <xf numFmtId="0" fontId="3" fillId="15" borderId="66" xfId="0" applyFont="1" applyFill="1" applyBorder="1" applyAlignment="1">
      <alignment horizontal="left"/>
    </xf>
    <xf numFmtId="0" fontId="3" fillId="5" borderId="65" xfId="0" applyFont="1" applyFill="1" applyBorder="1" applyAlignment="1">
      <alignment horizontal="left"/>
    </xf>
    <xf numFmtId="0" fontId="3" fillId="5" borderId="66" xfId="0" applyFont="1" applyFill="1" applyBorder="1" applyAlignment="1">
      <alignment horizontal="left"/>
    </xf>
    <xf numFmtId="0" fontId="11" fillId="20" borderId="65" xfId="0" applyFont="1" applyFill="1" applyBorder="1" applyAlignment="1">
      <alignment horizontal="center"/>
    </xf>
    <xf numFmtId="0" fontId="11" fillId="20" borderId="66" xfId="0" applyFont="1" applyFill="1" applyBorder="1" applyAlignment="1">
      <alignment horizontal="center"/>
    </xf>
    <xf numFmtId="0" fontId="11" fillId="20" borderId="10" xfId="0" applyFont="1" applyFill="1" applyBorder="1" applyAlignment="1">
      <alignment horizontal="center"/>
    </xf>
    <xf numFmtId="0" fontId="9" fillId="15" borderId="65" xfId="0" applyFont="1" applyFill="1" applyBorder="1" applyAlignment="1">
      <alignment horizontal="center"/>
    </xf>
    <xf numFmtId="0" fontId="9" fillId="15" borderId="66" xfId="0" applyFont="1" applyFill="1" applyBorder="1" applyAlignment="1">
      <alignment horizontal="center"/>
    </xf>
    <xf numFmtId="0" fontId="3" fillId="0" borderId="0" xfId="0" applyFont="1" applyAlignment="1">
      <alignment horizontal="center" wrapText="1"/>
    </xf>
  </cellXfs>
  <cellStyles count="5">
    <cellStyle name="Comma" xfId="4" builtinId="3"/>
    <cellStyle name="Hyperlink" xfId="3" builtinId="8"/>
    <cellStyle name="Neutral" xfId="1" builtinId="28"/>
    <cellStyle name="Normal" xfId="0" builtinId="0"/>
    <cellStyle name="Percent" xfId="2" builtinId="5"/>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66FF66"/>
      <color rgb="FFDEC0F2"/>
      <color rgb="FFF5B7F6"/>
      <color rgb="FFCC66FF"/>
      <color rgb="FFFF66FF"/>
      <color rgb="FFFF0066"/>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v>Root</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Inputs!$I$65:$I$66</c:f>
              <c:numCache>
                <c:formatCode>0.00</c:formatCode>
                <c:ptCount val="2"/>
                <c:pt idx="0">
                  <c:v>0</c:v>
                </c:pt>
                <c:pt idx="1">
                  <c:v>1.55</c:v>
                </c:pt>
              </c:numCache>
            </c:numRef>
          </c:xVal>
          <c:yVal>
            <c:numRef>
              <c:f>Inputs!$J$65:$J$66</c:f>
              <c:numCache>
                <c:formatCode>0.00</c:formatCode>
                <c:ptCount val="2"/>
                <c:pt idx="0">
                  <c:v>0</c:v>
                </c:pt>
                <c:pt idx="1">
                  <c:v>0</c:v>
                </c:pt>
              </c:numCache>
            </c:numRef>
          </c:yVal>
          <c:smooth val="0"/>
          <c:extLst>
            <c:ext xmlns:c16="http://schemas.microsoft.com/office/drawing/2014/chart" uri="{C3380CC4-5D6E-409C-BE32-E72D297353CC}">
              <c16:uniqueId val="{00000000-77A6-48D5-B39C-B90A5DB08A38}"/>
            </c:ext>
          </c:extLst>
        </c:ser>
        <c:ser>
          <c:idx val="1"/>
          <c:order val="1"/>
          <c:tx>
            <c:v>Tip</c:v>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Inputs!$I$67:$I$68</c:f>
              <c:numCache>
                <c:formatCode>0.00</c:formatCode>
                <c:ptCount val="2"/>
                <c:pt idx="0">
                  <c:v>0.135625</c:v>
                </c:pt>
                <c:pt idx="1">
                  <c:v>1.1431249999999999</c:v>
                </c:pt>
              </c:numCache>
            </c:numRef>
          </c:xVal>
          <c:yVal>
            <c:numRef>
              <c:f>Inputs!$J$67:$J$68</c:f>
              <c:numCache>
                <c:formatCode>0.00</c:formatCode>
                <c:ptCount val="2"/>
                <c:pt idx="0">
                  <c:v>7.34</c:v>
                </c:pt>
                <c:pt idx="1">
                  <c:v>7.34</c:v>
                </c:pt>
              </c:numCache>
            </c:numRef>
          </c:yVal>
          <c:smooth val="0"/>
          <c:extLst>
            <c:ext xmlns:c16="http://schemas.microsoft.com/office/drawing/2014/chart" uri="{C3380CC4-5D6E-409C-BE32-E72D297353CC}">
              <c16:uniqueId val="{00000001-77A6-48D5-B39C-B90A5DB08A38}"/>
            </c:ext>
          </c:extLst>
        </c:ser>
        <c:ser>
          <c:idx val="2"/>
          <c:order val="2"/>
          <c:tx>
            <c:v>LE</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(Inputs!$I$65,Inputs!$I$67)</c:f>
              <c:numCache>
                <c:formatCode>0.00</c:formatCode>
                <c:ptCount val="2"/>
                <c:pt idx="0">
                  <c:v>0</c:v>
                </c:pt>
                <c:pt idx="1">
                  <c:v>0.135625</c:v>
                </c:pt>
              </c:numCache>
            </c:numRef>
          </c:xVal>
          <c:yVal>
            <c:numRef>
              <c:f>(Inputs!$J$65,Inputs!$J$67)</c:f>
              <c:numCache>
                <c:formatCode>0.00</c:formatCode>
                <c:ptCount val="2"/>
                <c:pt idx="0">
                  <c:v>0</c:v>
                </c:pt>
                <c:pt idx="1">
                  <c:v>7.34</c:v>
                </c:pt>
              </c:numCache>
            </c:numRef>
          </c:yVal>
          <c:smooth val="0"/>
          <c:extLst>
            <c:ext xmlns:c16="http://schemas.microsoft.com/office/drawing/2014/chart" uri="{C3380CC4-5D6E-409C-BE32-E72D297353CC}">
              <c16:uniqueId val="{00000002-77A6-48D5-B39C-B90A5DB08A38}"/>
            </c:ext>
          </c:extLst>
        </c:ser>
        <c:ser>
          <c:idx val="3"/>
          <c:order val="3"/>
          <c:tx>
            <c:v>TE</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(Inputs!$I$66,Inputs!$I$68)</c:f>
              <c:numCache>
                <c:formatCode>0.00</c:formatCode>
                <c:ptCount val="2"/>
                <c:pt idx="0">
                  <c:v>1.55</c:v>
                </c:pt>
                <c:pt idx="1">
                  <c:v>1.1431249999999999</c:v>
                </c:pt>
              </c:numCache>
            </c:numRef>
          </c:xVal>
          <c:yVal>
            <c:numRef>
              <c:f>(Inputs!$J$66,Inputs!$J$68)</c:f>
              <c:numCache>
                <c:formatCode>0.00</c:formatCode>
                <c:ptCount val="2"/>
                <c:pt idx="0">
                  <c:v>0</c:v>
                </c:pt>
                <c:pt idx="1">
                  <c:v>7.34</c:v>
                </c:pt>
              </c:numCache>
            </c:numRef>
          </c:yVal>
          <c:smooth val="0"/>
          <c:extLst>
            <c:ext xmlns:c16="http://schemas.microsoft.com/office/drawing/2014/chart" uri="{C3380CC4-5D6E-409C-BE32-E72D297353CC}">
              <c16:uniqueId val="{00000003-77A6-48D5-B39C-B90A5DB08A38}"/>
            </c:ext>
          </c:extLst>
        </c:ser>
        <c:ser>
          <c:idx val="4"/>
          <c:order val="4"/>
          <c:tx>
            <c:v>Spar</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Inputs!$I$70:$I$71</c:f>
              <c:numCache>
                <c:formatCode>0.00</c:formatCode>
                <c:ptCount val="2"/>
                <c:pt idx="0">
                  <c:v>0.38750000000000001</c:v>
                </c:pt>
                <c:pt idx="1">
                  <c:v>0.38750000000000001</c:v>
                </c:pt>
              </c:numCache>
            </c:numRef>
          </c:xVal>
          <c:yVal>
            <c:numRef>
              <c:f>Inputs!$J$70:$J$71</c:f>
              <c:numCache>
                <c:formatCode>0.00</c:formatCode>
                <c:ptCount val="2"/>
                <c:pt idx="0">
                  <c:v>0</c:v>
                </c:pt>
                <c:pt idx="1">
                  <c:v>7.34</c:v>
                </c:pt>
              </c:numCache>
            </c:numRef>
          </c:yVal>
          <c:smooth val="0"/>
          <c:extLst>
            <c:ext xmlns:c16="http://schemas.microsoft.com/office/drawing/2014/chart" uri="{C3380CC4-5D6E-409C-BE32-E72D297353CC}">
              <c16:uniqueId val="{00000004-77A6-48D5-B39C-B90A5DB08A38}"/>
            </c:ext>
          </c:extLst>
        </c:ser>
        <c:ser>
          <c:idx val="5"/>
          <c:order val="5"/>
          <c:tx>
            <c:v>Aft Web</c:v>
          </c:tx>
          <c:spPr>
            <a:ln w="19050" cap="rnd">
              <a:solidFill>
                <a:schemeClr val="accent6"/>
              </a:solidFill>
              <a:round/>
            </a:ln>
            <a:effectLst/>
          </c:spPr>
          <c:marker>
            <c:symbol val="circle"/>
            <c:size val="5"/>
            <c:spPr>
              <a:solidFill>
                <a:schemeClr val="accent6"/>
              </a:solidFill>
              <a:ln w="9525">
                <a:solidFill>
                  <a:schemeClr val="accent6"/>
                </a:solidFill>
              </a:ln>
              <a:effectLst/>
            </c:spPr>
          </c:marker>
          <c:xVal>
            <c:numRef>
              <c:f>Inputs!$I$72:$I$73</c:f>
              <c:numCache>
                <c:formatCode>0.00</c:formatCode>
                <c:ptCount val="2"/>
                <c:pt idx="0">
                  <c:v>1.1625000000000001</c:v>
                </c:pt>
                <c:pt idx="1">
                  <c:v>0.89124999999999999</c:v>
                </c:pt>
              </c:numCache>
            </c:numRef>
          </c:xVal>
          <c:yVal>
            <c:numRef>
              <c:f>Inputs!$J$72:$J$73</c:f>
              <c:numCache>
                <c:formatCode>0.00</c:formatCode>
                <c:ptCount val="2"/>
                <c:pt idx="0">
                  <c:v>0</c:v>
                </c:pt>
                <c:pt idx="1">
                  <c:v>7.34</c:v>
                </c:pt>
              </c:numCache>
            </c:numRef>
          </c:yVal>
          <c:smooth val="0"/>
          <c:extLst>
            <c:ext xmlns:c16="http://schemas.microsoft.com/office/drawing/2014/chart" uri="{C3380CC4-5D6E-409C-BE32-E72D297353CC}">
              <c16:uniqueId val="{00000005-77A6-48D5-B39C-B90A5DB08A38}"/>
            </c:ext>
          </c:extLst>
        </c:ser>
        <c:dLbls>
          <c:showLegendKey val="0"/>
          <c:showVal val="0"/>
          <c:showCatName val="0"/>
          <c:showSerName val="0"/>
          <c:showPercent val="0"/>
          <c:showBubbleSize val="0"/>
        </c:dLbls>
        <c:axId val="404383872"/>
        <c:axId val="404384656"/>
      </c:scatterChart>
      <c:valAx>
        <c:axId val="40438387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X [ft]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384656"/>
        <c:crosses val="autoZero"/>
        <c:crossBetween val="midCat"/>
        <c:majorUnit val="1"/>
      </c:valAx>
      <c:valAx>
        <c:axId val="40438465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 [ft]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38387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v>Root</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'Inputs-Imperial'!$I$65:$I$66</c:f>
              <c:numCache>
                <c:formatCode>0.00</c:formatCode>
                <c:ptCount val="2"/>
                <c:pt idx="0">
                  <c:v>0</c:v>
                </c:pt>
                <c:pt idx="1">
                  <c:v>5.0853020000000004</c:v>
                </c:pt>
              </c:numCache>
            </c:numRef>
          </c:xVal>
          <c:yVal>
            <c:numRef>
              <c:f>'Inputs-Imperial'!$J$65:$J$66</c:f>
              <c:numCache>
                <c:formatCode>0.00</c:formatCode>
                <c:ptCount val="2"/>
                <c:pt idx="0">
                  <c:v>0</c:v>
                </c:pt>
                <c:pt idx="1">
                  <c:v>0</c:v>
                </c:pt>
              </c:numCache>
            </c:numRef>
          </c:yVal>
          <c:smooth val="0"/>
          <c:extLst>
            <c:ext xmlns:c16="http://schemas.microsoft.com/office/drawing/2014/chart" uri="{C3380CC4-5D6E-409C-BE32-E72D297353CC}">
              <c16:uniqueId val="{00000000-A009-46E2-A5DE-B01EAB955491}"/>
            </c:ext>
          </c:extLst>
        </c:ser>
        <c:ser>
          <c:idx val="1"/>
          <c:order val="1"/>
          <c:tx>
            <c:v>Tip</c:v>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'Inputs-Imperial'!$I$67:$I$68</c:f>
              <c:numCache>
                <c:formatCode>0.00</c:formatCode>
                <c:ptCount val="2"/>
                <c:pt idx="0">
                  <c:v>0.44496392500000004</c:v>
                </c:pt>
                <c:pt idx="1">
                  <c:v>3.7504102250000004</c:v>
                </c:pt>
              </c:numCache>
            </c:numRef>
          </c:xVal>
          <c:yVal>
            <c:numRef>
              <c:f>'Inputs-Imperial'!$J$67:$J$68</c:f>
              <c:numCache>
                <c:formatCode>0.00</c:formatCode>
                <c:ptCount val="2"/>
                <c:pt idx="0">
                  <c:v>24.081365599999998</c:v>
                </c:pt>
                <c:pt idx="1">
                  <c:v>24.081365599999998</c:v>
                </c:pt>
              </c:numCache>
            </c:numRef>
          </c:yVal>
          <c:smooth val="0"/>
          <c:extLst>
            <c:ext xmlns:c16="http://schemas.microsoft.com/office/drawing/2014/chart" uri="{C3380CC4-5D6E-409C-BE32-E72D297353CC}">
              <c16:uniqueId val="{00000001-A009-46E2-A5DE-B01EAB955491}"/>
            </c:ext>
          </c:extLst>
        </c:ser>
        <c:ser>
          <c:idx val="2"/>
          <c:order val="2"/>
          <c:tx>
            <c:v>LE</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('Inputs-Imperial'!$I$65,'Inputs-Imperial'!$I$67)</c:f>
              <c:numCache>
                <c:formatCode>0.00</c:formatCode>
                <c:ptCount val="2"/>
                <c:pt idx="0">
                  <c:v>0</c:v>
                </c:pt>
                <c:pt idx="1">
                  <c:v>0.44496392500000004</c:v>
                </c:pt>
              </c:numCache>
            </c:numRef>
          </c:xVal>
          <c:yVal>
            <c:numRef>
              <c:f>('Inputs-Imperial'!$J$65,'Inputs-Imperial'!$J$67)</c:f>
              <c:numCache>
                <c:formatCode>0.00</c:formatCode>
                <c:ptCount val="2"/>
                <c:pt idx="0">
                  <c:v>0</c:v>
                </c:pt>
                <c:pt idx="1">
                  <c:v>24.081365599999998</c:v>
                </c:pt>
              </c:numCache>
            </c:numRef>
          </c:yVal>
          <c:smooth val="0"/>
          <c:extLst>
            <c:ext xmlns:c16="http://schemas.microsoft.com/office/drawing/2014/chart" uri="{C3380CC4-5D6E-409C-BE32-E72D297353CC}">
              <c16:uniqueId val="{00000002-A009-46E2-A5DE-B01EAB955491}"/>
            </c:ext>
          </c:extLst>
        </c:ser>
        <c:ser>
          <c:idx val="3"/>
          <c:order val="3"/>
          <c:tx>
            <c:v>TE</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('Inputs-Imperial'!$I$66,'Inputs-Imperial'!$I$68)</c:f>
              <c:numCache>
                <c:formatCode>0.00</c:formatCode>
                <c:ptCount val="2"/>
                <c:pt idx="0">
                  <c:v>5.0853020000000004</c:v>
                </c:pt>
                <c:pt idx="1">
                  <c:v>3.7504102250000004</c:v>
                </c:pt>
              </c:numCache>
            </c:numRef>
          </c:xVal>
          <c:yVal>
            <c:numRef>
              <c:f>('Inputs-Imperial'!$J$66,'Inputs-Imperial'!$J$68)</c:f>
              <c:numCache>
                <c:formatCode>0.00</c:formatCode>
                <c:ptCount val="2"/>
                <c:pt idx="0">
                  <c:v>0</c:v>
                </c:pt>
                <c:pt idx="1">
                  <c:v>24.081365599999998</c:v>
                </c:pt>
              </c:numCache>
            </c:numRef>
          </c:yVal>
          <c:smooth val="0"/>
          <c:extLst>
            <c:ext xmlns:c16="http://schemas.microsoft.com/office/drawing/2014/chart" uri="{C3380CC4-5D6E-409C-BE32-E72D297353CC}">
              <c16:uniqueId val="{00000003-A009-46E2-A5DE-B01EAB955491}"/>
            </c:ext>
          </c:extLst>
        </c:ser>
        <c:ser>
          <c:idx val="4"/>
          <c:order val="4"/>
          <c:tx>
            <c:v>Spar</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'Inputs-Imperial'!$I$70:$I$71</c:f>
              <c:numCache>
                <c:formatCode>0.00</c:formatCode>
                <c:ptCount val="2"/>
                <c:pt idx="0">
                  <c:v>1.2713255000000001</c:v>
                </c:pt>
                <c:pt idx="1">
                  <c:v>1.2713255000000001</c:v>
                </c:pt>
              </c:numCache>
            </c:numRef>
          </c:xVal>
          <c:yVal>
            <c:numRef>
              <c:f>'Inputs-Imperial'!$J$70:$J$71</c:f>
              <c:numCache>
                <c:formatCode>0.00</c:formatCode>
                <c:ptCount val="2"/>
                <c:pt idx="0">
                  <c:v>0</c:v>
                </c:pt>
                <c:pt idx="1">
                  <c:v>24.081365599999998</c:v>
                </c:pt>
              </c:numCache>
            </c:numRef>
          </c:yVal>
          <c:smooth val="0"/>
          <c:extLst>
            <c:ext xmlns:c16="http://schemas.microsoft.com/office/drawing/2014/chart" uri="{C3380CC4-5D6E-409C-BE32-E72D297353CC}">
              <c16:uniqueId val="{00000004-A009-46E2-A5DE-B01EAB955491}"/>
            </c:ext>
          </c:extLst>
        </c:ser>
        <c:ser>
          <c:idx val="5"/>
          <c:order val="5"/>
          <c:tx>
            <c:v>Aft Web</c:v>
          </c:tx>
          <c:spPr>
            <a:ln w="19050" cap="rnd">
              <a:solidFill>
                <a:schemeClr val="accent6"/>
              </a:solidFill>
              <a:round/>
            </a:ln>
            <a:effectLst/>
          </c:spPr>
          <c:marker>
            <c:symbol val="circle"/>
            <c:size val="5"/>
            <c:spPr>
              <a:solidFill>
                <a:schemeClr val="accent6"/>
              </a:solidFill>
              <a:ln w="9525">
                <a:solidFill>
                  <a:schemeClr val="accent6"/>
                </a:solidFill>
              </a:ln>
              <a:effectLst/>
            </c:spPr>
          </c:marker>
          <c:xVal>
            <c:numRef>
              <c:f>'Inputs-Imperial'!$I$72:$I$73</c:f>
              <c:numCache>
                <c:formatCode>0.00</c:formatCode>
                <c:ptCount val="2"/>
                <c:pt idx="0">
                  <c:v>3.8139765000000003</c:v>
                </c:pt>
                <c:pt idx="1">
                  <c:v>2.9240486500000005</c:v>
                </c:pt>
              </c:numCache>
            </c:numRef>
          </c:xVal>
          <c:yVal>
            <c:numRef>
              <c:f>'Inputs-Imperial'!$J$72:$J$73</c:f>
              <c:numCache>
                <c:formatCode>0.00</c:formatCode>
                <c:ptCount val="2"/>
                <c:pt idx="0">
                  <c:v>0</c:v>
                </c:pt>
                <c:pt idx="1">
                  <c:v>24.081365599999998</c:v>
                </c:pt>
              </c:numCache>
            </c:numRef>
          </c:yVal>
          <c:smooth val="0"/>
          <c:extLst>
            <c:ext xmlns:c16="http://schemas.microsoft.com/office/drawing/2014/chart" uri="{C3380CC4-5D6E-409C-BE32-E72D297353CC}">
              <c16:uniqueId val="{00000006-A009-46E2-A5DE-B01EAB955491}"/>
            </c:ext>
          </c:extLst>
        </c:ser>
        <c:dLbls>
          <c:showLegendKey val="0"/>
          <c:showVal val="0"/>
          <c:showCatName val="0"/>
          <c:showSerName val="0"/>
          <c:showPercent val="0"/>
          <c:showBubbleSize val="0"/>
        </c:dLbls>
        <c:axId val="404383872"/>
        <c:axId val="404384656"/>
      </c:scatterChart>
      <c:valAx>
        <c:axId val="40438387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X [ft]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384656"/>
        <c:crosses val="autoZero"/>
        <c:crossBetween val="midCat"/>
        <c:majorUnit val="1"/>
      </c:valAx>
      <c:valAx>
        <c:axId val="40438465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 [ft]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38387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xVal>
            <c:numRef>
              <c:f>Loads!$A$20:$A$120</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xVal>
          <c:yVal>
            <c:numRef>
              <c:f>Loads!$J$20:$J$120</c:f>
              <c:numCache>
                <c:formatCode>0.0</c:formatCode>
                <c:ptCount val="101"/>
                <c:pt idx="0">
                  <c:v>0</c:v>
                </c:pt>
                <c:pt idx="1">
                  <c:v>120.55461165591025</c:v>
                </c:pt>
                <c:pt idx="2">
                  <c:v>120.34246877739881</c:v>
                </c:pt>
                <c:pt idx="3">
                  <c:v>120.1241421097549</c:v>
                </c:pt>
                <c:pt idx="4">
                  <c:v>119.89962793908354</c:v>
                </c:pt>
                <c:pt idx="5">
                  <c:v>119.66892068756596</c:v>
                </c:pt>
                <c:pt idx="6">
                  <c:v>119.43201290506146</c:v>
                </c:pt>
                <c:pt idx="7">
                  <c:v>119.18889525786385</c:v>
                </c:pt>
                <c:pt idx="8">
                  <c:v>118.93955651457065</c:v>
                </c:pt>
                <c:pt idx="9">
                  <c:v>118.68398352902143</c:v>
                </c:pt>
                <c:pt idx="10">
                  <c:v>118.42216122023554</c:v>
                </c:pt>
                <c:pt idx="11">
                  <c:v>118.15407254928363</c:v>
                </c:pt>
                <c:pt idx="12">
                  <c:v>117.87969849300998</c:v>
                </c:pt>
                <c:pt idx="13">
                  <c:v>117.59901801450354</c:v>
                </c:pt>
                <c:pt idx="14">
                  <c:v>117.31200803021564</c:v>
                </c:pt>
                <c:pt idx="15">
                  <c:v>117.01864337360081</c:v>
                </c:pt>
                <c:pt idx="16">
                  <c:v>116.71889675514464</c:v>
                </c:pt>
                <c:pt idx="17">
                  <c:v>116.41273871862089</c:v>
                </c:pt>
                <c:pt idx="18">
                  <c:v>116.10013759342411</c:v>
                </c:pt>
                <c:pt idx="19">
                  <c:v>115.78105944277993</c:v>
                </c:pt>
                <c:pt idx="20">
                  <c:v>115.45546800762978</c:v>
                </c:pt>
                <c:pt idx="21">
                  <c:v>115.12332464597638</c:v>
                </c:pt>
                <c:pt idx="22">
                  <c:v>114.78458826743285</c:v>
                </c:pt>
                <c:pt idx="23">
                  <c:v>114.43921526270469</c:v>
                </c:pt>
                <c:pt idx="24">
                  <c:v>114.08715942772055</c:v>
                </c:pt>
                <c:pt idx="25">
                  <c:v>113.72837188207527</c:v>
                </c:pt>
                <c:pt idx="26">
                  <c:v>113.36280098143057</c:v>
                </c:pt>
                <c:pt idx="27">
                  <c:v>112.99039222349599</c:v>
                </c:pt>
                <c:pt idx="28">
                  <c:v>112.6110881471492</c:v>
                </c:pt>
                <c:pt idx="29">
                  <c:v>112.22482822423774</c:v>
                </c:pt>
                <c:pt idx="30">
                  <c:v>111.8315487435525</c:v>
                </c:pt>
                <c:pt idx="31">
                  <c:v>111.4311826863953</c:v>
                </c:pt>
                <c:pt idx="32">
                  <c:v>111.02365959315414</c:v>
                </c:pt>
                <c:pt idx="33">
                  <c:v>110.60890542017979</c:v>
                </c:pt>
                <c:pt idx="34">
                  <c:v>110.18684238623918</c:v>
                </c:pt>
                <c:pt idx="35">
                  <c:v>109.75738880772001</c:v>
                </c:pt>
                <c:pt idx="36">
                  <c:v>109.32045892169302</c:v>
                </c:pt>
                <c:pt idx="37">
                  <c:v>108.87596269582122</c:v>
                </c:pt>
                <c:pt idx="38">
                  <c:v>108.42380562404806</c:v>
                </c:pt>
                <c:pt idx="39">
                  <c:v>107.96388850682438</c:v>
                </c:pt>
                <c:pt idx="40">
                  <c:v>107.49610721454904</c:v>
                </c:pt>
                <c:pt idx="41">
                  <c:v>107.02035243272979</c:v>
                </c:pt>
                <c:pt idx="42">
                  <c:v>106.53650938721964</c:v>
                </c:pt>
                <c:pt idx="43">
                  <c:v>106.04445754767647</c:v>
                </c:pt>
                <c:pt idx="44">
                  <c:v>105.54407030722875</c:v>
                </c:pt>
                <c:pt idx="45">
                  <c:v>105.03521463603877</c:v>
                </c:pt>
                <c:pt idx="46">
                  <c:v>104.5177507062309</c:v>
                </c:pt>
                <c:pt idx="47">
                  <c:v>103.99153148532319</c:v>
                </c:pt>
                <c:pt idx="48">
                  <c:v>103.45640229496667</c:v>
                </c:pt>
                <c:pt idx="49">
                  <c:v>102.91220033137499</c:v>
                </c:pt>
                <c:pt idx="50">
                  <c:v>102.3587541434151</c:v>
                </c:pt>
                <c:pt idx="51">
                  <c:v>101.7958830637526</c:v>
                </c:pt>
                <c:pt idx="52">
                  <c:v>101.22339658788457</c:v>
                </c:pt>
                <c:pt idx="53">
                  <c:v>100.64109369517533</c:v>
                </c:pt>
                <c:pt idx="54">
                  <c:v>100.04876210521016</c:v>
                </c:pt>
                <c:pt idx="55">
                  <c:v>99.446177461843774</c:v>
                </c:pt>
                <c:pt idx="56">
                  <c:v>98.8331024362286</c:v>
                </c:pt>
                <c:pt idx="57">
                  <c:v>98.209285738830033</c:v>
                </c:pt>
                <c:pt idx="58">
                  <c:v>97.5744610289495</c:v>
                </c:pt>
                <c:pt idx="59">
                  <c:v>96.928345708473415</c:v>
                </c:pt>
                <c:pt idx="60">
                  <c:v>96.27063958456425</c:v>
                </c:pt>
                <c:pt idx="61">
                  <c:v>95.601023383438417</c:v>
                </c:pt>
                <c:pt idx="62">
                  <c:v>94.919157094516251</c:v>
                </c:pt>
                <c:pt idx="63">
                  <c:v>94.224678120670674</c:v>
                </c:pt>
                <c:pt idx="64">
                  <c:v>93.517199206089003</c:v>
                </c:pt>
                <c:pt idx="65">
                  <c:v>92.796306108162923</c:v>
                </c:pt>
                <c:pt idx="66">
                  <c:v>92.061554973640426</c:v>
                </c:pt>
                <c:pt idx="67">
                  <c:v>91.312469371739496</c:v>
                </c:pt>
                <c:pt idx="68">
                  <c:v>90.548536927690336</c:v>
                </c:pt>
                <c:pt idx="69">
                  <c:v>89.769205488791684</c:v>
                </c:pt>
                <c:pt idx="70">
                  <c:v>88.973878740967081</c:v>
                </c:pt>
                <c:pt idx="71">
                  <c:v>88.161911176157929</c:v>
                </c:pt>
                <c:pt idx="72">
                  <c:v>87.332602288836085</c:v>
                </c:pt>
                <c:pt idx="73">
                  <c:v>86.485189851815662</c:v>
                </c:pt>
                <c:pt idx="74">
                  <c:v>85.618842085889824</c:v>
                </c:pt>
                <c:pt idx="75">
                  <c:v>84.732648491829266</c:v>
                </c:pt>
                <c:pt idx="76">
                  <c:v>83.825609053660202</c:v>
                </c:pt>
                <c:pt idx="77">
                  <c:v>82.896621444025129</c:v>
                </c:pt>
                <c:pt idx="78">
                  <c:v>81.944465759045016</c:v>
                </c:pt>
                <c:pt idx="79">
                  <c:v>80.967786171753076</c:v>
                </c:pt>
                <c:pt idx="80">
                  <c:v>79.965068705800391</c:v>
                </c:pt>
                <c:pt idx="81">
                  <c:v>78.934614074051765</c:v>
                </c:pt>
                <c:pt idx="82">
                  <c:v>77.874504168915522</c:v>
                </c:pt>
                <c:pt idx="83">
                  <c:v>76.782560285556798</c:v>
                </c:pt>
                <c:pt idx="84">
                  <c:v>75.656290431982711</c:v>
                </c:pt>
                <c:pt idx="85">
                  <c:v>74.492822014576177</c:v>
                </c:pt>
                <c:pt idx="86">
                  <c:v>73.288814593119326</c:v>
                </c:pt>
                <c:pt idx="87">
                  <c:v>72.040344956491623</c:v>
                </c:pt>
                <c:pt idx="88">
                  <c:v>70.742752926606073</c:v>
                </c:pt>
                <c:pt idx="89">
                  <c:v>69.390430065499061</c:v>
                </c:pt>
                <c:pt idx="90">
                  <c:v>67.976522997509804</c:v>
                </c:pt>
                <c:pt idx="91">
                  <c:v>66.492504773162366</c:v>
                </c:pt>
                <c:pt idx="92">
                  <c:v>64.927534197166494</c:v>
                </c:pt>
                <c:pt idx="93">
                  <c:v>63.267458078728374</c:v>
                </c:pt>
                <c:pt idx="94">
                  <c:v>61.493176385796907</c:v>
                </c:pt>
                <c:pt idx="95">
                  <c:v>59.57778446155811</c:v>
                </c:pt>
                <c:pt idx="96">
                  <c:v>57.481130932390506</c:v>
                </c:pt>
                <c:pt idx="97">
                  <c:v>55.138135232765741</c:v>
                </c:pt>
                <c:pt idx="98">
                  <c:v>52.428663926845424</c:v>
                </c:pt>
                <c:pt idx="99">
                  <c:v>49.069071445204166</c:v>
                </c:pt>
                <c:pt idx="100">
                  <c:v>42.712779409173145</c:v>
                </c:pt>
              </c:numCache>
            </c:numRef>
          </c:yVal>
          <c:smooth val="0"/>
          <c:extLst>
            <c:ext xmlns:c16="http://schemas.microsoft.com/office/drawing/2014/chart" uri="{C3380CC4-5D6E-409C-BE32-E72D297353CC}">
              <c16:uniqueId val="{00000000-6357-4C14-8547-5809DEC03CF6}"/>
            </c:ext>
          </c:extLst>
        </c:ser>
        <c:dLbls>
          <c:showLegendKey val="0"/>
          <c:showVal val="0"/>
          <c:showCatName val="0"/>
          <c:showSerName val="0"/>
          <c:showPercent val="0"/>
          <c:showBubbleSize val="0"/>
        </c:dLbls>
        <c:axId val="404385440"/>
        <c:axId val="404385832"/>
      </c:scatterChart>
      <c:valAx>
        <c:axId val="404385440"/>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Wing Segment - 100 * 2y/b</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385832"/>
        <c:crosses val="autoZero"/>
        <c:crossBetween val="midCat"/>
      </c:valAx>
      <c:valAx>
        <c:axId val="404385832"/>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Lift Dist [lbs/segment]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38544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xVal>
            <c:numRef>
              <c:f>Loads!$A$20:$A$120</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xVal>
          <c:yVal>
            <c:numRef>
              <c:f>Loads!$M$20:$M$120</c:f>
              <c:numCache>
                <c:formatCode>0</c:formatCode>
                <c:ptCount val="101"/>
                <c:pt idx="0">
                  <c:v>9707.7706817218186</c:v>
                </c:pt>
                <c:pt idx="1">
                  <c:v>9587.2160700659078</c:v>
                </c:pt>
                <c:pt idx="2">
                  <c:v>9466.8736012885092</c:v>
                </c:pt>
                <c:pt idx="3">
                  <c:v>9346.7494591787545</c:v>
                </c:pt>
                <c:pt idx="4">
                  <c:v>9226.8498312396714</c:v>
                </c:pt>
                <c:pt idx="5">
                  <c:v>9107.1809105521061</c:v>
                </c:pt>
                <c:pt idx="6">
                  <c:v>8987.7488976470449</c:v>
                </c:pt>
                <c:pt idx="7">
                  <c:v>8868.5600023891802</c:v>
                </c:pt>
                <c:pt idx="8">
                  <c:v>8749.6204458746088</c:v>
                </c:pt>
                <c:pt idx="9">
                  <c:v>8630.9364623455876</c:v>
                </c:pt>
                <c:pt idx="10">
                  <c:v>8512.5143011253513</c:v>
                </c:pt>
                <c:pt idx="11">
                  <c:v>8394.360228576068</c:v>
                </c:pt>
                <c:pt idx="12">
                  <c:v>8276.4805300830576</c:v>
                </c:pt>
                <c:pt idx="13">
                  <c:v>8158.881512068554</c:v>
                </c:pt>
                <c:pt idx="14">
                  <c:v>8041.569504038338</c:v>
                </c:pt>
                <c:pt idx="15">
                  <c:v>7924.5508606647372</c:v>
                </c:pt>
                <c:pt idx="16">
                  <c:v>7807.8319639095926</c:v>
                </c:pt>
                <c:pt idx="17">
                  <c:v>7691.4192251909717</c:v>
                </c:pt>
                <c:pt idx="18">
                  <c:v>7575.3190875975479</c:v>
                </c:pt>
                <c:pt idx="19">
                  <c:v>7459.5380281547677</c:v>
                </c:pt>
                <c:pt idx="20">
                  <c:v>7344.0825601471379</c:v>
                </c:pt>
                <c:pt idx="21">
                  <c:v>7228.9592355011619</c:v>
                </c:pt>
                <c:pt idx="22">
                  <c:v>7114.174647233729</c:v>
                </c:pt>
                <c:pt idx="23">
                  <c:v>6999.7354319710239</c:v>
                </c:pt>
                <c:pt idx="24">
                  <c:v>6885.6482725433034</c:v>
                </c:pt>
                <c:pt idx="25">
                  <c:v>6771.919900661228</c:v>
                </c:pt>
                <c:pt idx="26">
                  <c:v>6658.5570996797978</c:v>
                </c:pt>
                <c:pt idx="27">
                  <c:v>6545.5667074563016</c:v>
                </c:pt>
                <c:pt idx="28">
                  <c:v>6432.9556193091521</c:v>
                </c:pt>
                <c:pt idx="29">
                  <c:v>6320.730791084914</c:v>
                </c:pt>
                <c:pt idx="30">
                  <c:v>6208.8992423413611</c:v>
                </c:pt>
                <c:pt idx="31">
                  <c:v>6097.4680596549661</c:v>
                </c:pt>
                <c:pt idx="32">
                  <c:v>5986.4444000618123</c:v>
                </c:pt>
                <c:pt idx="33">
                  <c:v>5875.8354946416321</c:v>
                </c:pt>
                <c:pt idx="34">
                  <c:v>5765.6486522553932</c:v>
                </c:pt>
                <c:pt idx="35">
                  <c:v>5655.8912634476728</c:v>
                </c:pt>
                <c:pt idx="36">
                  <c:v>5546.5708045259798</c:v>
                </c:pt>
                <c:pt idx="37">
                  <c:v>5437.694841830159</c:v>
                </c:pt>
                <c:pt idx="38">
                  <c:v>5329.2710362061107</c:v>
                </c:pt>
                <c:pt idx="39">
                  <c:v>5221.3071476992864</c:v>
                </c:pt>
                <c:pt idx="40">
                  <c:v>5113.8110404847375</c:v>
                </c:pt>
                <c:pt idx="41">
                  <c:v>5006.7906880520077</c:v>
                </c:pt>
                <c:pt idx="42">
                  <c:v>4900.254178664788</c:v>
                </c:pt>
                <c:pt idx="43">
                  <c:v>4794.2097211171113</c:v>
                </c:pt>
                <c:pt idx="44">
                  <c:v>4688.6656508098822</c:v>
                </c:pt>
                <c:pt idx="45">
                  <c:v>4583.630436173843</c:v>
                </c:pt>
                <c:pt idx="46">
                  <c:v>4479.1126854676122</c:v>
                </c:pt>
                <c:pt idx="47">
                  <c:v>4375.1211539822889</c:v>
                </c:pt>
                <c:pt idx="48">
                  <c:v>4271.6647516873218</c:v>
                </c:pt>
                <c:pt idx="49">
                  <c:v>4168.7525513559467</c:v>
                </c:pt>
                <c:pt idx="50">
                  <c:v>4066.3937972125314</c:v>
                </c:pt>
                <c:pt idx="51">
                  <c:v>3964.5979141487787</c:v>
                </c:pt>
                <c:pt idx="52">
                  <c:v>3863.3745175608942</c:v>
                </c:pt>
                <c:pt idx="53">
                  <c:v>3762.733423865719</c:v>
                </c:pt>
                <c:pt idx="54">
                  <c:v>3662.6846617605088</c:v>
                </c:pt>
                <c:pt idx="55">
                  <c:v>3563.2384842986648</c:v>
                </c:pt>
                <c:pt idx="56">
                  <c:v>3464.4053818624361</c:v>
                </c:pt>
                <c:pt idx="57">
                  <c:v>3366.1960961236059</c:v>
                </c:pt>
                <c:pt idx="58">
                  <c:v>3268.6216350946565</c:v>
                </c:pt>
                <c:pt idx="59">
                  <c:v>3171.6932893861831</c:v>
                </c:pt>
                <c:pt idx="60">
                  <c:v>3075.4226498016187</c:v>
                </c:pt>
                <c:pt idx="61">
                  <c:v>2979.8216264181801</c:v>
                </c:pt>
                <c:pt idx="62">
                  <c:v>2884.9024693236638</c:v>
                </c:pt>
                <c:pt idx="63">
                  <c:v>2790.6777912029929</c:v>
                </c:pt>
                <c:pt idx="64">
                  <c:v>2697.1605919969038</c:v>
                </c:pt>
                <c:pt idx="65">
                  <c:v>2604.3642858887411</c:v>
                </c:pt>
                <c:pt idx="66">
                  <c:v>2512.3027309151007</c:v>
                </c:pt>
                <c:pt idx="67">
                  <c:v>2420.9902615433612</c:v>
                </c:pt>
                <c:pt idx="68">
                  <c:v>2330.4417246156709</c:v>
                </c:pt>
                <c:pt idx="69">
                  <c:v>2240.6725191268793</c:v>
                </c:pt>
                <c:pt idx="70">
                  <c:v>2151.6986403859123</c:v>
                </c:pt>
                <c:pt idx="71">
                  <c:v>2063.5367292097544</c:v>
                </c:pt>
                <c:pt idx="72">
                  <c:v>1976.2041269209185</c:v>
                </c:pt>
                <c:pt idx="73">
                  <c:v>1889.7189370691028</c:v>
                </c:pt>
                <c:pt idx="74">
                  <c:v>1804.100094983213</c:v>
                </c:pt>
                <c:pt idx="75">
                  <c:v>1719.3674464913838</c:v>
                </c:pt>
                <c:pt idx="76">
                  <c:v>1635.5418374377236</c:v>
                </c:pt>
                <c:pt idx="77">
                  <c:v>1552.6452159936985</c:v>
                </c:pt>
                <c:pt idx="78">
                  <c:v>1470.7007502346535</c:v>
                </c:pt>
                <c:pt idx="79">
                  <c:v>1389.7329640629005</c:v>
                </c:pt>
                <c:pt idx="80">
                  <c:v>1309.7678953571001</c:v>
                </c:pt>
                <c:pt idx="81">
                  <c:v>1230.8332812830483</c:v>
                </c:pt>
                <c:pt idx="82">
                  <c:v>1152.9587771141328</c:v>
                </c:pt>
                <c:pt idx="83">
                  <c:v>1076.1762168285759</c:v>
                </c:pt>
                <c:pt idx="84">
                  <c:v>1000.5199263965933</c:v>
                </c:pt>
                <c:pt idx="85">
                  <c:v>926.02710438201711</c:v>
                </c:pt>
                <c:pt idx="86">
                  <c:v>852.73828978889776</c:v>
                </c:pt>
                <c:pt idx="87">
                  <c:v>780.69794483240617</c:v>
                </c:pt>
                <c:pt idx="88">
                  <c:v>709.95519190580012</c:v>
                </c:pt>
                <c:pt idx="89">
                  <c:v>640.56476184030112</c:v>
                </c:pt>
                <c:pt idx="90">
                  <c:v>572.58823884279127</c:v>
                </c:pt>
                <c:pt idx="91">
                  <c:v>506.09573406962892</c:v>
                </c:pt>
                <c:pt idx="92">
                  <c:v>441.16819987246242</c:v>
                </c:pt>
                <c:pt idx="93">
                  <c:v>377.90074179373403</c:v>
                </c:pt>
                <c:pt idx="94">
                  <c:v>316.40756540793711</c:v>
                </c:pt>
                <c:pt idx="95">
                  <c:v>256.829780946379</c:v>
                </c:pt>
                <c:pt idx="96">
                  <c:v>199.34865001398848</c:v>
                </c:pt>
                <c:pt idx="97">
                  <c:v>144.21051478122274</c:v>
                </c:pt>
                <c:pt idx="98">
                  <c:v>91.781850854377311</c:v>
                </c:pt>
                <c:pt idx="99">
                  <c:v>42.712779409173145</c:v>
                </c:pt>
                <c:pt idx="100">
                  <c:v>0</c:v>
                </c:pt>
              </c:numCache>
            </c:numRef>
          </c:yVal>
          <c:smooth val="0"/>
          <c:extLst>
            <c:ext xmlns:c16="http://schemas.microsoft.com/office/drawing/2014/chart" uri="{C3380CC4-5D6E-409C-BE32-E72D297353CC}">
              <c16:uniqueId val="{00000000-2F24-4FE2-86D0-7E7EDE3C10D4}"/>
            </c:ext>
          </c:extLst>
        </c:ser>
        <c:dLbls>
          <c:showLegendKey val="0"/>
          <c:showVal val="0"/>
          <c:showCatName val="0"/>
          <c:showSerName val="0"/>
          <c:showPercent val="0"/>
          <c:showBubbleSize val="0"/>
        </c:dLbls>
        <c:axId val="401969152"/>
        <c:axId val="401969544"/>
      </c:scatterChart>
      <c:valAx>
        <c:axId val="40196915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Wing Segment - 100 * 2y/b</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969544"/>
        <c:crosses val="autoZero"/>
        <c:crossBetween val="midCat"/>
      </c:valAx>
      <c:valAx>
        <c:axId val="40196954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Shear [lbs]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96915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xVal>
            <c:numRef>
              <c:f>Loads!$A$20:$A$120</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xVal>
          <c:yVal>
            <c:numRef>
              <c:f>Loads!$N$20:$N$120</c:f>
              <c:numCache>
                <c:formatCode>0</c:formatCode>
                <c:ptCount val="101"/>
                <c:pt idx="0">
                  <c:v>105068.09904309957</c:v>
                </c:pt>
                <c:pt idx="1">
                  <c:v>102730.33529362454</c:v>
                </c:pt>
                <c:pt idx="2">
                  <c:v>100421.60274093001</c:v>
                </c:pt>
                <c:pt idx="3">
                  <c:v>98141.850298113844</c:v>
                </c:pt>
                <c:pt idx="4">
                  <c:v>95891.025389132992</c:v>
                </c:pt>
                <c:pt idx="5">
                  <c:v>93669.073947909186</c:v>
                </c:pt>
                <c:pt idx="6">
                  <c:v>91475.94041698573</c:v>
                </c:pt>
                <c:pt idx="7">
                  <c:v>89311.567745733366</c:v>
                </c:pt>
                <c:pt idx="8">
                  <c:v>87175.897388102661</c:v>
                </c:pt>
                <c:pt idx="9">
                  <c:v>85068.869299919243</c:v>
                </c:pt>
                <c:pt idx="10">
                  <c:v>82990.421935718099</c:v>
                </c:pt>
                <c:pt idx="11">
                  <c:v>80940.492245111818</c:v>
                </c:pt>
                <c:pt idx="12">
                  <c:v>78919.015668687425</c:v>
                </c:pt>
                <c:pt idx="13">
                  <c:v>76925.92613342531</c:v>
                </c:pt>
                <c:pt idx="14">
                  <c:v>74961.156047633267</c:v>
                </c:pt>
                <c:pt idx="15">
                  <c:v>73024.636295387696</c:v>
                </c:pt>
                <c:pt idx="16">
                  <c:v>71116.296230473075</c:v>
                </c:pt>
                <c:pt idx="17">
                  <c:v>69236.063669810348</c:v>
                </c:pt>
                <c:pt idx="18">
                  <c:v>67383.86488636343</c:v>
                </c:pt>
                <c:pt idx="19">
                  <c:v>65559.624601512478</c:v>
                </c:pt>
                <c:pt idx="20">
                  <c:v>63763.265976881499</c:v>
                </c:pt>
                <c:pt idx="21">
                  <c:v>61994.710605606633</c:v>
                </c:pt>
                <c:pt idx="22">
                  <c:v>60253.878503030632</c:v>
                </c:pt>
                <c:pt idx="23">
                  <c:v>58540.688096807768</c:v>
                </c:pt>
                <c:pt idx="24">
                  <c:v>56855.056216402088</c:v>
                </c:pt>
                <c:pt idx="25">
                  <c:v>55196.898081960848</c:v>
                </c:pt>
                <c:pt idx="26">
                  <c:v>53566.12729254346</c:v>
                </c:pt>
                <c:pt idx="27">
                  <c:v>51962.655813684811</c:v>
                </c:pt>
                <c:pt idx="28">
                  <c:v>50386.393964270377</c:v>
                </c:pt>
                <c:pt idx="29">
                  <c:v>48837.250402698803</c:v>
                </c:pt>
                <c:pt idx="30">
                  <c:v>47315.132112305873</c:v>
                </c:pt>
                <c:pt idx="31">
                  <c:v>45819.94438602202</c:v>
                </c:pt>
                <c:pt idx="32">
                  <c:v>44351.590810233283</c:v>
                </c:pt>
                <c:pt idx="33">
                  <c:v>42909.973247813672</c:v>
                </c:pt>
                <c:pt idx="34">
                  <c:v>41494.991820294454</c:v>
                </c:pt>
                <c:pt idx="35">
                  <c:v>40106.544889133365</c:v>
                </c:pt>
                <c:pt idx="36">
                  <c:v>38744.52903604407</c:v>
                </c:pt>
                <c:pt idx="37">
                  <c:v>37408.839042343308</c:v>
                </c:pt>
                <c:pt idx="38">
                  <c:v>36099.367867269844</c:v>
                </c:pt>
                <c:pt idx="39">
                  <c:v>34816.006625226139</c:v>
                </c:pt>
                <c:pt idx="40">
                  <c:v>33558.644561889741</c:v>
                </c:pt>
                <c:pt idx="41">
                  <c:v>32327.169029137454</c:v>
                </c:pt>
                <c:pt idx="42">
                  <c:v>31121.465458720893</c:v>
                </c:pt>
                <c:pt idx="43">
                  <c:v>29941.417334627349</c:v>
                </c:pt>
                <c:pt idx="44">
                  <c:v>28786.906164054395</c:v>
                </c:pt>
                <c:pt idx="45">
                  <c:v>27657.811446921245</c:v>
                </c:pt>
                <c:pt idx="46">
                  <c:v>26554.010643833346</c:v>
                </c:pt>
                <c:pt idx="47">
                  <c:v>25475.379142409918</c:v>
                </c:pt>
                <c:pt idx="48">
                  <c:v>24421.790221876505</c:v>
                </c:pt>
                <c:pt idx="49">
                  <c:v>23393.115015816347</c:v>
                </c:pt>
                <c:pt idx="50">
                  <c:v>22389.222472964993</c:v>
                </c:pt>
                <c:pt idx="51">
                  <c:v>21409.979315922519</c:v>
                </c:pt>
                <c:pt idx="52">
                  <c:v>20455.249997646377</c:v>
                </c:pt>
                <c:pt idx="53">
                  <c:v>19524.8966555753</c:v>
                </c:pt>
                <c:pt idx="54">
                  <c:v>18618.779063220798</c:v>
                </c:pt>
                <c:pt idx="55">
                  <c:v>17736.754579047127</c:v>
                </c:pt>
                <c:pt idx="56">
                  <c:v>16878.678092443264</c:v>
                </c:pt>
                <c:pt idx="57">
                  <c:v>16044.401966570906</c:v>
                </c:pt>
                <c:pt idx="58">
                  <c:v>15233.775977850451</c:v>
                </c:pt>
                <c:pt idx="59">
                  <c:v>14446.647251822609</c:v>
                </c:pt>
                <c:pt idx="60">
                  <c:v>13682.860195094856</c:v>
                </c:pt>
                <c:pt idx="61">
                  <c:v>12942.25642305092</c:v>
                </c:pt>
                <c:pt idx="62">
                  <c:v>12224.674682965291</c:v>
                </c:pt>
                <c:pt idx="63">
                  <c:v>11529.950772124032</c:v>
                </c:pt>
                <c:pt idx="64">
                  <c:v>10857.917450506433</c:v>
                </c:pt>
                <c:pt idx="65">
                  <c:v>10208.404347528534</c:v>
                </c:pt>
                <c:pt idx="66">
                  <c:v>9581.2378622878368</c:v>
                </c:pt>
                <c:pt idx="67">
                  <c:v>8976.241056677387</c:v>
                </c:pt>
                <c:pt idx="68">
                  <c:v>8393.2335406547336</c:v>
                </c:pt>
                <c:pt idx="69">
                  <c:v>7832.0313488550964</c:v>
                </c:pt>
                <c:pt idx="70">
                  <c:v>7292.4468076254225</c:v>
                </c:pt>
                <c:pt idx="71">
                  <c:v>6774.288391423861</c:v>
                </c:pt>
                <c:pt idx="72">
                  <c:v>6277.3605673725779</c:v>
                </c:pt>
                <c:pt idx="73">
                  <c:v>5801.4636265664631</c:v>
                </c:pt>
                <c:pt idx="74">
                  <c:v>5346.3935005184176</c:v>
                </c:pt>
                <c:pt idx="75">
                  <c:v>4911.9415608555628</c:v>
                </c:pt>
                <c:pt idx="76">
                  <c:v>4497.894400058588</c:v>
                </c:pt>
                <c:pt idx="77">
                  <c:v>4104.0335906442515</c:v>
                </c:pt>
                <c:pt idx="78">
                  <c:v>3730.135419709899</c:v>
                </c:pt>
                <c:pt idx="79">
                  <c:v>3375.9705951639489</c:v>
                </c:pt>
                <c:pt idx="80">
                  <c:v>3041.303919224245</c:v>
                </c:pt>
                <c:pt idx="81">
                  <c:v>2725.8939238318758</c:v>
                </c:pt>
                <c:pt idx="82">
                  <c:v>2429.4924614396327</c:v>
                </c:pt>
                <c:pt idx="83">
                  <c:v>2151.8442431054891</c:v>
                </c:pt>
                <c:pt idx="84">
                  <c:v>1892.6863138307506</c:v>
                </c:pt>
                <c:pt idx="85">
                  <c:v>1651.7474524543359</c:v>
                </c:pt>
                <c:pt idx="86">
                  <c:v>1428.7474798930084</c:v>
                </c:pt>
                <c:pt idx="87">
                  <c:v>1223.3964547177563</c:v>
                </c:pt>
                <c:pt idx="88">
                  <c:v>1035.3937283909781</c:v>
                </c:pt>
                <c:pt idx="89">
                  <c:v>864.42682303196057</c:v>
                </c:pt>
                <c:pt idx="90">
                  <c:v>710.17008082842813</c:v>
                </c:pt>
                <c:pt idx="91">
                  <c:v>572.28301365009418</c:v>
                </c:pt>
                <c:pt idx="92">
                  <c:v>450.40824964278295</c:v>
                </c:pt>
                <c:pt idx="93">
                  <c:v>344.16892252055641</c:v>
                </c:pt>
                <c:pt idx="94">
                  <c:v>253.16526328409657</c:v>
                </c:pt>
                <c:pt idx="95">
                  <c:v>176.970000672152</c:v>
                </c:pt>
                <c:pt idx="96">
                  <c:v>115.12188215277526</c:v>
                </c:pt>
                <c:pt idx="97">
                  <c:v>67.116004924242191</c:v>
                </c:pt>
                <c:pt idx="98">
                  <c:v>32.388143626133861</c:v>
                </c:pt>
                <c:pt idx="99">
                  <c:v>10.285820567444516</c:v>
                </c:pt>
                <c:pt idx="100">
                  <c:v>0</c:v>
                </c:pt>
              </c:numCache>
            </c:numRef>
          </c:yVal>
          <c:smooth val="0"/>
          <c:extLst>
            <c:ext xmlns:c16="http://schemas.microsoft.com/office/drawing/2014/chart" uri="{C3380CC4-5D6E-409C-BE32-E72D297353CC}">
              <c16:uniqueId val="{00000000-6BBD-4477-A71C-64FFA53B09B7}"/>
            </c:ext>
          </c:extLst>
        </c:ser>
        <c:dLbls>
          <c:showLegendKey val="0"/>
          <c:showVal val="0"/>
          <c:showCatName val="0"/>
          <c:showSerName val="0"/>
          <c:showPercent val="0"/>
          <c:showBubbleSize val="0"/>
        </c:dLbls>
        <c:axId val="401964448"/>
        <c:axId val="401964840"/>
      </c:scatterChart>
      <c:valAx>
        <c:axId val="401964448"/>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Wing Segment - 100 * 2y/b</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964840"/>
        <c:crosses val="autoZero"/>
        <c:crossBetween val="midCat"/>
      </c:valAx>
      <c:valAx>
        <c:axId val="40196484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Moment [ft-lbs]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96444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Main</a:t>
            </a:r>
            <a:r>
              <a:rPr lang="en-US" baseline="0"/>
              <a:t> Spar Caps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4"/>
          <c:order val="0"/>
          <c:tx>
            <c:strRef>
              <c:f>Sizing!$DQ$59</c:f>
              <c:strCache>
                <c:ptCount val="1"/>
                <c:pt idx="0">
                  <c:v>Vert Spar
Comp.
Cap Area [in^2]</c:v>
                </c:pt>
              </c:strCache>
            </c:strRef>
          </c:tx>
          <c:spPr>
            <a:ln w="25400" cap="rnd">
              <a:noFill/>
              <a:round/>
            </a:ln>
            <a:effectLst/>
          </c:spPr>
          <c:marker>
            <c:symbol val="circle"/>
            <c:size val="5"/>
            <c:spPr>
              <a:solidFill>
                <a:schemeClr val="accent5"/>
              </a:solidFill>
              <a:ln w="9525">
                <a:solidFill>
                  <a:schemeClr val="accent5"/>
                </a:solidFill>
              </a:ln>
              <a:effectLst/>
            </c:spPr>
          </c:marker>
          <c:xVal>
            <c:numRef>
              <c:f>Sizing!$K$60:$K$160</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xVal>
          <c:yVal>
            <c:numRef>
              <c:f>Sizing!$DQ$60:$DQ$160</c:f>
              <c:numCache>
                <c:formatCode>0.00</c:formatCode>
                <c:ptCount val="101"/>
                <c:pt idx="0">
                  <c:v>3.5859228878785925</c:v>
                </c:pt>
                <c:pt idx="1">
                  <c:v>3.5135770758399087</c:v>
                </c:pt>
                <c:pt idx="2">
                  <c:v>3.4419127957727826</c:v>
                </c:pt>
                <c:pt idx="3">
                  <c:v>3.3709331487303609</c:v>
                </c:pt>
                <c:pt idx="4">
                  <c:v>3.3006411937914399</c:v>
                </c:pt>
                <c:pt idx="5">
                  <c:v>3.231039947715606</c:v>
                </c:pt>
                <c:pt idx="6">
                  <c:v>3.1621323845814975</c:v>
                </c:pt>
                <c:pt idx="7">
                  <c:v>3.0939214354080007</c:v>
                </c:pt>
                <c:pt idx="8">
                  <c:v>3.0264099877580795</c:v>
                </c:pt>
                <c:pt idx="9">
                  <c:v>2.9596008853249707</c:v>
                </c:pt>
                <c:pt idx="10">
                  <c:v>2.8934969275004128</c:v>
                </c:pt>
                <c:pt idx="11">
                  <c:v>2.8281008689245719</c:v>
                </c:pt>
                <c:pt idx="12">
                  <c:v>2.7634154190172713</c:v>
                </c:pt>
                <c:pt idx="13">
                  <c:v>2.6994432414900977</c:v>
                </c:pt>
                <c:pt idx="14">
                  <c:v>2.6361869538389708</c:v>
                </c:pt>
                <c:pt idx="15">
                  <c:v>2.5736491268166386</c:v>
                </c:pt>
                <c:pt idx="16">
                  <c:v>2.5118322838846154</c:v>
                </c:pt>
                <c:pt idx="17">
                  <c:v>2.4507389006439939</c:v>
                </c:pt>
                <c:pt idx="18">
                  <c:v>2.390371404244489</c:v>
                </c:pt>
                <c:pt idx="19">
                  <c:v>2.330732172771131</c:v>
                </c:pt>
                <c:pt idx="20">
                  <c:v>2.271823534607841</c:v>
                </c:pt>
                <c:pt idx="21">
                  <c:v>2.2136477677772177</c:v>
                </c:pt>
                <c:pt idx="22">
                  <c:v>2.1562070992556772</c:v>
                </c:pt>
                <c:pt idx="23">
                  <c:v>2.099503704263157</c:v>
                </c:pt>
                <c:pt idx="24">
                  <c:v>2.0435397055264315</c:v>
                </c:pt>
                <c:pt idx="25">
                  <c:v>1.9883171725151105</c:v>
                </c:pt>
                <c:pt idx="26">
                  <c:v>1.9338381206492732</c:v>
                </c:pt>
                <c:pt idx="27">
                  <c:v>1.8801045104776379</c:v>
                </c:pt>
                <c:pt idx="28">
                  <c:v>1.8271182468251113</c:v>
                </c:pt>
                <c:pt idx="29">
                  <c:v>1.7748811779084419</c:v>
                </c:pt>
                <c:pt idx="30">
                  <c:v>1.7233950944186762</c:v>
                </c:pt>
                <c:pt idx="31">
                  <c:v>1.6726617285689549</c:v>
                </c:pt>
                <c:pt idx="32">
                  <c:v>1.6226827531061681</c:v>
                </c:pt>
                <c:pt idx="33">
                  <c:v>1.5734597802848094</c:v>
                </c:pt>
                <c:pt idx="34">
                  <c:v>1.5249943608013148</c:v>
                </c:pt>
                <c:pt idx="35">
                  <c:v>1.4772879826870289</c:v>
                </c:pt>
                <c:pt idx="36">
                  <c:v>1.4303420701577945</c:v>
                </c:pt>
                <c:pt idx="37">
                  <c:v>1.3841579824180603</c:v>
                </c:pt>
                <c:pt idx="38">
                  <c:v>1.3387370124172193</c:v>
                </c:pt>
                <c:pt idx="39">
                  <c:v>1.2940803855557286</c:v>
                </c:pt>
                <c:pt idx="40">
                  <c:v>1.2501892583384084</c:v>
                </c:pt>
                <c:pt idx="41">
                  <c:v>1.2070647169720869</c:v>
                </c:pt>
                <c:pt idx="42">
                  <c:v>1.1647077759045747</c:v>
                </c:pt>
                <c:pt idx="43">
                  <c:v>1.1231193763017191</c:v>
                </c:pt>
                <c:pt idx="44">
                  <c:v>1.0823003844590258</c:v>
                </c:pt>
                <c:pt idx="45">
                  <c:v>1.0422515901440677</c:v>
                </c:pt>
                <c:pt idx="46">
                  <c:v>1.00297370486561</c:v>
                </c:pt>
                <c:pt idx="47">
                  <c:v>0.9644673600650393</c:v>
                </c:pt>
                <c:pt idx="48">
                  <c:v>0.9267331052253226</c:v>
                </c:pt>
                <c:pt idx="49">
                  <c:v>0.88977140589233672</c:v>
                </c:pt>
                <c:pt idx="50">
                  <c:v>0.85358264160295871</c:v>
                </c:pt>
                <c:pt idx="51">
                  <c:v>0.81816710371382295</c:v>
                </c:pt>
                <c:pt idx="52">
                  <c:v>0.78352499312412449</c:v>
                </c:pt>
                <c:pt idx="53">
                  <c:v>0.74965641788523885</c:v>
                </c:pt>
                <c:pt idx="54">
                  <c:v>0.71656139068928226</c:v>
                </c:pt>
                <c:pt idx="55">
                  <c:v>0.6842398262279803</c:v>
                </c:pt>
                <c:pt idx="56">
                  <c:v>0.65269153841241268</c:v>
                </c:pt>
                <c:pt idx="57">
                  <c:v>0.62191623744326463</c:v>
                </c:pt>
                <c:pt idx="58">
                  <c:v>0.59191352672018294</c:v>
                </c:pt>
                <c:pt idx="59">
                  <c:v>0.56268289957768913</c:v>
                </c:pt>
                <c:pt idx="60">
                  <c:v>0.53422373583376614</c:v>
                </c:pt>
                <c:pt idx="61">
                  <c:v>0.50653529813577847</c:v>
                </c:pt>
                <c:pt idx="62">
                  <c:v>0.47961672808668687</c:v>
                </c:pt>
                <c:pt idx="63">
                  <c:v>0.45346704213261763</c:v>
                </c:pt>
                <c:pt idx="64">
                  <c:v>0.42808512719065367</c:v>
                </c:pt>
                <c:pt idx="65">
                  <c:v>0.40346973599322822</c:v>
                </c:pt>
                <c:pt idx="66">
                  <c:v>0.37961948212261459</c:v>
                </c:pt>
                <c:pt idx="67">
                  <c:v>0.35653283470570257</c:v>
                </c:pt>
                <c:pt idx="68">
                  <c:v>0.33420811273540724</c:v>
                </c:pt>
                <c:pt idx="69">
                  <c:v>0.31264347898059563</c:v>
                </c:pt>
                <c:pt idx="70">
                  <c:v>0.29183693344119632</c:v>
                </c:pt>
                <c:pt idx="71">
                  <c:v>0.27178630629904843</c:v>
                </c:pt>
                <c:pt idx="72">
                  <c:v>0.25248925030781305</c:v>
                </c:pt>
                <c:pt idx="73">
                  <c:v>0.23394323255672447</c:v>
                </c:pt>
                <c:pt idx="74">
                  <c:v>0.21614552553275054</c:v>
                </c:pt>
                <c:pt idx="75">
                  <c:v>0.19909319739348941</c:v>
                </c:pt>
                <c:pt idx="76">
                  <c:v>0.18278310134835679</c:v>
                </c:pt>
                <c:pt idx="77">
                  <c:v>0.16721186402765623</c:v>
                </c:pt>
                <c:pt idx="78">
                  <c:v>0.15237587269713004</c:v>
                </c:pt>
                <c:pt idx="79">
                  <c:v>0.13827126114843555</c:v>
                </c:pt>
                <c:pt idx="80">
                  <c:v>0.12489389406218925</c:v>
                </c:pt>
                <c:pt idx="81">
                  <c:v>0.11223934959772787</c:v>
                </c:pt>
                <c:pt idx="82">
                  <c:v>0.10030289990978536</c:v>
                </c:pt>
                <c:pt idx="83">
                  <c:v>8.9079489223002351E-2</c:v>
                </c:pt>
                <c:pt idx="84">
                  <c:v>7.8563709005134846E-2</c:v>
                </c:pt>
                <c:pt idx="85">
                  <c:v>6.8749769661152357E-2</c:v>
                </c:pt>
                <c:pt idx="86">
                  <c:v>5.9631468011690406E-2</c:v>
                </c:pt>
                <c:pt idx="87">
                  <c:v>5.1202149603388883E-2</c:v>
                </c:pt>
                <c:pt idx="88">
                  <c:v>4.3454664599324427E-2</c:v>
                </c:pt>
                <c:pt idx="89">
                  <c:v>3.6381315573848466E-2</c:v>
                </c:pt>
                <c:pt idx="90">
                  <c:v>2.9973794920998782E-2</c:v>
                </c:pt>
                <c:pt idx="91">
                  <c:v>2.4223108667482653E-2</c:v>
                </c:pt>
                <c:pt idx="92">
                  <c:v>1.9119482064945272E-2</c:v>
                </c:pt>
                <c:pt idx="93">
                  <c:v>1.4652240064882893E-2</c:v>
                </c:pt>
                <c:pt idx="94">
                  <c:v>1.080965196196545E-2</c:v>
                </c:pt>
                <c:pt idx="95">
                  <c:v>7.5787226937361948E-3</c:v>
                </c:pt>
                <c:pt idx="96">
                  <c:v>4.944900262578736E-3</c:v>
                </c:pt>
                <c:pt idx="97">
                  <c:v>2.8916412864734295E-3</c:v>
                </c:pt>
                <c:pt idx="98">
                  <c:v>1.3997105347391403E-3</c:v>
                </c:pt>
                <c:pt idx="99">
                  <c:v>4.4589542427302494E-4</c:v>
                </c:pt>
                <c:pt idx="100">
                  <c:v>0</c:v>
                </c:pt>
              </c:numCache>
            </c:numRef>
          </c:yVal>
          <c:smooth val="0"/>
          <c:extLst>
            <c:ext xmlns:c16="http://schemas.microsoft.com/office/drawing/2014/chart" uri="{C3380CC4-5D6E-409C-BE32-E72D297353CC}">
              <c16:uniqueId val="{00000000-D8BA-4F41-BF36-11BD020FA0E0}"/>
            </c:ext>
          </c:extLst>
        </c:ser>
        <c:ser>
          <c:idx val="7"/>
          <c:order val="1"/>
          <c:tx>
            <c:strRef>
              <c:f>Sizing!$DS$59</c:f>
              <c:strCache>
                <c:ptCount val="1"/>
                <c:pt idx="0">
                  <c:v>Vert Spar
Tension
Cap Area [in^2]</c:v>
                </c:pt>
              </c:strCache>
            </c:strRef>
          </c:tx>
          <c:spPr>
            <a:ln w="25400" cap="rnd">
              <a:no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xVal>
            <c:numRef>
              <c:f>Sizing!$K$60:$K$160</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xVal>
          <c:yVal>
            <c:numRef>
              <c:f>Sizing!$DS$60:$DS$160</c:f>
              <c:numCache>
                <c:formatCode>0.00</c:formatCode>
                <c:ptCount val="101"/>
                <c:pt idx="0">
                  <c:v>3.5859228878785925</c:v>
                </c:pt>
                <c:pt idx="1">
                  <c:v>3.5135770758399087</c:v>
                </c:pt>
                <c:pt idx="2">
                  <c:v>3.4419127957727826</c:v>
                </c:pt>
                <c:pt idx="3">
                  <c:v>3.3709331487303609</c:v>
                </c:pt>
                <c:pt idx="4">
                  <c:v>3.3006411937914399</c:v>
                </c:pt>
                <c:pt idx="5">
                  <c:v>3.231039947715606</c:v>
                </c:pt>
                <c:pt idx="6">
                  <c:v>3.1621323845814975</c:v>
                </c:pt>
                <c:pt idx="7">
                  <c:v>3.0939214354080007</c:v>
                </c:pt>
                <c:pt idx="8">
                  <c:v>3.0264099877580795</c:v>
                </c:pt>
                <c:pt idx="9">
                  <c:v>2.9596008853249707</c:v>
                </c:pt>
                <c:pt idx="10">
                  <c:v>2.8934969275004128</c:v>
                </c:pt>
                <c:pt idx="11">
                  <c:v>2.8281008689245719</c:v>
                </c:pt>
                <c:pt idx="12">
                  <c:v>2.7634154190172713</c:v>
                </c:pt>
                <c:pt idx="13">
                  <c:v>2.6994432414900977</c:v>
                </c:pt>
                <c:pt idx="14">
                  <c:v>2.6361869538389708</c:v>
                </c:pt>
                <c:pt idx="15">
                  <c:v>2.5736491268166386</c:v>
                </c:pt>
                <c:pt idx="16">
                  <c:v>2.5118322838846154</c:v>
                </c:pt>
                <c:pt idx="17">
                  <c:v>2.4507389006439939</c:v>
                </c:pt>
                <c:pt idx="18">
                  <c:v>2.390371404244489</c:v>
                </c:pt>
                <c:pt idx="19">
                  <c:v>2.330732172771131</c:v>
                </c:pt>
                <c:pt idx="20">
                  <c:v>2.271823534607841</c:v>
                </c:pt>
                <c:pt idx="21">
                  <c:v>2.2136477677772177</c:v>
                </c:pt>
                <c:pt idx="22">
                  <c:v>2.1562070992556772</c:v>
                </c:pt>
                <c:pt idx="23">
                  <c:v>2.099503704263157</c:v>
                </c:pt>
                <c:pt idx="24">
                  <c:v>2.0435397055264315</c:v>
                </c:pt>
                <c:pt idx="25">
                  <c:v>1.9883171725151105</c:v>
                </c:pt>
                <c:pt idx="26">
                  <c:v>1.9338381206492732</c:v>
                </c:pt>
                <c:pt idx="27">
                  <c:v>1.8801045104776379</c:v>
                </c:pt>
                <c:pt idx="28">
                  <c:v>1.8271182468251113</c:v>
                </c:pt>
                <c:pt idx="29">
                  <c:v>1.7748811779084419</c:v>
                </c:pt>
                <c:pt idx="30">
                  <c:v>1.7233950944186762</c:v>
                </c:pt>
                <c:pt idx="31">
                  <c:v>1.6726617285689549</c:v>
                </c:pt>
                <c:pt idx="32">
                  <c:v>1.6226827531061681</c:v>
                </c:pt>
                <c:pt idx="33">
                  <c:v>1.5734597802848094</c:v>
                </c:pt>
                <c:pt idx="34">
                  <c:v>1.5249943608013148</c:v>
                </c:pt>
                <c:pt idx="35">
                  <c:v>1.4772879826870289</c:v>
                </c:pt>
                <c:pt idx="36">
                  <c:v>1.4303420701577945</c:v>
                </c:pt>
                <c:pt idx="37">
                  <c:v>1.3841579824180603</c:v>
                </c:pt>
                <c:pt idx="38">
                  <c:v>1.3387370124172193</c:v>
                </c:pt>
                <c:pt idx="39">
                  <c:v>1.2940803855557286</c:v>
                </c:pt>
                <c:pt idx="40">
                  <c:v>1.2501892583384084</c:v>
                </c:pt>
                <c:pt idx="41">
                  <c:v>1.2070647169720869</c:v>
                </c:pt>
                <c:pt idx="42">
                  <c:v>1.1647077759045747</c:v>
                </c:pt>
                <c:pt idx="43">
                  <c:v>1.1231193763017191</c:v>
                </c:pt>
                <c:pt idx="44">
                  <c:v>1.0823003844590258</c:v>
                </c:pt>
                <c:pt idx="45">
                  <c:v>1.0422515901440677</c:v>
                </c:pt>
                <c:pt idx="46">
                  <c:v>1.00297370486561</c:v>
                </c:pt>
                <c:pt idx="47">
                  <c:v>0.9644673600650393</c:v>
                </c:pt>
                <c:pt idx="48">
                  <c:v>0.9267331052253226</c:v>
                </c:pt>
                <c:pt idx="49">
                  <c:v>0.88977140589233672</c:v>
                </c:pt>
                <c:pt idx="50">
                  <c:v>0.85358264160295871</c:v>
                </c:pt>
                <c:pt idx="51">
                  <c:v>0.81816710371382295</c:v>
                </c:pt>
                <c:pt idx="52">
                  <c:v>0.78352499312412449</c:v>
                </c:pt>
                <c:pt idx="53">
                  <c:v>0.74965641788523885</c:v>
                </c:pt>
                <c:pt idx="54">
                  <c:v>0.71656139068928226</c:v>
                </c:pt>
                <c:pt idx="55">
                  <c:v>0.6842398262279803</c:v>
                </c:pt>
                <c:pt idx="56">
                  <c:v>0.65269153841241268</c:v>
                </c:pt>
                <c:pt idx="57">
                  <c:v>0.62191623744326463</c:v>
                </c:pt>
                <c:pt idx="58">
                  <c:v>0.59191352672018294</c:v>
                </c:pt>
                <c:pt idx="59">
                  <c:v>0.56268289957768913</c:v>
                </c:pt>
                <c:pt idx="60">
                  <c:v>0.53422373583376614</c:v>
                </c:pt>
                <c:pt idx="61">
                  <c:v>0.50653529813577847</c:v>
                </c:pt>
                <c:pt idx="62">
                  <c:v>0.47961672808668687</c:v>
                </c:pt>
                <c:pt idx="63">
                  <c:v>0.45346704213261763</c:v>
                </c:pt>
                <c:pt idx="64">
                  <c:v>0.42808512719065367</c:v>
                </c:pt>
                <c:pt idx="65">
                  <c:v>0.40346973599322822</c:v>
                </c:pt>
                <c:pt idx="66">
                  <c:v>0.37961948212261459</c:v>
                </c:pt>
                <c:pt idx="67">
                  <c:v>0.35653283470570257</c:v>
                </c:pt>
                <c:pt idx="68">
                  <c:v>0.33420811273540724</c:v>
                </c:pt>
                <c:pt idx="69">
                  <c:v>0.31264347898059563</c:v>
                </c:pt>
                <c:pt idx="70">
                  <c:v>0.29183693344119632</c:v>
                </c:pt>
                <c:pt idx="71">
                  <c:v>0.27178630629904843</c:v>
                </c:pt>
                <c:pt idx="72">
                  <c:v>0.25248925030781305</c:v>
                </c:pt>
                <c:pt idx="73">
                  <c:v>0.23394323255672447</c:v>
                </c:pt>
                <c:pt idx="74">
                  <c:v>0.21614552553275054</c:v>
                </c:pt>
                <c:pt idx="75">
                  <c:v>0.19909319739348941</c:v>
                </c:pt>
                <c:pt idx="76">
                  <c:v>0.18278310134835679</c:v>
                </c:pt>
                <c:pt idx="77">
                  <c:v>0.16721186402765623</c:v>
                </c:pt>
                <c:pt idx="78">
                  <c:v>0.15237587269713004</c:v>
                </c:pt>
                <c:pt idx="79">
                  <c:v>0.13827126114843555</c:v>
                </c:pt>
                <c:pt idx="80">
                  <c:v>0.12489389406218925</c:v>
                </c:pt>
                <c:pt idx="81">
                  <c:v>0.11223934959772787</c:v>
                </c:pt>
                <c:pt idx="82">
                  <c:v>0.10030289990978536</c:v>
                </c:pt>
                <c:pt idx="83">
                  <c:v>8.9079489223002351E-2</c:v>
                </c:pt>
                <c:pt idx="84">
                  <c:v>7.8563709005134846E-2</c:v>
                </c:pt>
                <c:pt idx="85">
                  <c:v>6.8749769661152357E-2</c:v>
                </c:pt>
                <c:pt idx="86">
                  <c:v>5.9631468011690406E-2</c:v>
                </c:pt>
                <c:pt idx="87">
                  <c:v>5.1202149603388883E-2</c:v>
                </c:pt>
                <c:pt idx="88">
                  <c:v>4.3454664599324427E-2</c:v>
                </c:pt>
                <c:pt idx="89">
                  <c:v>3.6381315573848466E-2</c:v>
                </c:pt>
                <c:pt idx="90">
                  <c:v>2.9973794920998782E-2</c:v>
                </c:pt>
                <c:pt idx="91">
                  <c:v>2.4223108667482653E-2</c:v>
                </c:pt>
                <c:pt idx="92">
                  <c:v>1.9119482064945272E-2</c:v>
                </c:pt>
                <c:pt idx="93">
                  <c:v>1.4652240064882893E-2</c:v>
                </c:pt>
                <c:pt idx="94">
                  <c:v>1.080965196196545E-2</c:v>
                </c:pt>
                <c:pt idx="95">
                  <c:v>7.5787226937361948E-3</c:v>
                </c:pt>
                <c:pt idx="96">
                  <c:v>4.944900262578736E-3</c:v>
                </c:pt>
                <c:pt idx="97">
                  <c:v>2.8916412864734295E-3</c:v>
                </c:pt>
                <c:pt idx="98">
                  <c:v>1.3997105347391403E-3</c:v>
                </c:pt>
                <c:pt idx="99">
                  <c:v>4.4589542427302494E-4</c:v>
                </c:pt>
                <c:pt idx="100">
                  <c:v>0</c:v>
                </c:pt>
              </c:numCache>
            </c:numRef>
          </c:yVal>
          <c:smooth val="0"/>
          <c:extLst>
            <c:ext xmlns:c16="http://schemas.microsoft.com/office/drawing/2014/chart" uri="{C3380CC4-5D6E-409C-BE32-E72D297353CC}">
              <c16:uniqueId val="{00000001-D8BA-4F41-BF36-11BD020FA0E0}"/>
            </c:ext>
          </c:extLst>
        </c:ser>
        <c:ser>
          <c:idx val="1"/>
          <c:order val="2"/>
          <c:tx>
            <c:strRef>
              <c:f>Sizing!$DW$59</c:f>
              <c:strCache>
                <c:ptCount val="1"/>
                <c:pt idx="0">
                  <c:v>As-built
Vert Spar
Tension
Cap Area [in^2]</c:v>
                </c:pt>
              </c:strCache>
            </c:strRef>
          </c:tx>
          <c:spPr>
            <a:ln w="25400" cap="rnd">
              <a:noFill/>
              <a:round/>
            </a:ln>
            <a:effectLst/>
          </c:spPr>
          <c:marker>
            <c:symbol val="circle"/>
            <c:size val="5"/>
            <c:spPr>
              <a:solidFill>
                <a:schemeClr val="accent2"/>
              </a:solidFill>
              <a:ln w="9525">
                <a:solidFill>
                  <a:schemeClr val="accent2"/>
                </a:solidFill>
              </a:ln>
              <a:effectLst/>
            </c:spPr>
          </c:marker>
          <c:xVal>
            <c:numRef>
              <c:f>Sizing!$K$60:$K$160</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xVal>
          <c:yVal>
            <c:numRef>
              <c:f>Sizing!$DW$60:$DW$160</c:f>
              <c:numCache>
                <c:formatCode>0.00</c:formatCode>
                <c:ptCount val="101"/>
                <c:pt idx="0">
                  <c:v>3.5859228878785925</c:v>
                </c:pt>
                <c:pt idx="1">
                  <c:v>3.5859228878785925</c:v>
                </c:pt>
                <c:pt idx="2">
                  <c:v>3.5859228878785925</c:v>
                </c:pt>
                <c:pt idx="3">
                  <c:v>3.5859228878785925</c:v>
                </c:pt>
                <c:pt idx="4">
                  <c:v>3.5859228878785925</c:v>
                </c:pt>
                <c:pt idx="5">
                  <c:v>3.5859228878785925</c:v>
                </c:pt>
                <c:pt idx="6">
                  <c:v>3.5859228878785925</c:v>
                </c:pt>
                <c:pt idx="7">
                  <c:v>3.5859228878785925</c:v>
                </c:pt>
                <c:pt idx="8">
                  <c:v>3.5859228878785925</c:v>
                </c:pt>
                <c:pt idx="9">
                  <c:v>3.5859228878785925</c:v>
                </c:pt>
                <c:pt idx="10">
                  <c:v>2.8934969275004128</c:v>
                </c:pt>
                <c:pt idx="11">
                  <c:v>2.8934969275004128</c:v>
                </c:pt>
                <c:pt idx="12">
                  <c:v>2.8934969275004128</c:v>
                </c:pt>
                <c:pt idx="13">
                  <c:v>2.8934969275004128</c:v>
                </c:pt>
                <c:pt idx="14">
                  <c:v>2.8934969275004128</c:v>
                </c:pt>
                <c:pt idx="15">
                  <c:v>2.8934969275004128</c:v>
                </c:pt>
                <c:pt idx="16">
                  <c:v>2.8934969275004128</c:v>
                </c:pt>
                <c:pt idx="17">
                  <c:v>2.8934969275004128</c:v>
                </c:pt>
                <c:pt idx="18">
                  <c:v>2.8934969275004128</c:v>
                </c:pt>
                <c:pt idx="19">
                  <c:v>2.8934969275004128</c:v>
                </c:pt>
                <c:pt idx="20">
                  <c:v>2.271823534607841</c:v>
                </c:pt>
                <c:pt idx="21">
                  <c:v>2.271823534607841</c:v>
                </c:pt>
                <c:pt idx="22">
                  <c:v>2.271823534607841</c:v>
                </c:pt>
                <c:pt idx="23">
                  <c:v>2.271823534607841</c:v>
                </c:pt>
                <c:pt idx="24">
                  <c:v>2.271823534607841</c:v>
                </c:pt>
                <c:pt idx="25">
                  <c:v>2.271823534607841</c:v>
                </c:pt>
                <c:pt idx="26">
                  <c:v>2.271823534607841</c:v>
                </c:pt>
                <c:pt idx="27">
                  <c:v>2.271823534607841</c:v>
                </c:pt>
                <c:pt idx="28">
                  <c:v>2.271823534607841</c:v>
                </c:pt>
                <c:pt idx="29">
                  <c:v>2.271823534607841</c:v>
                </c:pt>
                <c:pt idx="30">
                  <c:v>1.7233950944186762</c:v>
                </c:pt>
                <c:pt idx="31">
                  <c:v>1.7233950944186762</c:v>
                </c:pt>
                <c:pt idx="32">
                  <c:v>1.7233950944186762</c:v>
                </c:pt>
                <c:pt idx="33">
                  <c:v>1.7233950944186762</c:v>
                </c:pt>
                <c:pt idx="34">
                  <c:v>1.7233950944186762</c:v>
                </c:pt>
                <c:pt idx="35">
                  <c:v>1.7233950944186762</c:v>
                </c:pt>
                <c:pt idx="36">
                  <c:v>1.7233950944186762</c:v>
                </c:pt>
                <c:pt idx="37">
                  <c:v>1.7233950944186762</c:v>
                </c:pt>
                <c:pt idx="38">
                  <c:v>1.7233950944186762</c:v>
                </c:pt>
                <c:pt idx="39">
                  <c:v>1.7233950944186762</c:v>
                </c:pt>
                <c:pt idx="40">
                  <c:v>1.2501892583384084</c:v>
                </c:pt>
                <c:pt idx="41">
                  <c:v>1.2501892583384084</c:v>
                </c:pt>
                <c:pt idx="42">
                  <c:v>1.2501892583384084</c:v>
                </c:pt>
                <c:pt idx="43">
                  <c:v>1.2501892583384084</c:v>
                </c:pt>
                <c:pt idx="44">
                  <c:v>1.2501892583384084</c:v>
                </c:pt>
                <c:pt idx="45">
                  <c:v>1.2501892583384084</c:v>
                </c:pt>
                <c:pt idx="46">
                  <c:v>1.2501892583384084</c:v>
                </c:pt>
                <c:pt idx="47">
                  <c:v>1.2501892583384084</c:v>
                </c:pt>
                <c:pt idx="48">
                  <c:v>1.2501892583384084</c:v>
                </c:pt>
                <c:pt idx="49">
                  <c:v>1.2501892583384084</c:v>
                </c:pt>
                <c:pt idx="50">
                  <c:v>0.85358264160295871</c:v>
                </c:pt>
                <c:pt idx="51">
                  <c:v>0.85358264160295871</c:v>
                </c:pt>
                <c:pt idx="52">
                  <c:v>0.85358264160295871</c:v>
                </c:pt>
                <c:pt idx="53">
                  <c:v>0.85358264160295871</c:v>
                </c:pt>
                <c:pt idx="54">
                  <c:v>0.85358264160295871</c:v>
                </c:pt>
                <c:pt idx="55">
                  <c:v>0.85358264160295871</c:v>
                </c:pt>
                <c:pt idx="56">
                  <c:v>0.85358264160295871</c:v>
                </c:pt>
                <c:pt idx="57">
                  <c:v>0.85358264160295871</c:v>
                </c:pt>
                <c:pt idx="58">
                  <c:v>0.85358264160295871</c:v>
                </c:pt>
                <c:pt idx="59">
                  <c:v>0.85358264160295871</c:v>
                </c:pt>
                <c:pt idx="60">
                  <c:v>0.53422373583376614</c:v>
                </c:pt>
                <c:pt idx="61">
                  <c:v>0.53422373583376614</c:v>
                </c:pt>
                <c:pt idx="62">
                  <c:v>0.53422373583376614</c:v>
                </c:pt>
                <c:pt idx="63">
                  <c:v>0.53422373583376614</c:v>
                </c:pt>
                <c:pt idx="64">
                  <c:v>0.53422373583376614</c:v>
                </c:pt>
                <c:pt idx="65">
                  <c:v>0.53422373583376614</c:v>
                </c:pt>
                <c:pt idx="66">
                  <c:v>0.53422373583376614</c:v>
                </c:pt>
                <c:pt idx="67">
                  <c:v>0.53422373583376614</c:v>
                </c:pt>
                <c:pt idx="68">
                  <c:v>0.53422373583376614</c:v>
                </c:pt>
                <c:pt idx="69">
                  <c:v>0.53422373583376614</c:v>
                </c:pt>
                <c:pt idx="70">
                  <c:v>0.29183693344119632</c:v>
                </c:pt>
                <c:pt idx="71">
                  <c:v>0.29183693344119632</c:v>
                </c:pt>
                <c:pt idx="72">
                  <c:v>0.29183693344119632</c:v>
                </c:pt>
                <c:pt idx="73">
                  <c:v>0.29183693344119632</c:v>
                </c:pt>
                <c:pt idx="74">
                  <c:v>0.29183693344119632</c:v>
                </c:pt>
                <c:pt idx="75">
                  <c:v>0.29183693344119632</c:v>
                </c:pt>
                <c:pt idx="76">
                  <c:v>0.29183693344119632</c:v>
                </c:pt>
                <c:pt idx="77">
                  <c:v>0.29183693344119632</c:v>
                </c:pt>
                <c:pt idx="78">
                  <c:v>0.29183693344119632</c:v>
                </c:pt>
                <c:pt idx="79">
                  <c:v>0.29183693344119632</c:v>
                </c:pt>
                <c:pt idx="80">
                  <c:v>0.12489389406218925</c:v>
                </c:pt>
                <c:pt idx="81">
                  <c:v>0.12489389406218925</c:v>
                </c:pt>
                <c:pt idx="82">
                  <c:v>0.12489389406218925</c:v>
                </c:pt>
                <c:pt idx="83">
                  <c:v>0.12489389406218925</c:v>
                </c:pt>
                <c:pt idx="84">
                  <c:v>0.12489389406218925</c:v>
                </c:pt>
                <c:pt idx="85">
                  <c:v>0.12489389406218925</c:v>
                </c:pt>
                <c:pt idx="86">
                  <c:v>0.12489389406218925</c:v>
                </c:pt>
                <c:pt idx="87">
                  <c:v>0.12489389406218925</c:v>
                </c:pt>
                <c:pt idx="88">
                  <c:v>0.12489389406218925</c:v>
                </c:pt>
                <c:pt idx="89">
                  <c:v>0.12489389406218925</c:v>
                </c:pt>
                <c:pt idx="90">
                  <c:v>2.9973794920998782E-2</c:v>
                </c:pt>
                <c:pt idx="91">
                  <c:v>2.9973794920998782E-2</c:v>
                </c:pt>
                <c:pt idx="92">
                  <c:v>2.9973794920998782E-2</c:v>
                </c:pt>
                <c:pt idx="93">
                  <c:v>2.9973794920998782E-2</c:v>
                </c:pt>
                <c:pt idx="94">
                  <c:v>2.9973794920998782E-2</c:v>
                </c:pt>
                <c:pt idx="95">
                  <c:v>2.9973794920998782E-2</c:v>
                </c:pt>
                <c:pt idx="96">
                  <c:v>2.9973794920998782E-2</c:v>
                </c:pt>
                <c:pt idx="97">
                  <c:v>2.9973794920998782E-2</c:v>
                </c:pt>
                <c:pt idx="98">
                  <c:v>2.9973794920998782E-2</c:v>
                </c:pt>
                <c:pt idx="99">
                  <c:v>2.9973794920998782E-2</c:v>
                </c:pt>
                <c:pt idx="100">
                  <c:v>2.9973794920998782E-2</c:v>
                </c:pt>
              </c:numCache>
            </c:numRef>
          </c:yVal>
          <c:smooth val="0"/>
          <c:extLst>
            <c:ext xmlns:c16="http://schemas.microsoft.com/office/drawing/2014/chart" uri="{C3380CC4-5D6E-409C-BE32-E72D297353CC}">
              <c16:uniqueId val="{00000002-D8BA-4F41-BF36-11BD020FA0E0}"/>
            </c:ext>
          </c:extLst>
        </c:ser>
        <c:ser>
          <c:idx val="0"/>
          <c:order val="3"/>
          <c:tx>
            <c:strRef>
              <c:f>Sizing!$DU$59</c:f>
              <c:strCache>
                <c:ptCount val="1"/>
                <c:pt idx="0">
                  <c:v>As-built
Vert Spar
Comp.
Cap Area [in^2]</c:v>
                </c:pt>
              </c:strCache>
            </c:strRef>
          </c:tx>
          <c:spPr>
            <a:ln w="25400" cap="rnd">
              <a:no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xVal>
            <c:numRef>
              <c:f>Sizing!$K$60:$K$160</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xVal>
          <c:yVal>
            <c:numRef>
              <c:f>Sizing!$DU$60:$DU$160</c:f>
              <c:numCache>
                <c:formatCode>0.00</c:formatCode>
                <c:ptCount val="101"/>
                <c:pt idx="0">
                  <c:v>3.5859228878785925</c:v>
                </c:pt>
                <c:pt idx="1">
                  <c:v>3.5859228878785925</c:v>
                </c:pt>
                <c:pt idx="2">
                  <c:v>3.5859228878785925</c:v>
                </c:pt>
                <c:pt idx="3">
                  <c:v>3.5859228878785925</c:v>
                </c:pt>
                <c:pt idx="4">
                  <c:v>3.5859228878785925</c:v>
                </c:pt>
                <c:pt idx="5">
                  <c:v>3.5859228878785925</c:v>
                </c:pt>
                <c:pt idx="6">
                  <c:v>3.5859228878785925</c:v>
                </c:pt>
                <c:pt idx="7">
                  <c:v>3.5859228878785925</c:v>
                </c:pt>
                <c:pt idx="8">
                  <c:v>3.5859228878785925</c:v>
                </c:pt>
                <c:pt idx="9">
                  <c:v>3.5859228878785925</c:v>
                </c:pt>
                <c:pt idx="10">
                  <c:v>2.8934969275004128</c:v>
                </c:pt>
                <c:pt idx="11">
                  <c:v>2.8934969275004128</c:v>
                </c:pt>
                <c:pt idx="12">
                  <c:v>2.8934969275004128</c:v>
                </c:pt>
                <c:pt idx="13">
                  <c:v>2.8934969275004128</c:v>
                </c:pt>
                <c:pt idx="14">
                  <c:v>2.8934969275004128</c:v>
                </c:pt>
                <c:pt idx="15">
                  <c:v>2.8934969275004128</c:v>
                </c:pt>
                <c:pt idx="16">
                  <c:v>2.8934969275004128</c:v>
                </c:pt>
                <c:pt idx="17">
                  <c:v>2.8934969275004128</c:v>
                </c:pt>
                <c:pt idx="18">
                  <c:v>2.8934969275004128</c:v>
                </c:pt>
                <c:pt idx="19">
                  <c:v>2.8934969275004128</c:v>
                </c:pt>
                <c:pt idx="20">
                  <c:v>2.271823534607841</c:v>
                </c:pt>
                <c:pt idx="21">
                  <c:v>2.271823534607841</c:v>
                </c:pt>
                <c:pt idx="22">
                  <c:v>2.271823534607841</c:v>
                </c:pt>
                <c:pt idx="23">
                  <c:v>2.271823534607841</c:v>
                </c:pt>
                <c:pt idx="24">
                  <c:v>2.271823534607841</c:v>
                </c:pt>
                <c:pt idx="25">
                  <c:v>2.271823534607841</c:v>
                </c:pt>
                <c:pt idx="26">
                  <c:v>2.271823534607841</c:v>
                </c:pt>
                <c:pt idx="27">
                  <c:v>2.271823534607841</c:v>
                </c:pt>
                <c:pt idx="28">
                  <c:v>2.271823534607841</c:v>
                </c:pt>
                <c:pt idx="29">
                  <c:v>2.271823534607841</c:v>
                </c:pt>
                <c:pt idx="30">
                  <c:v>1.7233950944186762</c:v>
                </c:pt>
                <c:pt idx="31">
                  <c:v>1.7233950944186762</c:v>
                </c:pt>
                <c:pt idx="32">
                  <c:v>1.7233950944186762</c:v>
                </c:pt>
                <c:pt idx="33">
                  <c:v>1.7233950944186762</c:v>
                </c:pt>
                <c:pt idx="34">
                  <c:v>1.7233950944186762</c:v>
                </c:pt>
                <c:pt idx="35">
                  <c:v>1.7233950944186762</c:v>
                </c:pt>
                <c:pt idx="36">
                  <c:v>1.7233950944186762</c:v>
                </c:pt>
                <c:pt idx="37">
                  <c:v>1.7233950944186762</c:v>
                </c:pt>
                <c:pt idx="38">
                  <c:v>1.7233950944186762</c:v>
                </c:pt>
                <c:pt idx="39">
                  <c:v>1.7233950944186762</c:v>
                </c:pt>
                <c:pt idx="40">
                  <c:v>1.2501892583384084</c:v>
                </c:pt>
                <c:pt idx="41">
                  <c:v>1.2501892583384084</c:v>
                </c:pt>
                <c:pt idx="42">
                  <c:v>1.2501892583384084</c:v>
                </c:pt>
                <c:pt idx="43">
                  <c:v>1.2501892583384084</c:v>
                </c:pt>
                <c:pt idx="44">
                  <c:v>1.2501892583384084</c:v>
                </c:pt>
                <c:pt idx="45">
                  <c:v>1.2501892583384084</c:v>
                </c:pt>
                <c:pt idx="46">
                  <c:v>1.2501892583384084</c:v>
                </c:pt>
                <c:pt idx="47">
                  <c:v>1.2501892583384084</c:v>
                </c:pt>
                <c:pt idx="48">
                  <c:v>1.2501892583384084</c:v>
                </c:pt>
                <c:pt idx="49">
                  <c:v>1.2501892583384084</c:v>
                </c:pt>
                <c:pt idx="50">
                  <c:v>0.85358264160295871</c:v>
                </c:pt>
                <c:pt idx="51">
                  <c:v>0.85358264160295871</c:v>
                </c:pt>
                <c:pt idx="52">
                  <c:v>0.85358264160295871</c:v>
                </c:pt>
                <c:pt idx="53">
                  <c:v>0.85358264160295871</c:v>
                </c:pt>
                <c:pt idx="54">
                  <c:v>0.85358264160295871</c:v>
                </c:pt>
                <c:pt idx="55">
                  <c:v>0.85358264160295871</c:v>
                </c:pt>
                <c:pt idx="56">
                  <c:v>0.85358264160295871</c:v>
                </c:pt>
                <c:pt idx="57">
                  <c:v>0.85358264160295871</c:v>
                </c:pt>
                <c:pt idx="58">
                  <c:v>0.85358264160295871</c:v>
                </c:pt>
                <c:pt idx="59">
                  <c:v>0.85358264160295871</c:v>
                </c:pt>
                <c:pt idx="60">
                  <c:v>0.53422373583376614</c:v>
                </c:pt>
                <c:pt idx="61">
                  <c:v>0.53422373583376614</c:v>
                </c:pt>
                <c:pt idx="62">
                  <c:v>0.53422373583376614</c:v>
                </c:pt>
                <c:pt idx="63">
                  <c:v>0.53422373583376614</c:v>
                </c:pt>
                <c:pt idx="64">
                  <c:v>0.53422373583376614</c:v>
                </c:pt>
                <c:pt idx="65">
                  <c:v>0.53422373583376614</c:v>
                </c:pt>
                <c:pt idx="66">
                  <c:v>0.53422373583376614</c:v>
                </c:pt>
                <c:pt idx="67">
                  <c:v>0.53422373583376614</c:v>
                </c:pt>
                <c:pt idx="68">
                  <c:v>0.53422373583376614</c:v>
                </c:pt>
                <c:pt idx="69">
                  <c:v>0.53422373583376614</c:v>
                </c:pt>
                <c:pt idx="70">
                  <c:v>0.29183693344119632</c:v>
                </c:pt>
                <c:pt idx="71">
                  <c:v>0.29183693344119632</c:v>
                </c:pt>
                <c:pt idx="72">
                  <c:v>0.29183693344119632</c:v>
                </c:pt>
                <c:pt idx="73">
                  <c:v>0.29183693344119632</c:v>
                </c:pt>
                <c:pt idx="74">
                  <c:v>0.29183693344119632</c:v>
                </c:pt>
                <c:pt idx="75">
                  <c:v>0.29183693344119632</c:v>
                </c:pt>
                <c:pt idx="76">
                  <c:v>0.29183693344119632</c:v>
                </c:pt>
                <c:pt idx="77">
                  <c:v>0.29183693344119632</c:v>
                </c:pt>
                <c:pt idx="78">
                  <c:v>0.29183693344119632</c:v>
                </c:pt>
                <c:pt idx="79">
                  <c:v>0.29183693344119632</c:v>
                </c:pt>
                <c:pt idx="80">
                  <c:v>0.12489389406218925</c:v>
                </c:pt>
                <c:pt idx="81">
                  <c:v>0.12489389406218925</c:v>
                </c:pt>
                <c:pt idx="82">
                  <c:v>0.12489389406218925</c:v>
                </c:pt>
                <c:pt idx="83">
                  <c:v>0.12489389406218925</c:v>
                </c:pt>
                <c:pt idx="84">
                  <c:v>0.12489389406218925</c:v>
                </c:pt>
                <c:pt idx="85">
                  <c:v>0.12489389406218925</c:v>
                </c:pt>
                <c:pt idx="86">
                  <c:v>0.12489389406218925</c:v>
                </c:pt>
                <c:pt idx="87">
                  <c:v>0.12489389406218925</c:v>
                </c:pt>
                <c:pt idx="88">
                  <c:v>0.12489389406218925</c:v>
                </c:pt>
                <c:pt idx="89">
                  <c:v>0.12489389406218925</c:v>
                </c:pt>
                <c:pt idx="90">
                  <c:v>2.9973794920998782E-2</c:v>
                </c:pt>
                <c:pt idx="91">
                  <c:v>2.9973794920998782E-2</c:v>
                </c:pt>
                <c:pt idx="92">
                  <c:v>2.9973794920998782E-2</c:v>
                </c:pt>
                <c:pt idx="93">
                  <c:v>2.9973794920998782E-2</c:v>
                </c:pt>
                <c:pt idx="94">
                  <c:v>2.9973794920998782E-2</c:v>
                </c:pt>
                <c:pt idx="95">
                  <c:v>2.9973794920998782E-2</c:v>
                </c:pt>
                <c:pt idx="96">
                  <c:v>2.9973794920998782E-2</c:v>
                </c:pt>
                <c:pt idx="97">
                  <c:v>2.9973794920998782E-2</c:v>
                </c:pt>
                <c:pt idx="98">
                  <c:v>2.9973794920998782E-2</c:v>
                </c:pt>
                <c:pt idx="99">
                  <c:v>2.9973794920998782E-2</c:v>
                </c:pt>
                <c:pt idx="100">
                  <c:v>2.9973794920998782E-2</c:v>
                </c:pt>
              </c:numCache>
            </c:numRef>
          </c:yVal>
          <c:smooth val="0"/>
          <c:extLst>
            <c:ext xmlns:c16="http://schemas.microsoft.com/office/drawing/2014/chart" uri="{C3380CC4-5D6E-409C-BE32-E72D297353CC}">
              <c16:uniqueId val="{00000003-D8BA-4F41-BF36-11BD020FA0E0}"/>
            </c:ext>
          </c:extLst>
        </c:ser>
        <c:dLbls>
          <c:showLegendKey val="0"/>
          <c:showVal val="0"/>
          <c:showCatName val="0"/>
          <c:showSerName val="0"/>
          <c:showPercent val="0"/>
          <c:showBubbleSize val="0"/>
        </c:dLbls>
        <c:axId val="401968368"/>
        <c:axId val="401965232"/>
      </c:scatterChart>
      <c:valAx>
        <c:axId val="401968368"/>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Wing Segment - 100 * 2y/b</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965232"/>
        <c:crosses val="autoZero"/>
        <c:crossBetween val="midCat"/>
      </c:valAx>
      <c:valAx>
        <c:axId val="401965232"/>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Area [in^2]</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96836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Core</a:t>
            </a:r>
            <a:endParaRPr lang="en-US" baseline="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3"/>
          <c:order val="0"/>
          <c:tx>
            <c:strRef>
              <c:f>Sizing!$IT$59</c:f>
              <c:strCache>
                <c:ptCount val="1"/>
                <c:pt idx="0">
                  <c:v>As-Built Aft Web Core Thickness
[in]</c:v>
                </c:pt>
              </c:strCache>
            </c:strRef>
          </c:tx>
          <c:spPr>
            <a:ln w="25400" cap="rnd">
              <a:noFill/>
              <a:round/>
            </a:ln>
            <a:effectLst/>
          </c:spPr>
          <c:marker>
            <c:symbol val="circle"/>
            <c:size val="5"/>
            <c:spPr>
              <a:solidFill>
                <a:schemeClr val="accent4"/>
              </a:solidFill>
              <a:ln w="9525">
                <a:solidFill>
                  <a:schemeClr val="accent4"/>
                </a:solidFill>
              </a:ln>
              <a:effectLst/>
            </c:spPr>
          </c:marker>
          <c:xVal>
            <c:numRef>
              <c:f>Sizing!$K$60:$K$160</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xVal>
          <c:yVal>
            <c:numRef>
              <c:f>Sizing!$IT$60:$IT$160</c:f>
              <c:numCache>
                <c:formatCode>0.000</c:formatCode>
                <c:ptCount val="101"/>
                <c:pt idx="0">
                  <c:v>0.5</c:v>
                </c:pt>
                <c:pt idx="1">
                  <c:v>0.5</c:v>
                </c:pt>
                <c:pt idx="2">
                  <c:v>0.5</c:v>
                </c:pt>
                <c:pt idx="3">
                  <c:v>0.5</c:v>
                </c:pt>
                <c:pt idx="4">
                  <c:v>0.5</c:v>
                </c:pt>
                <c:pt idx="5">
                  <c:v>0.5</c:v>
                </c:pt>
                <c:pt idx="6">
                  <c:v>0.5</c:v>
                </c:pt>
                <c:pt idx="7">
                  <c:v>0.5</c:v>
                </c:pt>
                <c:pt idx="8">
                  <c:v>0.5</c:v>
                </c:pt>
                <c:pt idx="9">
                  <c:v>0.5</c:v>
                </c:pt>
                <c:pt idx="10">
                  <c:v>0.5</c:v>
                </c:pt>
                <c:pt idx="11">
                  <c:v>0.5</c:v>
                </c:pt>
                <c:pt idx="12">
                  <c:v>0.5</c:v>
                </c:pt>
                <c:pt idx="13">
                  <c:v>0.5</c:v>
                </c:pt>
                <c:pt idx="14">
                  <c:v>0.5</c:v>
                </c:pt>
                <c:pt idx="15">
                  <c:v>0.5</c:v>
                </c:pt>
                <c:pt idx="16">
                  <c:v>0.5</c:v>
                </c:pt>
                <c:pt idx="17">
                  <c:v>0.5</c:v>
                </c:pt>
                <c:pt idx="18">
                  <c:v>0.5</c:v>
                </c:pt>
                <c:pt idx="19">
                  <c:v>0.5</c:v>
                </c:pt>
                <c:pt idx="20">
                  <c:v>0.5</c:v>
                </c:pt>
                <c:pt idx="21">
                  <c:v>0.5</c:v>
                </c:pt>
                <c:pt idx="22">
                  <c:v>0.5</c:v>
                </c:pt>
                <c:pt idx="23">
                  <c:v>0.5</c:v>
                </c:pt>
                <c:pt idx="24">
                  <c:v>0.5</c:v>
                </c:pt>
                <c:pt idx="25">
                  <c:v>0.5</c:v>
                </c:pt>
                <c:pt idx="26">
                  <c:v>0.5</c:v>
                </c:pt>
                <c:pt idx="27">
                  <c:v>0.5</c:v>
                </c:pt>
                <c:pt idx="28">
                  <c:v>0.5</c:v>
                </c:pt>
                <c:pt idx="29">
                  <c:v>0.5</c:v>
                </c:pt>
                <c:pt idx="30">
                  <c:v>0.5</c:v>
                </c:pt>
                <c:pt idx="31">
                  <c:v>0.5</c:v>
                </c:pt>
                <c:pt idx="32">
                  <c:v>0.5</c:v>
                </c:pt>
                <c:pt idx="33">
                  <c:v>0.5</c:v>
                </c:pt>
                <c:pt idx="34">
                  <c:v>0.5</c:v>
                </c:pt>
                <c:pt idx="35">
                  <c:v>0.5</c:v>
                </c:pt>
                <c:pt idx="36">
                  <c:v>0.5</c:v>
                </c:pt>
                <c:pt idx="37">
                  <c:v>0.5</c:v>
                </c:pt>
                <c:pt idx="38">
                  <c:v>0.5</c:v>
                </c:pt>
                <c:pt idx="39">
                  <c:v>0.5</c:v>
                </c:pt>
                <c:pt idx="40">
                  <c:v>0.5</c:v>
                </c:pt>
                <c:pt idx="41">
                  <c:v>0.5</c:v>
                </c:pt>
                <c:pt idx="42">
                  <c:v>0.5</c:v>
                </c:pt>
                <c:pt idx="43">
                  <c:v>0.5</c:v>
                </c:pt>
                <c:pt idx="44">
                  <c:v>0.5</c:v>
                </c:pt>
                <c:pt idx="45">
                  <c:v>0.5</c:v>
                </c:pt>
                <c:pt idx="46">
                  <c:v>0.5</c:v>
                </c:pt>
                <c:pt idx="47">
                  <c:v>0.5</c:v>
                </c:pt>
                <c:pt idx="48">
                  <c:v>0.5</c:v>
                </c:pt>
                <c:pt idx="49">
                  <c:v>0.5</c:v>
                </c:pt>
                <c:pt idx="50">
                  <c:v>0.25</c:v>
                </c:pt>
                <c:pt idx="51">
                  <c:v>0.25</c:v>
                </c:pt>
                <c:pt idx="52">
                  <c:v>0.25</c:v>
                </c:pt>
                <c:pt idx="53">
                  <c:v>0.25</c:v>
                </c:pt>
                <c:pt idx="54">
                  <c:v>0.25</c:v>
                </c:pt>
                <c:pt idx="55">
                  <c:v>0.25</c:v>
                </c:pt>
                <c:pt idx="56">
                  <c:v>0.25</c:v>
                </c:pt>
                <c:pt idx="57">
                  <c:v>0.25</c:v>
                </c:pt>
                <c:pt idx="58">
                  <c:v>0.25</c:v>
                </c:pt>
                <c:pt idx="59">
                  <c:v>0.25</c:v>
                </c:pt>
                <c:pt idx="60">
                  <c:v>0.25</c:v>
                </c:pt>
                <c:pt idx="61">
                  <c:v>0.25</c:v>
                </c:pt>
                <c:pt idx="62">
                  <c:v>0.25</c:v>
                </c:pt>
                <c:pt idx="63">
                  <c:v>0.25</c:v>
                </c:pt>
                <c:pt idx="64">
                  <c:v>0.25</c:v>
                </c:pt>
                <c:pt idx="65">
                  <c:v>0.25</c:v>
                </c:pt>
                <c:pt idx="66">
                  <c:v>0.25</c:v>
                </c:pt>
                <c:pt idx="67">
                  <c:v>0.25</c:v>
                </c:pt>
                <c:pt idx="68">
                  <c:v>0.25</c:v>
                </c:pt>
                <c:pt idx="69">
                  <c:v>0.25</c:v>
                </c:pt>
                <c:pt idx="70">
                  <c:v>0.25</c:v>
                </c:pt>
                <c:pt idx="71">
                  <c:v>0.25</c:v>
                </c:pt>
                <c:pt idx="72">
                  <c:v>0.25</c:v>
                </c:pt>
                <c:pt idx="73">
                  <c:v>0.25</c:v>
                </c:pt>
                <c:pt idx="74">
                  <c:v>0.25</c:v>
                </c:pt>
                <c:pt idx="75">
                  <c:v>0.25</c:v>
                </c:pt>
                <c:pt idx="76">
                  <c:v>0.25</c:v>
                </c:pt>
                <c:pt idx="77">
                  <c:v>0.25</c:v>
                </c:pt>
                <c:pt idx="78">
                  <c:v>0.25</c:v>
                </c:pt>
                <c:pt idx="79">
                  <c:v>0.25</c:v>
                </c:pt>
                <c:pt idx="80">
                  <c:v>0.25</c:v>
                </c:pt>
                <c:pt idx="81">
                  <c:v>0.25</c:v>
                </c:pt>
                <c:pt idx="82">
                  <c:v>0.25</c:v>
                </c:pt>
                <c:pt idx="83">
                  <c:v>0.25</c:v>
                </c:pt>
                <c:pt idx="84">
                  <c:v>0.25</c:v>
                </c:pt>
                <c:pt idx="85">
                  <c:v>0.25</c:v>
                </c:pt>
                <c:pt idx="86">
                  <c:v>0.25</c:v>
                </c:pt>
                <c:pt idx="87">
                  <c:v>0.25</c:v>
                </c:pt>
                <c:pt idx="88">
                  <c:v>0.25</c:v>
                </c:pt>
                <c:pt idx="89">
                  <c:v>0.25</c:v>
                </c:pt>
                <c:pt idx="90">
                  <c:v>0.25</c:v>
                </c:pt>
                <c:pt idx="91">
                  <c:v>0.25</c:v>
                </c:pt>
                <c:pt idx="92">
                  <c:v>0.25</c:v>
                </c:pt>
                <c:pt idx="93">
                  <c:v>0.25</c:v>
                </c:pt>
                <c:pt idx="94">
                  <c:v>0.25</c:v>
                </c:pt>
                <c:pt idx="95">
                  <c:v>0.25</c:v>
                </c:pt>
                <c:pt idx="96">
                  <c:v>0.25</c:v>
                </c:pt>
                <c:pt idx="97">
                  <c:v>0.25</c:v>
                </c:pt>
                <c:pt idx="98">
                  <c:v>0.25</c:v>
                </c:pt>
                <c:pt idx="99">
                  <c:v>0.25</c:v>
                </c:pt>
                <c:pt idx="100">
                  <c:v>0.25</c:v>
                </c:pt>
              </c:numCache>
            </c:numRef>
          </c:yVal>
          <c:smooth val="0"/>
          <c:extLst>
            <c:ext xmlns:c16="http://schemas.microsoft.com/office/drawing/2014/chart" uri="{C3380CC4-5D6E-409C-BE32-E72D297353CC}">
              <c16:uniqueId val="{00000001-87BC-4E49-8AD6-62C7F449FE9C}"/>
            </c:ext>
          </c:extLst>
        </c:ser>
        <c:ser>
          <c:idx val="1"/>
          <c:order val="1"/>
          <c:tx>
            <c:strRef>
              <c:f>Sizing!$CN$59</c:f>
              <c:strCache>
                <c:ptCount val="1"/>
                <c:pt idx="0">
                  <c:v>Wing Skin As-Built Core Thickness
[in]</c:v>
                </c:pt>
              </c:strCache>
            </c:strRef>
          </c:tx>
          <c:spPr>
            <a:ln w="25400" cap="rnd">
              <a:noFill/>
              <a:round/>
            </a:ln>
            <a:effectLst/>
          </c:spPr>
          <c:marker>
            <c:symbol val="circle"/>
            <c:size val="5"/>
            <c:spPr>
              <a:solidFill>
                <a:schemeClr val="accent2"/>
              </a:solidFill>
              <a:ln w="9525">
                <a:solidFill>
                  <a:schemeClr val="accent2"/>
                </a:solidFill>
              </a:ln>
              <a:effectLst/>
            </c:spPr>
          </c:marker>
          <c:xVal>
            <c:numRef>
              <c:f>Sizing!$K$60:$K$160</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xVal>
          <c:yVal>
            <c:numRef>
              <c:f>Sizing!$CN$60:$CN$160</c:f>
              <c:numCache>
                <c:formatCode>0.000</c:formatCode>
                <c:ptCount val="101"/>
                <c:pt idx="0">
                  <c:v>2</c:v>
                </c:pt>
                <c:pt idx="1">
                  <c:v>2</c:v>
                </c:pt>
                <c:pt idx="2">
                  <c:v>2</c:v>
                </c:pt>
                <c:pt idx="3">
                  <c:v>2</c:v>
                </c:pt>
                <c:pt idx="4">
                  <c:v>2</c:v>
                </c:pt>
                <c:pt idx="5">
                  <c:v>2</c:v>
                </c:pt>
                <c:pt idx="6">
                  <c:v>2</c:v>
                </c:pt>
                <c:pt idx="7">
                  <c:v>2</c:v>
                </c:pt>
                <c:pt idx="8">
                  <c:v>2</c:v>
                </c:pt>
                <c:pt idx="9">
                  <c:v>2</c:v>
                </c:pt>
                <c:pt idx="10">
                  <c:v>2</c:v>
                </c:pt>
                <c:pt idx="11">
                  <c:v>2</c:v>
                </c:pt>
                <c:pt idx="12">
                  <c:v>2</c:v>
                </c:pt>
                <c:pt idx="13">
                  <c:v>2</c:v>
                </c:pt>
                <c:pt idx="14">
                  <c:v>2</c:v>
                </c:pt>
                <c:pt idx="15">
                  <c:v>2</c:v>
                </c:pt>
                <c:pt idx="16">
                  <c:v>2</c:v>
                </c:pt>
                <c:pt idx="17">
                  <c:v>2</c:v>
                </c:pt>
                <c:pt idx="18">
                  <c:v>2</c:v>
                </c:pt>
                <c:pt idx="19">
                  <c:v>2</c:v>
                </c:pt>
                <c:pt idx="20">
                  <c:v>2</c:v>
                </c:pt>
                <c:pt idx="21">
                  <c:v>2</c:v>
                </c:pt>
                <c:pt idx="22">
                  <c:v>2</c:v>
                </c:pt>
                <c:pt idx="23">
                  <c:v>2</c:v>
                </c:pt>
                <c:pt idx="24">
                  <c:v>2</c:v>
                </c:pt>
                <c:pt idx="25">
                  <c:v>2.5</c:v>
                </c:pt>
                <c:pt idx="26">
                  <c:v>2.5</c:v>
                </c:pt>
                <c:pt idx="27">
                  <c:v>2.5</c:v>
                </c:pt>
                <c:pt idx="28">
                  <c:v>2.5</c:v>
                </c:pt>
                <c:pt idx="29">
                  <c:v>2.5</c:v>
                </c:pt>
                <c:pt idx="30">
                  <c:v>2.5</c:v>
                </c:pt>
                <c:pt idx="31">
                  <c:v>2.5</c:v>
                </c:pt>
                <c:pt idx="32">
                  <c:v>2.5</c:v>
                </c:pt>
                <c:pt idx="33">
                  <c:v>2.5</c:v>
                </c:pt>
                <c:pt idx="34">
                  <c:v>2.5</c:v>
                </c:pt>
                <c:pt idx="35">
                  <c:v>2.5</c:v>
                </c:pt>
                <c:pt idx="36">
                  <c:v>2.5</c:v>
                </c:pt>
                <c:pt idx="37">
                  <c:v>2.5</c:v>
                </c:pt>
                <c:pt idx="38">
                  <c:v>2.5</c:v>
                </c:pt>
                <c:pt idx="39">
                  <c:v>2.5</c:v>
                </c:pt>
                <c:pt idx="40">
                  <c:v>2.5</c:v>
                </c:pt>
                <c:pt idx="41">
                  <c:v>2.5</c:v>
                </c:pt>
                <c:pt idx="42">
                  <c:v>2.5</c:v>
                </c:pt>
                <c:pt idx="43">
                  <c:v>2.5</c:v>
                </c:pt>
                <c:pt idx="44">
                  <c:v>2.5</c:v>
                </c:pt>
                <c:pt idx="45">
                  <c:v>2.5</c:v>
                </c:pt>
                <c:pt idx="46">
                  <c:v>2.5</c:v>
                </c:pt>
                <c:pt idx="47">
                  <c:v>2.5</c:v>
                </c:pt>
                <c:pt idx="48">
                  <c:v>2.5</c:v>
                </c:pt>
                <c:pt idx="49">
                  <c:v>2.5</c:v>
                </c:pt>
                <c:pt idx="50">
                  <c:v>1.5</c:v>
                </c:pt>
                <c:pt idx="51">
                  <c:v>1.5</c:v>
                </c:pt>
                <c:pt idx="52">
                  <c:v>1.5</c:v>
                </c:pt>
                <c:pt idx="53">
                  <c:v>1.5</c:v>
                </c:pt>
                <c:pt idx="54">
                  <c:v>1.5</c:v>
                </c:pt>
                <c:pt idx="55">
                  <c:v>1.5</c:v>
                </c:pt>
                <c:pt idx="56">
                  <c:v>1.5</c:v>
                </c:pt>
                <c:pt idx="57">
                  <c:v>1.5</c:v>
                </c:pt>
                <c:pt idx="58">
                  <c:v>1.5</c:v>
                </c:pt>
                <c:pt idx="59">
                  <c:v>1.5</c:v>
                </c:pt>
                <c:pt idx="60">
                  <c:v>1.5</c:v>
                </c:pt>
                <c:pt idx="61">
                  <c:v>1.5</c:v>
                </c:pt>
                <c:pt idx="62">
                  <c:v>1.5</c:v>
                </c:pt>
                <c:pt idx="63">
                  <c:v>1.5</c:v>
                </c:pt>
                <c:pt idx="64">
                  <c:v>1.5</c:v>
                </c:pt>
                <c:pt idx="65">
                  <c:v>1.5</c:v>
                </c:pt>
                <c:pt idx="66">
                  <c:v>1.5</c:v>
                </c:pt>
                <c:pt idx="67">
                  <c:v>1.5</c:v>
                </c:pt>
                <c:pt idx="68">
                  <c:v>1.5</c:v>
                </c:pt>
                <c:pt idx="69">
                  <c:v>1.5</c:v>
                </c:pt>
                <c:pt idx="70">
                  <c:v>1.5</c:v>
                </c:pt>
                <c:pt idx="71">
                  <c:v>1.5</c:v>
                </c:pt>
                <c:pt idx="72">
                  <c:v>1.5</c:v>
                </c:pt>
                <c:pt idx="73">
                  <c:v>1.5</c:v>
                </c:pt>
                <c:pt idx="74">
                  <c:v>1.5</c:v>
                </c:pt>
                <c:pt idx="75">
                  <c:v>0.75</c:v>
                </c:pt>
                <c:pt idx="76">
                  <c:v>0.75</c:v>
                </c:pt>
                <c:pt idx="77">
                  <c:v>0.75</c:v>
                </c:pt>
                <c:pt idx="78">
                  <c:v>0.75</c:v>
                </c:pt>
                <c:pt idx="79">
                  <c:v>0.75</c:v>
                </c:pt>
                <c:pt idx="80">
                  <c:v>0.75</c:v>
                </c:pt>
                <c:pt idx="81">
                  <c:v>0.75</c:v>
                </c:pt>
                <c:pt idx="82">
                  <c:v>0.75</c:v>
                </c:pt>
                <c:pt idx="83">
                  <c:v>0.75</c:v>
                </c:pt>
                <c:pt idx="84">
                  <c:v>0.75</c:v>
                </c:pt>
                <c:pt idx="85">
                  <c:v>0.75</c:v>
                </c:pt>
                <c:pt idx="86">
                  <c:v>0.75</c:v>
                </c:pt>
                <c:pt idx="87">
                  <c:v>0.75</c:v>
                </c:pt>
                <c:pt idx="88">
                  <c:v>0.75</c:v>
                </c:pt>
                <c:pt idx="89">
                  <c:v>0.75</c:v>
                </c:pt>
                <c:pt idx="90">
                  <c:v>0.75</c:v>
                </c:pt>
                <c:pt idx="91">
                  <c:v>0.75</c:v>
                </c:pt>
                <c:pt idx="92">
                  <c:v>0.75</c:v>
                </c:pt>
                <c:pt idx="93">
                  <c:v>0.75</c:v>
                </c:pt>
                <c:pt idx="94">
                  <c:v>0.75</c:v>
                </c:pt>
                <c:pt idx="95">
                  <c:v>0.75</c:v>
                </c:pt>
                <c:pt idx="96">
                  <c:v>0.75</c:v>
                </c:pt>
                <c:pt idx="97">
                  <c:v>0.75</c:v>
                </c:pt>
                <c:pt idx="98">
                  <c:v>0.75</c:v>
                </c:pt>
                <c:pt idx="99">
                  <c:v>0.75</c:v>
                </c:pt>
                <c:pt idx="100">
                  <c:v>0.75</c:v>
                </c:pt>
              </c:numCache>
            </c:numRef>
          </c:yVal>
          <c:smooth val="0"/>
          <c:extLst>
            <c:ext xmlns:c16="http://schemas.microsoft.com/office/drawing/2014/chart" uri="{C3380CC4-5D6E-409C-BE32-E72D297353CC}">
              <c16:uniqueId val="{00000002-87BC-4E49-8AD6-62C7F449FE9C}"/>
            </c:ext>
          </c:extLst>
        </c:ser>
        <c:ser>
          <c:idx val="0"/>
          <c:order val="2"/>
          <c:tx>
            <c:strRef>
              <c:f>Sizing!$GJ$59</c:f>
              <c:strCache>
                <c:ptCount val="1"/>
                <c:pt idx="0">
                  <c:v>As-Built Spar Core Thickness
[in]</c:v>
                </c:pt>
              </c:strCache>
            </c:strRef>
          </c:tx>
          <c:spPr>
            <a:ln w="25400" cap="rnd">
              <a:noFill/>
              <a:round/>
            </a:ln>
            <a:effectLst/>
          </c:spPr>
          <c:marker>
            <c:symbol val="circle"/>
            <c:size val="5"/>
            <c:spPr>
              <a:solidFill>
                <a:schemeClr val="accent1"/>
              </a:solidFill>
              <a:ln w="9525">
                <a:solidFill>
                  <a:schemeClr val="accent1"/>
                </a:solidFill>
              </a:ln>
              <a:effectLst/>
            </c:spPr>
          </c:marker>
          <c:xVal>
            <c:numRef>
              <c:f>Sizing!$K$60:$K$160</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xVal>
          <c:yVal>
            <c:numRef>
              <c:f>Sizing!$GJ$60:$GJ$160</c:f>
              <c:numCache>
                <c:formatCode>0.000</c:formatCode>
                <c:ptCount val="101"/>
                <c:pt idx="0">
                  <c:v>0.75</c:v>
                </c:pt>
                <c:pt idx="1">
                  <c:v>0.75</c:v>
                </c:pt>
                <c:pt idx="2">
                  <c:v>0.75</c:v>
                </c:pt>
                <c:pt idx="3">
                  <c:v>0.75</c:v>
                </c:pt>
                <c:pt idx="4">
                  <c:v>0.75</c:v>
                </c:pt>
                <c:pt idx="5">
                  <c:v>0.75</c:v>
                </c:pt>
                <c:pt idx="6">
                  <c:v>0.75</c:v>
                </c:pt>
                <c:pt idx="7">
                  <c:v>0.75</c:v>
                </c:pt>
                <c:pt idx="8">
                  <c:v>0.75</c:v>
                </c:pt>
                <c:pt idx="9">
                  <c:v>0.75</c:v>
                </c:pt>
                <c:pt idx="10">
                  <c:v>0.75</c:v>
                </c:pt>
                <c:pt idx="11">
                  <c:v>0.75</c:v>
                </c:pt>
                <c:pt idx="12">
                  <c:v>0.75</c:v>
                </c:pt>
                <c:pt idx="13">
                  <c:v>0.75</c:v>
                </c:pt>
                <c:pt idx="14">
                  <c:v>0.75</c:v>
                </c:pt>
                <c:pt idx="15">
                  <c:v>0.75</c:v>
                </c:pt>
                <c:pt idx="16">
                  <c:v>0.75</c:v>
                </c:pt>
                <c:pt idx="17">
                  <c:v>0.75</c:v>
                </c:pt>
                <c:pt idx="18">
                  <c:v>0.75</c:v>
                </c:pt>
                <c:pt idx="19">
                  <c:v>0.75</c:v>
                </c:pt>
                <c:pt idx="20">
                  <c:v>0.75</c:v>
                </c:pt>
                <c:pt idx="21">
                  <c:v>0.75</c:v>
                </c:pt>
                <c:pt idx="22">
                  <c:v>0.75</c:v>
                </c:pt>
                <c:pt idx="23">
                  <c:v>0.75</c:v>
                </c:pt>
                <c:pt idx="24">
                  <c:v>0.75</c:v>
                </c:pt>
                <c:pt idx="25">
                  <c:v>0.5</c:v>
                </c:pt>
                <c:pt idx="26">
                  <c:v>0.5</c:v>
                </c:pt>
                <c:pt idx="27">
                  <c:v>0.5</c:v>
                </c:pt>
                <c:pt idx="28">
                  <c:v>0.5</c:v>
                </c:pt>
                <c:pt idx="29">
                  <c:v>0.5</c:v>
                </c:pt>
                <c:pt idx="30">
                  <c:v>0.5</c:v>
                </c:pt>
                <c:pt idx="31">
                  <c:v>0.5</c:v>
                </c:pt>
                <c:pt idx="32">
                  <c:v>0.5</c:v>
                </c:pt>
                <c:pt idx="33">
                  <c:v>0.5</c:v>
                </c:pt>
                <c:pt idx="34">
                  <c:v>0.5</c:v>
                </c:pt>
                <c:pt idx="35">
                  <c:v>0.5</c:v>
                </c:pt>
                <c:pt idx="36">
                  <c:v>0.5</c:v>
                </c:pt>
                <c:pt idx="37">
                  <c:v>0.5</c:v>
                </c:pt>
                <c:pt idx="38">
                  <c:v>0.5</c:v>
                </c:pt>
                <c:pt idx="39">
                  <c:v>0.5</c:v>
                </c:pt>
                <c:pt idx="40">
                  <c:v>0.5</c:v>
                </c:pt>
                <c:pt idx="41">
                  <c:v>0.5</c:v>
                </c:pt>
                <c:pt idx="42">
                  <c:v>0.5</c:v>
                </c:pt>
                <c:pt idx="43">
                  <c:v>0.5</c:v>
                </c:pt>
                <c:pt idx="44">
                  <c:v>0.5</c:v>
                </c:pt>
                <c:pt idx="45">
                  <c:v>0.5</c:v>
                </c:pt>
                <c:pt idx="46">
                  <c:v>0.5</c:v>
                </c:pt>
                <c:pt idx="47">
                  <c:v>0.5</c:v>
                </c:pt>
                <c:pt idx="48">
                  <c:v>0.5</c:v>
                </c:pt>
                <c:pt idx="49">
                  <c:v>0.5</c:v>
                </c:pt>
                <c:pt idx="50">
                  <c:v>0.5</c:v>
                </c:pt>
                <c:pt idx="51">
                  <c:v>0.5</c:v>
                </c:pt>
                <c:pt idx="52">
                  <c:v>0.5</c:v>
                </c:pt>
                <c:pt idx="53">
                  <c:v>0.5</c:v>
                </c:pt>
                <c:pt idx="54">
                  <c:v>0.5</c:v>
                </c:pt>
                <c:pt idx="55">
                  <c:v>0.5</c:v>
                </c:pt>
                <c:pt idx="56">
                  <c:v>0.5</c:v>
                </c:pt>
                <c:pt idx="57">
                  <c:v>0.5</c:v>
                </c:pt>
                <c:pt idx="58">
                  <c:v>0.5</c:v>
                </c:pt>
                <c:pt idx="59">
                  <c:v>0.5</c:v>
                </c:pt>
                <c:pt idx="60">
                  <c:v>0.5</c:v>
                </c:pt>
                <c:pt idx="61">
                  <c:v>0.5</c:v>
                </c:pt>
                <c:pt idx="62">
                  <c:v>0.5</c:v>
                </c:pt>
                <c:pt idx="63">
                  <c:v>0.5</c:v>
                </c:pt>
                <c:pt idx="64">
                  <c:v>0.5</c:v>
                </c:pt>
                <c:pt idx="65">
                  <c:v>0.5</c:v>
                </c:pt>
                <c:pt idx="66">
                  <c:v>0.5</c:v>
                </c:pt>
                <c:pt idx="67">
                  <c:v>0.5</c:v>
                </c:pt>
                <c:pt idx="68">
                  <c:v>0.5</c:v>
                </c:pt>
                <c:pt idx="69">
                  <c:v>0.5</c:v>
                </c:pt>
                <c:pt idx="70">
                  <c:v>0.5</c:v>
                </c:pt>
                <c:pt idx="71">
                  <c:v>0.5</c:v>
                </c:pt>
                <c:pt idx="72">
                  <c:v>0.5</c:v>
                </c:pt>
                <c:pt idx="73">
                  <c:v>0.5</c:v>
                </c:pt>
                <c:pt idx="74">
                  <c:v>0.5</c:v>
                </c:pt>
                <c:pt idx="75">
                  <c:v>0.25</c:v>
                </c:pt>
                <c:pt idx="76">
                  <c:v>0.25</c:v>
                </c:pt>
                <c:pt idx="77">
                  <c:v>0.25</c:v>
                </c:pt>
                <c:pt idx="78">
                  <c:v>0.25</c:v>
                </c:pt>
                <c:pt idx="79">
                  <c:v>0.25</c:v>
                </c:pt>
                <c:pt idx="80">
                  <c:v>0.25</c:v>
                </c:pt>
                <c:pt idx="81">
                  <c:v>0.25</c:v>
                </c:pt>
                <c:pt idx="82">
                  <c:v>0.25</c:v>
                </c:pt>
                <c:pt idx="83">
                  <c:v>0.25</c:v>
                </c:pt>
                <c:pt idx="84">
                  <c:v>0.25</c:v>
                </c:pt>
                <c:pt idx="85">
                  <c:v>0.25</c:v>
                </c:pt>
                <c:pt idx="86">
                  <c:v>0.25</c:v>
                </c:pt>
                <c:pt idx="87">
                  <c:v>0.25</c:v>
                </c:pt>
                <c:pt idx="88">
                  <c:v>0.25</c:v>
                </c:pt>
                <c:pt idx="89">
                  <c:v>0.25</c:v>
                </c:pt>
                <c:pt idx="90">
                  <c:v>0.25</c:v>
                </c:pt>
                <c:pt idx="91">
                  <c:v>0.25</c:v>
                </c:pt>
                <c:pt idx="92">
                  <c:v>0.25</c:v>
                </c:pt>
                <c:pt idx="93">
                  <c:v>0.25</c:v>
                </c:pt>
                <c:pt idx="94">
                  <c:v>0.25</c:v>
                </c:pt>
                <c:pt idx="95">
                  <c:v>0.25</c:v>
                </c:pt>
                <c:pt idx="96">
                  <c:v>0.25</c:v>
                </c:pt>
                <c:pt idx="97">
                  <c:v>0.25</c:v>
                </c:pt>
                <c:pt idx="98">
                  <c:v>0.25</c:v>
                </c:pt>
                <c:pt idx="99">
                  <c:v>0.25</c:v>
                </c:pt>
                <c:pt idx="100">
                  <c:v>0.25</c:v>
                </c:pt>
              </c:numCache>
            </c:numRef>
          </c:yVal>
          <c:smooth val="0"/>
          <c:extLst>
            <c:ext xmlns:c16="http://schemas.microsoft.com/office/drawing/2014/chart" uri="{C3380CC4-5D6E-409C-BE32-E72D297353CC}">
              <c16:uniqueId val="{00000003-87BC-4E49-8AD6-62C7F449FE9C}"/>
            </c:ext>
          </c:extLst>
        </c:ser>
        <c:dLbls>
          <c:showLegendKey val="0"/>
          <c:showVal val="0"/>
          <c:showCatName val="0"/>
          <c:showSerName val="0"/>
          <c:showPercent val="0"/>
          <c:showBubbleSize val="0"/>
        </c:dLbls>
        <c:axId val="401966016"/>
        <c:axId val="401965624"/>
      </c:scatterChart>
      <c:valAx>
        <c:axId val="40196601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Wing Segment - 100 * 2y/b</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965624"/>
        <c:crosses val="autoZero"/>
        <c:crossBetween val="midCat"/>
      </c:valAx>
      <c:valAx>
        <c:axId val="40196562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Thickness [in]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96601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Skins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1"/>
          <c:order val="0"/>
          <c:tx>
            <c:strRef>
              <c:f>Sizing!$FJ$59</c:f>
              <c:strCache>
                <c:ptCount val="1"/>
                <c:pt idx="0">
                  <c:v>Spar Web Facesheet 1, Thickness
[in]</c:v>
                </c:pt>
              </c:strCache>
            </c:strRef>
          </c:tx>
          <c:spPr>
            <a:ln w="25400" cap="rnd">
              <a:noFill/>
              <a:round/>
            </a:ln>
            <a:effectLst/>
          </c:spPr>
          <c:marker>
            <c:symbol val="circle"/>
            <c:size val="5"/>
            <c:spPr>
              <a:solidFill>
                <a:schemeClr val="accent2"/>
              </a:solidFill>
              <a:ln w="9525">
                <a:solidFill>
                  <a:schemeClr val="accent2"/>
                </a:solidFill>
              </a:ln>
              <a:effectLst/>
            </c:spPr>
          </c:marker>
          <c:xVal>
            <c:numRef>
              <c:f>Sizing!$K$60:$K$160</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xVal>
          <c:yVal>
            <c:numRef>
              <c:f>Sizing!$FJ$60:$FJ$160</c:f>
              <c:numCache>
                <c:formatCode>General</c:formatCode>
                <c:ptCount val="101"/>
                <c:pt idx="0">
                  <c:v>6.2992125984251982E-2</c:v>
                </c:pt>
                <c:pt idx="1">
                  <c:v>6.2992125984251982E-2</c:v>
                </c:pt>
                <c:pt idx="2">
                  <c:v>6.2992125984251982E-2</c:v>
                </c:pt>
                <c:pt idx="3">
                  <c:v>6.2992125984251982E-2</c:v>
                </c:pt>
                <c:pt idx="4">
                  <c:v>6.2992125984251982E-2</c:v>
                </c:pt>
                <c:pt idx="5">
                  <c:v>6.2992125984251982E-2</c:v>
                </c:pt>
                <c:pt idx="6">
                  <c:v>6.2992125984251982E-2</c:v>
                </c:pt>
                <c:pt idx="7">
                  <c:v>6.2992125984251982E-2</c:v>
                </c:pt>
                <c:pt idx="8">
                  <c:v>6.2992125984251982E-2</c:v>
                </c:pt>
                <c:pt idx="9">
                  <c:v>6.2992125984251982E-2</c:v>
                </c:pt>
                <c:pt idx="10">
                  <c:v>5.5118110236220486E-2</c:v>
                </c:pt>
                <c:pt idx="11">
                  <c:v>5.5118110236220486E-2</c:v>
                </c:pt>
                <c:pt idx="12">
                  <c:v>5.5118110236220486E-2</c:v>
                </c:pt>
                <c:pt idx="13">
                  <c:v>5.5118110236220486E-2</c:v>
                </c:pt>
                <c:pt idx="14">
                  <c:v>5.5118110236220486E-2</c:v>
                </c:pt>
                <c:pt idx="15">
                  <c:v>5.5118110236220486E-2</c:v>
                </c:pt>
                <c:pt idx="16">
                  <c:v>5.5118110236220486E-2</c:v>
                </c:pt>
                <c:pt idx="17">
                  <c:v>5.5118110236220486E-2</c:v>
                </c:pt>
                <c:pt idx="18">
                  <c:v>5.5118110236220486E-2</c:v>
                </c:pt>
                <c:pt idx="19">
                  <c:v>5.5118110236220486E-2</c:v>
                </c:pt>
                <c:pt idx="20">
                  <c:v>5.5118110236220486E-2</c:v>
                </c:pt>
                <c:pt idx="21">
                  <c:v>5.5118110236220486E-2</c:v>
                </c:pt>
                <c:pt idx="22">
                  <c:v>5.5118110236220486E-2</c:v>
                </c:pt>
                <c:pt idx="23">
                  <c:v>5.5118110236220486E-2</c:v>
                </c:pt>
                <c:pt idx="24">
                  <c:v>5.5118110236220486E-2</c:v>
                </c:pt>
                <c:pt idx="25">
                  <c:v>5.5118110236220486E-2</c:v>
                </c:pt>
                <c:pt idx="26">
                  <c:v>5.5118110236220486E-2</c:v>
                </c:pt>
                <c:pt idx="27">
                  <c:v>5.5118110236220486E-2</c:v>
                </c:pt>
                <c:pt idx="28">
                  <c:v>5.5118110236220486E-2</c:v>
                </c:pt>
                <c:pt idx="29">
                  <c:v>5.5118110236220486E-2</c:v>
                </c:pt>
                <c:pt idx="30">
                  <c:v>4.724409448818899E-2</c:v>
                </c:pt>
                <c:pt idx="31">
                  <c:v>4.724409448818899E-2</c:v>
                </c:pt>
                <c:pt idx="32">
                  <c:v>4.724409448818899E-2</c:v>
                </c:pt>
                <c:pt idx="33">
                  <c:v>4.724409448818899E-2</c:v>
                </c:pt>
                <c:pt idx="34">
                  <c:v>4.724409448818899E-2</c:v>
                </c:pt>
                <c:pt idx="35">
                  <c:v>4.724409448818899E-2</c:v>
                </c:pt>
                <c:pt idx="36">
                  <c:v>4.724409448818899E-2</c:v>
                </c:pt>
                <c:pt idx="37">
                  <c:v>4.724409448818899E-2</c:v>
                </c:pt>
                <c:pt idx="38">
                  <c:v>4.724409448818899E-2</c:v>
                </c:pt>
                <c:pt idx="39">
                  <c:v>4.724409448818899E-2</c:v>
                </c:pt>
                <c:pt idx="40">
                  <c:v>3.9370078740157487E-2</c:v>
                </c:pt>
                <c:pt idx="41">
                  <c:v>3.9370078740157487E-2</c:v>
                </c:pt>
                <c:pt idx="42">
                  <c:v>3.9370078740157487E-2</c:v>
                </c:pt>
                <c:pt idx="43">
                  <c:v>3.9370078740157487E-2</c:v>
                </c:pt>
                <c:pt idx="44">
                  <c:v>3.9370078740157487E-2</c:v>
                </c:pt>
                <c:pt idx="45">
                  <c:v>3.9370078740157487E-2</c:v>
                </c:pt>
                <c:pt idx="46">
                  <c:v>3.9370078740157487E-2</c:v>
                </c:pt>
                <c:pt idx="47">
                  <c:v>3.9370078740157487E-2</c:v>
                </c:pt>
                <c:pt idx="48">
                  <c:v>3.9370078740157487E-2</c:v>
                </c:pt>
                <c:pt idx="49">
                  <c:v>3.9370078740157487E-2</c:v>
                </c:pt>
                <c:pt idx="50">
                  <c:v>3.1496062992125991E-2</c:v>
                </c:pt>
                <c:pt idx="51">
                  <c:v>3.1496062992125991E-2</c:v>
                </c:pt>
                <c:pt idx="52">
                  <c:v>3.1496062992125991E-2</c:v>
                </c:pt>
                <c:pt idx="53">
                  <c:v>3.1496062992125991E-2</c:v>
                </c:pt>
                <c:pt idx="54">
                  <c:v>3.1496062992125991E-2</c:v>
                </c:pt>
                <c:pt idx="55">
                  <c:v>3.1496062992125991E-2</c:v>
                </c:pt>
                <c:pt idx="56">
                  <c:v>3.1496062992125991E-2</c:v>
                </c:pt>
                <c:pt idx="57">
                  <c:v>3.1496062992125991E-2</c:v>
                </c:pt>
                <c:pt idx="58">
                  <c:v>3.1496062992125991E-2</c:v>
                </c:pt>
                <c:pt idx="59">
                  <c:v>3.1496062992125991E-2</c:v>
                </c:pt>
                <c:pt idx="60">
                  <c:v>2.3622047244094495E-2</c:v>
                </c:pt>
                <c:pt idx="61">
                  <c:v>2.3622047244094495E-2</c:v>
                </c:pt>
                <c:pt idx="62">
                  <c:v>2.3622047244094495E-2</c:v>
                </c:pt>
                <c:pt idx="63">
                  <c:v>2.3622047244094495E-2</c:v>
                </c:pt>
                <c:pt idx="64">
                  <c:v>2.3622047244094495E-2</c:v>
                </c:pt>
                <c:pt idx="65">
                  <c:v>2.3622047244094495E-2</c:v>
                </c:pt>
                <c:pt idx="66">
                  <c:v>2.3622047244094495E-2</c:v>
                </c:pt>
                <c:pt idx="67">
                  <c:v>2.3622047244094495E-2</c:v>
                </c:pt>
                <c:pt idx="68">
                  <c:v>2.3622047244094495E-2</c:v>
                </c:pt>
                <c:pt idx="69">
                  <c:v>2.3622047244094495E-2</c:v>
                </c:pt>
                <c:pt idx="70">
                  <c:v>2.3622047244094495E-2</c:v>
                </c:pt>
                <c:pt idx="71">
                  <c:v>2.3622047244094495E-2</c:v>
                </c:pt>
                <c:pt idx="72">
                  <c:v>2.3622047244094495E-2</c:v>
                </c:pt>
                <c:pt idx="73">
                  <c:v>2.3622047244094495E-2</c:v>
                </c:pt>
                <c:pt idx="74">
                  <c:v>2.3622047244094495E-2</c:v>
                </c:pt>
                <c:pt idx="75">
                  <c:v>2.3622047244094495E-2</c:v>
                </c:pt>
                <c:pt idx="76">
                  <c:v>2.3622047244094495E-2</c:v>
                </c:pt>
                <c:pt idx="77">
                  <c:v>2.3622047244094495E-2</c:v>
                </c:pt>
                <c:pt idx="78">
                  <c:v>2.3622047244094495E-2</c:v>
                </c:pt>
                <c:pt idx="79">
                  <c:v>2.3622047244094495E-2</c:v>
                </c:pt>
                <c:pt idx="80">
                  <c:v>1.5748031496062995E-2</c:v>
                </c:pt>
                <c:pt idx="81">
                  <c:v>1.5748031496062995E-2</c:v>
                </c:pt>
                <c:pt idx="82">
                  <c:v>1.5748031496062995E-2</c:v>
                </c:pt>
                <c:pt idx="83">
                  <c:v>1.5748031496062995E-2</c:v>
                </c:pt>
                <c:pt idx="84">
                  <c:v>1.5748031496062995E-2</c:v>
                </c:pt>
                <c:pt idx="85">
                  <c:v>1.5748031496062995E-2</c:v>
                </c:pt>
                <c:pt idx="86">
                  <c:v>1.5748031496062995E-2</c:v>
                </c:pt>
                <c:pt idx="87">
                  <c:v>1.5748031496062995E-2</c:v>
                </c:pt>
                <c:pt idx="88">
                  <c:v>1.5748031496062995E-2</c:v>
                </c:pt>
                <c:pt idx="89">
                  <c:v>1.5748031496062995E-2</c:v>
                </c:pt>
                <c:pt idx="90">
                  <c:v>1.5748031496062995E-2</c:v>
                </c:pt>
                <c:pt idx="91">
                  <c:v>1.5748031496062995E-2</c:v>
                </c:pt>
                <c:pt idx="92">
                  <c:v>1.5748031496062995E-2</c:v>
                </c:pt>
                <c:pt idx="93">
                  <c:v>1.5748031496062995E-2</c:v>
                </c:pt>
                <c:pt idx="94">
                  <c:v>1.5748031496062995E-2</c:v>
                </c:pt>
                <c:pt idx="95">
                  <c:v>1.5748031496062995E-2</c:v>
                </c:pt>
                <c:pt idx="96">
                  <c:v>1.5748031496062995E-2</c:v>
                </c:pt>
                <c:pt idx="97">
                  <c:v>1.5748031496062995E-2</c:v>
                </c:pt>
                <c:pt idx="98">
                  <c:v>1.5748031496062995E-2</c:v>
                </c:pt>
                <c:pt idx="99">
                  <c:v>1.5748031496062995E-2</c:v>
                </c:pt>
                <c:pt idx="100">
                  <c:v>1.5748031496062995E-2</c:v>
                </c:pt>
              </c:numCache>
            </c:numRef>
          </c:yVal>
          <c:smooth val="0"/>
          <c:extLst>
            <c:ext xmlns:c16="http://schemas.microsoft.com/office/drawing/2014/chart" uri="{C3380CC4-5D6E-409C-BE32-E72D297353CC}">
              <c16:uniqueId val="{00000000-6846-4A1A-A948-6C46940E5E34}"/>
            </c:ext>
          </c:extLst>
        </c:ser>
        <c:ser>
          <c:idx val="0"/>
          <c:order val="1"/>
          <c:tx>
            <c:strRef>
              <c:f>Sizing!$CO$59</c:f>
              <c:strCache>
                <c:ptCount val="1"/>
                <c:pt idx="0">
                  <c:v>As-built Skin Facesheet OML Thickness [in]</c:v>
                </c:pt>
              </c:strCache>
            </c:strRef>
          </c:tx>
          <c:spPr>
            <a:ln w="25400" cap="rnd">
              <a:noFill/>
              <a:round/>
            </a:ln>
            <a:effectLst/>
          </c:spPr>
          <c:marker>
            <c:symbol val="circle"/>
            <c:size val="5"/>
            <c:spPr>
              <a:solidFill>
                <a:schemeClr val="accent1"/>
              </a:solidFill>
              <a:ln w="9525">
                <a:solidFill>
                  <a:schemeClr val="accent1"/>
                </a:solidFill>
              </a:ln>
              <a:effectLst/>
            </c:spPr>
          </c:marker>
          <c:xVal>
            <c:numRef>
              <c:f>Sizing!$K$60:$K$160</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xVal>
          <c:yVal>
            <c:numRef>
              <c:f>Sizing!$CO$60:$CO$160</c:f>
              <c:numCache>
                <c:formatCode>0.000</c:formatCode>
                <c:ptCount val="101"/>
                <c:pt idx="0">
                  <c:v>2.3622047244094495E-2</c:v>
                </c:pt>
                <c:pt idx="1">
                  <c:v>2.3622047244094495E-2</c:v>
                </c:pt>
                <c:pt idx="2">
                  <c:v>2.3622047244094495E-2</c:v>
                </c:pt>
                <c:pt idx="3">
                  <c:v>2.3622047244094495E-2</c:v>
                </c:pt>
                <c:pt idx="4">
                  <c:v>2.3622047244094495E-2</c:v>
                </c:pt>
                <c:pt idx="5">
                  <c:v>2.3622047244094495E-2</c:v>
                </c:pt>
                <c:pt idx="6">
                  <c:v>2.3622047244094495E-2</c:v>
                </c:pt>
                <c:pt idx="7">
                  <c:v>2.3622047244094495E-2</c:v>
                </c:pt>
                <c:pt idx="8">
                  <c:v>2.3622047244094495E-2</c:v>
                </c:pt>
                <c:pt idx="9">
                  <c:v>2.3622047244094495E-2</c:v>
                </c:pt>
                <c:pt idx="10">
                  <c:v>2.3622047244094495E-2</c:v>
                </c:pt>
                <c:pt idx="11">
                  <c:v>2.3622047244094495E-2</c:v>
                </c:pt>
                <c:pt idx="12">
                  <c:v>2.3622047244094495E-2</c:v>
                </c:pt>
                <c:pt idx="13">
                  <c:v>2.3622047244094495E-2</c:v>
                </c:pt>
                <c:pt idx="14">
                  <c:v>2.3622047244094495E-2</c:v>
                </c:pt>
                <c:pt idx="15">
                  <c:v>2.3622047244094495E-2</c:v>
                </c:pt>
                <c:pt idx="16">
                  <c:v>2.3622047244094495E-2</c:v>
                </c:pt>
                <c:pt idx="17">
                  <c:v>2.3622047244094495E-2</c:v>
                </c:pt>
                <c:pt idx="18">
                  <c:v>2.3622047244094495E-2</c:v>
                </c:pt>
                <c:pt idx="19">
                  <c:v>2.3622047244094495E-2</c:v>
                </c:pt>
                <c:pt idx="20">
                  <c:v>2.3622047244094495E-2</c:v>
                </c:pt>
                <c:pt idx="21">
                  <c:v>2.3622047244094495E-2</c:v>
                </c:pt>
                <c:pt idx="22">
                  <c:v>2.3622047244094495E-2</c:v>
                </c:pt>
                <c:pt idx="23">
                  <c:v>2.3622047244094495E-2</c:v>
                </c:pt>
                <c:pt idx="24">
                  <c:v>2.3622047244094495E-2</c:v>
                </c:pt>
                <c:pt idx="25">
                  <c:v>2.3622047244094495E-2</c:v>
                </c:pt>
                <c:pt idx="26">
                  <c:v>2.3622047244094495E-2</c:v>
                </c:pt>
                <c:pt idx="27">
                  <c:v>2.3622047244094495E-2</c:v>
                </c:pt>
                <c:pt idx="28">
                  <c:v>2.3622047244094495E-2</c:v>
                </c:pt>
                <c:pt idx="29">
                  <c:v>2.3622047244094495E-2</c:v>
                </c:pt>
                <c:pt idx="30">
                  <c:v>2.3622047244094495E-2</c:v>
                </c:pt>
                <c:pt idx="31">
                  <c:v>2.3622047244094495E-2</c:v>
                </c:pt>
                <c:pt idx="32">
                  <c:v>2.3622047244094495E-2</c:v>
                </c:pt>
                <c:pt idx="33">
                  <c:v>2.3622047244094495E-2</c:v>
                </c:pt>
                <c:pt idx="34">
                  <c:v>2.3622047244094495E-2</c:v>
                </c:pt>
                <c:pt idx="35">
                  <c:v>2.3622047244094495E-2</c:v>
                </c:pt>
                <c:pt idx="36">
                  <c:v>2.3622047244094495E-2</c:v>
                </c:pt>
                <c:pt idx="37">
                  <c:v>2.3622047244094495E-2</c:v>
                </c:pt>
                <c:pt idx="38">
                  <c:v>2.3622047244094495E-2</c:v>
                </c:pt>
                <c:pt idx="39">
                  <c:v>2.3622047244094495E-2</c:v>
                </c:pt>
                <c:pt idx="40">
                  <c:v>2.3622047244094495E-2</c:v>
                </c:pt>
                <c:pt idx="41">
                  <c:v>2.3622047244094495E-2</c:v>
                </c:pt>
                <c:pt idx="42">
                  <c:v>2.3622047244094495E-2</c:v>
                </c:pt>
                <c:pt idx="43">
                  <c:v>2.3622047244094495E-2</c:v>
                </c:pt>
                <c:pt idx="44">
                  <c:v>2.3622047244094495E-2</c:v>
                </c:pt>
                <c:pt idx="45">
                  <c:v>2.3622047244094495E-2</c:v>
                </c:pt>
                <c:pt idx="46">
                  <c:v>2.3622047244094495E-2</c:v>
                </c:pt>
                <c:pt idx="47">
                  <c:v>2.3622047244094495E-2</c:v>
                </c:pt>
                <c:pt idx="48">
                  <c:v>2.3622047244094495E-2</c:v>
                </c:pt>
                <c:pt idx="49">
                  <c:v>2.3622047244094495E-2</c:v>
                </c:pt>
                <c:pt idx="50">
                  <c:v>2.3622047244094495E-2</c:v>
                </c:pt>
                <c:pt idx="51">
                  <c:v>2.3622047244094495E-2</c:v>
                </c:pt>
                <c:pt idx="52">
                  <c:v>2.3622047244094495E-2</c:v>
                </c:pt>
                <c:pt idx="53">
                  <c:v>2.3622047244094495E-2</c:v>
                </c:pt>
                <c:pt idx="54">
                  <c:v>2.3622047244094495E-2</c:v>
                </c:pt>
                <c:pt idx="55">
                  <c:v>2.3622047244094495E-2</c:v>
                </c:pt>
                <c:pt idx="56">
                  <c:v>2.3622047244094495E-2</c:v>
                </c:pt>
                <c:pt idx="57">
                  <c:v>2.3622047244094495E-2</c:v>
                </c:pt>
                <c:pt idx="58">
                  <c:v>2.3622047244094495E-2</c:v>
                </c:pt>
                <c:pt idx="59">
                  <c:v>2.3622047244094495E-2</c:v>
                </c:pt>
                <c:pt idx="60">
                  <c:v>2.3622047244094495E-2</c:v>
                </c:pt>
                <c:pt idx="61">
                  <c:v>2.3622047244094495E-2</c:v>
                </c:pt>
                <c:pt idx="62">
                  <c:v>2.3622047244094495E-2</c:v>
                </c:pt>
                <c:pt idx="63">
                  <c:v>2.3622047244094495E-2</c:v>
                </c:pt>
                <c:pt idx="64">
                  <c:v>2.3622047244094495E-2</c:v>
                </c:pt>
                <c:pt idx="65">
                  <c:v>2.3622047244094495E-2</c:v>
                </c:pt>
                <c:pt idx="66">
                  <c:v>2.3622047244094495E-2</c:v>
                </c:pt>
                <c:pt idx="67">
                  <c:v>2.3622047244094495E-2</c:v>
                </c:pt>
                <c:pt idx="68">
                  <c:v>2.3622047244094495E-2</c:v>
                </c:pt>
                <c:pt idx="69">
                  <c:v>2.3622047244094495E-2</c:v>
                </c:pt>
                <c:pt idx="70">
                  <c:v>2.3622047244094495E-2</c:v>
                </c:pt>
                <c:pt idx="71">
                  <c:v>2.3622047244094495E-2</c:v>
                </c:pt>
                <c:pt idx="72">
                  <c:v>2.3622047244094495E-2</c:v>
                </c:pt>
                <c:pt idx="73">
                  <c:v>2.3622047244094495E-2</c:v>
                </c:pt>
                <c:pt idx="74">
                  <c:v>2.3622047244094495E-2</c:v>
                </c:pt>
                <c:pt idx="75">
                  <c:v>2.3622047244094495E-2</c:v>
                </c:pt>
                <c:pt idx="76">
                  <c:v>2.3622047244094495E-2</c:v>
                </c:pt>
                <c:pt idx="77">
                  <c:v>2.3622047244094495E-2</c:v>
                </c:pt>
                <c:pt idx="78">
                  <c:v>2.3622047244094495E-2</c:v>
                </c:pt>
                <c:pt idx="79">
                  <c:v>2.3622047244094495E-2</c:v>
                </c:pt>
                <c:pt idx="80">
                  <c:v>2.3622047244094495E-2</c:v>
                </c:pt>
                <c:pt idx="81">
                  <c:v>2.3622047244094495E-2</c:v>
                </c:pt>
                <c:pt idx="82">
                  <c:v>2.3622047244094495E-2</c:v>
                </c:pt>
                <c:pt idx="83">
                  <c:v>2.3622047244094495E-2</c:v>
                </c:pt>
                <c:pt idx="84">
                  <c:v>2.3622047244094495E-2</c:v>
                </c:pt>
                <c:pt idx="85">
                  <c:v>2.3622047244094495E-2</c:v>
                </c:pt>
                <c:pt idx="86">
                  <c:v>2.3622047244094495E-2</c:v>
                </c:pt>
                <c:pt idx="87">
                  <c:v>2.3622047244094495E-2</c:v>
                </c:pt>
                <c:pt idx="88">
                  <c:v>2.3622047244094495E-2</c:v>
                </c:pt>
                <c:pt idx="89">
                  <c:v>2.3622047244094495E-2</c:v>
                </c:pt>
                <c:pt idx="90">
                  <c:v>2.3622047244094495E-2</c:v>
                </c:pt>
                <c:pt idx="91">
                  <c:v>2.3622047244094495E-2</c:v>
                </c:pt>
                <c:pt idx="92">
                  <c:v>2.3622047244094495E-2</c:v>
                </c:pt>
                <c:pt idx="93">
                  <c:v>2.3622047244094495E-2</c:v>
                </c:pt>
                <c:pt idx="94">
                  <c:v>2.3622047244094495E-2</c:v>
                </c:pt>
                <c:pt idx="95">
                  <c:v>2.3622047244094495E-2</c:v>
                </c:pt>
                <c:pt idx="96">
                  <c:v>2.3622047244094495E-2</c:v>
                </c:pt>
                <c:pt idx="97">
                  <c:v>2.3622047244094495E-2</c:v>
                </c:pt>
                <c:pt idx="98">
                  <c:v>2.3622047244094495E-2</c:v>
                </c:pt>
                <c:pt idx="99">
                  <c:v>2.3622047244094495E-2</c:v>
                </c:pt>
                <c:pt idx="100">
                  <c:v>2.3622047244094495E-2</c:v>
                </c:pt>
              </c:numCache>
            </c:numRef>
          </c:yVal>
          <c:smooth val="0"/>
          <c:extLst>
            <c:ext xmlns:c16="http://schemas.microsoft.com/office/drawing/2014/chart" uri="{C3380CC4-5D6E-409C-BE32-E72D297353CC}">
              <c16:uniqueId val="{00000001-6846-4A1A-A948-6C46940E5E34}"/>
            </c:ext>
          </c:extLst>
        </c:ser>
        <c:dLbls>
          <c:showLegendKey val="0"/>
          <c:showVal val="0"/>
          <c:showCatName val="0"/>
          <c:showSerName val="0"/>
          <c:showPercent val="0"/>
          <c:showBubbleSize val="0"/>
        </c:dLbls>
        <c:axId val="401962880"/>
        <c:axId val="401962096"/>
      </c:scatterChart>
      <c:valAx>
        <c:axId val="401962880"/>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Wing Segment - 100 * 2y/b</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962096"/>
        <c:crosses val="autoZero"/>
        <c:crossBetween val="midCat"/>
      </c:valAx>
      <c:valAx>
        <c:axId val="40196209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Thickness</a:t>
                </a:r>
                <a:r>
                  <a:rPr lang="en-US" baseline="0"/>
                  <a:t> [in]</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96288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EI, GJ</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1"/>
          <c:order val="1"/>
          <c:tx>
            <c:strRef>
              <c:f>Stiffness!$AQ$43</c:f>
              <c:strCache>
                <c:ptCount val="1"/>
                <c:pt idx="0">
                  <c:v>Net EIcc
[lb-in^2]</c:v>
                </c:pt>
              </c:strCache>
            </c:strRef>
          </c:tx>
          <c:spPr>
            <a:ln w="25400" cap="rnd">
              <a:noFill/>
              <a:round/>
            </a:ln>
            <a:effectLst/>
          </c:spPr>
          <c:marker>
            <c:symbol val="circle"/>
            <c:size val="5"/>
            <c:spPr>
              <a:solidFill>
                <a:schemeClr val="accent2"/>
              </a:solidFill>
              <a:ln w="9525">
                <a:solidFill>
                  <a:schemeClr val="accent2"/>
                </a:solidFill>
              </a:ln>
              <a:effectLst/>
            </c:spPr>
          </c:marker>
          <c:xVal>
            <c:numRef>
              <c:f>Stiffness!$B$44:$B$144</c:f>
              <c:numCache>
                <c:formatCode>0.0</c:formatCode>
                <c:ptCount val="101"/>
                <c:pt idx="0">
                  <c:v>0</c:v>
                </c:pt>
                <c:pt idx="1">
                  <c:v>0.24081365599999999</c:v>
                </c:pt>
                <c:pt idx="2">
                  <c:v>0.48162731199999997</c:v>
                </c:pt>
                <c:pt idx="3">
                  <c:v>0.72244096799999991</c:v>
                </c:pt>
                <c:pt idx="4">
                  <c:v>0.96325462399999995</c:v>
                </c:pt>
                <c:pt idx="5">
                  <c:v>1.20406828</c:v>
                </c:pt>
                <c:pt idx="6">
                  <c:v>1.4448819359999998</c:v>
                </c:pt>
                <c:pt idx="7">
                  <c:v>1.6856955920000001</c:v>
                </c:pt>
                <c:pt idx="8">
                  <c:v>1.9265092479999999</c:v>
                </c:pt>
                <c:pt idx="9">
                  <c:v>2.1673229039999997</c:v>
                </c:pt>
                <c:pt idx="10">
                  <c:v>2.40813656</c:v>
                </c:pt>
                <c:pt idx="11">
                  <c:v>2.6489502159999998</c:v>
                </c:pt>
                <c:pt idx="12">
                  <c:v>2.8897638719999996</c:v>
                </c:pt>
                <c:pt idx="13">
                  <c:v>3.1305775279999999</c:v>
                </c:pt>
                <c:pt idx="14">
                  <c:v>3.3713911840000002</c:v>
                </c:pt>
                <c:pt idx="15">
                  <c:v>3.6122048399999995</c:v>
                </c:pt>
                <c:pt idx="16">
                  <c:v>3.8530184959999998</c:v>
                </c:pt>
                <c:pt idx="17">
                  <c:v>4.0938321520000001</c:v>
                </c:pt>
                <c:pt idx="18">
                  <c:v>4.3346458079999994</c:v>
                </c:pt>
                <c:pt idx="19">
                  <c:v>4.5754594639999997</c:v>
                </c:pt>
                <c:pt idx="20">
                  <c:v>4.81627312</c:v>
                </c:pt>
                <c:pt idx="21">
                  <c:v>5.0570867759999993</c:v>
                </c:pt>
                <c:pt idx="22">
                  <c:v>5.2979004319999996</c:v>
                </c:pt>
                <c:pt idx="23">
                  <c:v>5.5387140879999999</c:v>
                </c:pt>
                <c:pt idx="24">
                  <c:v>5.7795277439999992</c:v>
                </c:pt>
                <c:pt idx="25">
                  <c:v>6.0203413999999995</c:v>
                </c:pt>
                <c:pt idx="26">
                  <c:v>6.2611550559999998</c:v>
                </c:pt>
                <c:pt idx="27">
                  <c:v>6.501968712</c:v>
                </c:pt>
                <c:pt idx="28">
                  <c:v>6.7427823680000003</c:v>
                </c:pt>
                <c:pt idx="29">
                  <c:v>6.9835960239999988</c:v>
                </c:pt>
                <c:pt idx="30">
                  <c:v>7.2244096799999991</c:v>
                </c:pt>
                <c:pt idx="31">
                  <c:v>7.4652233359999993</c:v>
                </c:pt>
                <c:pt idx="32">
                  <c:v>7.7060369919999996</c:v>
                </c:pt>
                <c:pt idx="33">
                  <c:v>7.9468506479999999</c:v>
                </c:pt>
                <c:pt idx="34">
                  <c:v>8.1876643040000001</c:v>
                </c:pt>
                <c:pt idx="35">
                  <c:v>8.4284779599999986</c:v>
                </c:pt>
                <c:pt idx="36">
                  <c:v>8.6692916159999989</c:v>
                </c:pt>
                <c:pt idx="37">
                  <c:v>8.9101052719999991</c:v>
                </c:pt>
                <c:pt idx="38">
                  <c:v>9.1509189279999994</c:v>
                </c:pt>
                <c:pt idx="39">
                  <c:v>9.3917325839999997</c:v>
                </c:pt>
                <c:pt idx="40">
                  <c:v>9.6325462399999999</c:v>
                </c:pt>
                <c:pt idx="41">
                  <c:v>9.8733598959999984</c:v>
                </c:pt>
                <c:pt idx="42">
                  <c:v>10.114173551999999</c:v>
                </c:pt>
                <c:pt idx="43">
                  <c:v>10.354987207999999</c:v>
                </c:pt>
                <c:pt idx="44">
                  <c:v>10.595800863999999</c:v>
                </c:pt>
                <c:pt idx="45">
                  <c:v>10.836614519999999</c:v>
                </c:pt>
                <c:pt idx="46">
                  <c:v>11.077428176</c:v>
                </c:pt>
                <c:pt idx="47">
                  <c:v>11.318241831999998</c:v>
                </c:pt>
                <c:pt idx="48">
                  <c:v>11.559055487999998</c:v>
                </c:pt>
                <c:pt idx="49">
                  <c:v>11.799869143999999</c:v>
                </c:pt>
                <c:pt idx="50">
                  <c:v>12.040682799999999</c:v>
                </c:pt>
                <c:pt idx="51">
                  <c:v>12.281496455999999</c:v>
                </c:pt>
                <c:pt idx="52">
                  <c:v>12.522310112</c:v>
                </c:pt>
                <c:pt idx="53">
                  <c:v>12.763123768</c:v>
                </c:pt>
                <c:pt idx="54">
                  <c:v>13.003937424</c:v>
                </c:pt>
                <c:pt idx="55">
                  <c:v>13.24475108</c:v>
                </c:pt>
                <c:pt idx="56">
                  <c:v>13.485564736000001</c:v>
                </c:pt>
                <c:pt idx="57">
                  <c:v>13.726378391999997</c:v>
                </c:pt>
                <c:pt idx="58">
                  <c:v>13.967192047999998</c:v>
                </c:pt>
                <c:pt idx="59">
                  <c:v>14.208005703999998</c:v>
                </c:pt>
                <c:pt idx="60">
                  <c:v>14.448819359999998</c:v>
                </c:pt>
                <c:pt idx="61">
                  <c:v>14.689633015999998</c:v>
                </c:pt>
                <c:pt idx="62">
                  <c:v>14.930446671999999</c:v>
                </c:pt>
                <c:pt idx="63">
                  <c:v>15.171260327999999</c:v>
                </c:pt>
                <c:pt idx="64">
                  <c:v>15.412073983999999</c:v>
                </c:pt>
                <c:pt idx="65">
                  <c:v>15.652887639999999</c:v>
                </c:pt>
                <c:pt idx="66">
                  <c:v>15.893701296</c:v>
                </c:pt>
                <c:pt idx="67">
                  <c:v>16.134514952</c:v>
                </c:pt>
                <c:pt idx="68">
                  <c:v>16.375328608</c:v>
                </c:pt>
                <c:pt idx="69">
                  <c:v>16.616142263999997</c:v>
                </c:pt>
                <c:pt idx="70">
                  <c:v>16.856955919999997</c:v>
                </c:pt>
                <c:pt idx="71">
                  <c:v>17.097769575999997</c:v>
                </c:pt>
                <c:pt idx="72">
                  <c:v>17.338583231999998</c:v>
                </c:pt>
                <c:pt idx="73">
                  <c:v>17.579396887999998</c:v>
                </c:pt>
                <c:pt idx="74">
                  <c:v>17.820210543999998</c:v>
                </c:pt>
                <c:pt idx="75">
                  <c:v>18.061024199999999</c:v>
                </c:pt>
                <c:pt idx="76">
                  <c:v>18.301837855999999</c:v>
                </c:pt>
                <c:pt idx="77">
                  <c:v>18.542651511999999</c:v>
                </c:pt>
                <c:pt idx="78">
                  <c:v>18.783465167999999</c:v>
                </c:pt>
                <c:pt idx="79">
                  <c:v>19.024278824</c:v>
                </c:pt>
                <c:pt idx="80">
                  <c:v>19.26509248</c:v>
                </c:pt>
                <c:pt idx="81">
                  <c:v>19.505906136</c:v>
                </c:pt>
                <c:pt idx="82">
                  <c:v>19.746719791999997</c:v>
                </c:pt>
                <c:pt idx="83">
                  <c:v>19.987533447999997</c:v>
                </c:pt>
                <c:pt idx="84">
                  <c:v>20.228347103999997</c:v>
                </c:pt>
                <c:pt idx="85">
                  <c:v>20.469160759999998</c:v>
                </c:pt>
                <c:pt idx="86">
                  <c:v>20.709974415999998</c:v>
                </c:pt>
                <c:pt idx="87">
                  <c:v>20.950788071999998</c:v>
                </c:pt>
                <c:pt idx="88">
                  <c:v>21.191601727999998</c:v>
                </c:pt>
                <c:pt idx="89">
                  <c:v>21.432415383999999</c:v>
                </c:pt>
                <c:pt idx="90">
                  <c:v>21.673229039999999</c:v>
                </c:pt>
                <c:pt idx="91">
                  <c:v>21.914042695999999</c:v>
                </c:pt>
                <c:pt idx="92">
                  <c:v>22.154856351999999</c:v>
                </c:pt>
                <c:pt idx="93">
                  <c:v>22.395670008</c:v>
                </c:pt>
                <c:pt idx="94">
                  <c:v>22.636483663999996</c:v>
                </c:pt>
                <c:pt idx="95">
                  <c:v>22.877297319999997</c:v>
                </c:pt>
                <c:pt idx="96">
                  <c:v>23.118110975999997</c:v>
                </c:pt>
                <c:pt idx="97">
                  <c:v>23.358924631999997</c:v>
                </c:pt>
                <c:pt idx="98">
                  <c:v>23.599738287999998</c:v>
                </c:pt>
                <c:pt idx="99">
                  <c:v>23.840551943999998</c:v>
                </c:pt>
                <c:pt idx="100">
                  <c:v>24.081365599999998</c:v>
                </c:pt>
              </c:numCache>
            </c:numRef>
          </c:xVal>
          <c:yVal>
            <c:numRef>
              <c:f>Stiffness!$AQ$44:$AQ$144</c:f>
              <c:numCache>
                <c:formatCode>0.00E+00</c:formatCode>
                <c:ptCount val="101"/>
                <c:pt idx="0">
                  <c:v>714018662.1208775</c:v>
                </c:pt>
                <c:pt idx="1">
                  <c:v>703072247.88864577</c:v>
                </c:pt>
                <c:pt idx="2">
                  <c:v>692210391.23221469</c:v>
                </c:pt>
                <c:pt idx="3">
                  <c:v>681433092.15158415</c:v>
                </c:pt>
                <c:pt idx="4">
                  <c:v>670740350.64675426</c:v>
                </c:pt>
                <c:pt idx="5">
                  <c:v>660132166.71772504</c:v>
                </c:pt>
                <c:pt idx="6">
                  <c:v>649608540.36449647</c:v>
                </c:pt>
                <c:pt idx="7">
                  <c:v>639169471.58706892</c:v>
                </c:pt>
                <c:pt idx="8">
                  <c:v>628814960.38544202</c:v>
                </c:pt>
                <c:pt idx="9">
                  <c:v>618545006.75961542</c:v>
                </c:pt>
                <c:pt idx="10">
                  <c:v>532752410.09431392</c:v>
                </c:pt>
                <c:pt idx="11">
                  <c:v>524260138.62104899</c:v>
                </c:pt>
                <c:pt idx="12">
                  <c:v>515836097.02707177</c:v>
                </c:pt>
                <c:pt idx="13">
                  <c:v>507480285.31238294</c:v>
                </c:pt>
                <c:pt idx="14">
                  <c:v>499192703.47698128</c:v>
                </c:pt>
                <c:pt idx="15">
                  <c:v>490973351.52086842</c:v>
                </c:pt>
                <c:pt idx="16">
                  <c:v>482822229.44404316</c:v>
                </c:pt>
                <c:pt idx="17">
                  <c:v>474739337.24650544</c:v>
                </c:pt>
                <c:pt idx="18">
                  <c:v>466724674.92825687</c:v>
                </c:pt>
                <c:pt idx="19">
                  <c:v>458778242.48929524</c:v>
                </c:pt>
                <c:pt idx="20">
                  <c:v>385745398.09946257</c:v>
                </c:pt>
                <c:pt idx="21">
                  <c:v>379343404.91048676</c:v>
                </c:pt>
                <c:pt idx="22">
                  <c:v>372994982.27970225</c:v>
                </c:pt>
                <c:pt idx="23">
                  <c:v>366700130.20710856</c:v>
                </c:pt>
                <c:pt idx="24">
                  <c:v>360458848.69270563</c:v>
                </c:pt>
                <c:pt idx="25">
                  <c:v>214097597.255164</c:v>
                </c:pt>
                <c:pt idx="26">
                  <c:v>209334950.87856293</c:v>
                </c:pt>
                <c:pt idx="27">
                  <c:v>204625875.06015298</c:v>
                </c:pt>
                <c:pt idx="28">
                  <c:v>199970369.79993352</c:v>
                </c:pt>
                <c:pt idx="29">
                  <c:v>195368435.09790543</c:v>
                </c:pt>
                <c:pt idx="30">
                  <c:v>162626283.34266987</c:v>
                </c:pt>
                <c:pt idx="31">
                  <c:v>159010981.72061002</c:v>
                </c:pt>
                <c:pt idx="32">
                  <c:v>155436318.48255554</c:v>
                </c:pt>
                <c:pt idx="33">
                  <c:v>151902293.62850603</c:v>
                </c:pt>
                <c:pt idx="34">
                  <c:v>148408907.1584622</c:v>
                </c:pt>
                <c:pt idx="35">
                  <c:v>144956159.0724231</c:v>
                </c:pt>
                <c:pt idx="36">
                  <c:v>141544049.37038955</c:v>
                </c:pt>
                <c:pt idx="37">
                  <c:v>138172578.05236104</c:v>
                </c:pt>
                <c:pt idx="38">
                  <c:v>134841745.11833778</c:v>
                </c:pt>
                <c:pt idx="39">
                  <c:v>131551550.56831972</c:v>
                </c:pt>
                <c:pt idx="40">
                  <c:v>105312419.25764565</c:v>
                </c:pt>
                <c:pt idx="41">
                  <c:v>102835328.95040481</c:v>
                </c:pt>
                <c:pt idx="42">
                  <c:v>100387718.63374993</c:v>
                </c:pt>
                <c:pt idx="43">
                  <c:v>97969588.307681367</c:v>
                </c:pt>
                <c:pt idx="44">
                  <c:v>95580937.972198784</c:v>
                </c:pt>
                <c:pt idx="45">
                  <c:v>93221767.627302289</c:v>
                </c:pt>
                <c:pt idx="46">
                  <c:v>90892077.27299197</c:v>
                </c:pt>
                <c:pt idx="47">
                  <c:v>88591866.909267619</c:v>
                </c:pt>
                <c:pt idx="48">
                  <c:v>86321136.536129355</c:v>
                </c:pt>
                <c:pt idx="49">
                  <c:v>84079886.153577179</c:v>
                </c:pt>
                <c:pt idx="50">
                  <c:v>174294387.68822393</c:v>
                </c:pt>
                <c:pt idx="51">
                  <c:v>171655614.35653719</c:v>
                </c:pt>
                <c:pt idx="52">
                  <c:v>169036968.86395249</c:v>
                </c:pt>
                <c:pt idx="53">
                  <c:v>166438451.21046993</c:v>
                </c:pt>
                <c:pt idx="54">
                  <c:v>163860061.39608938</c:v>
                </c:pt>
                <c:pt idx="55">
                  <c:v>161301799.4208107</c:v>
                </c:pt>
                <c:pt idx="56">
                  <c:v>158763665.28463393</c:v>
                </c:pt>
                <c:pt idx="57">
                  <c:v>156245658.98755941</c:v>
                </c:pt>
                <c:pt idx="58">
                  <c:v>153747780.52958676</c:v>
                </c:pt>
                <c:pt idx="59">
                  <c:v>151270029.91071618</c:v>
                </c:pt>
                <c:pt idx="60">
                  <c:v>100984169.93709143</c:v>
                </c:pt>
                <c:pt idx="61">
                  <c:v>99395401.193418741</c:v>
                </c:pt>
                <c:pt idx="62">
                  <c:v>97819229.671005368</c:v>
                </c:pt>
                <c:pt idx="63">
                  <c:v>96255655.369851202</c:v>
                </c:pt>
                <c:pt idx="64">
                  <c:v>94704678.289956346</c:v>
                </c:pt>
                <c:pt idx="65">
                  <c:v>93166298.431320727</c:v>
                </c:pt>
                <c:pt idx="66">
                  <c:v>91640515.793944359</c:v>
                </c:pt>
                <c:pt idx="67">
                  <c:v>90127330.377827346</c:v>
                </c:pt>
                <c:pt idx="68">
                  <c:v>88626742.182969585</c:v>
                </c:pt>
                <c:pt idx="69">
                  <c:v>87138751.209371015</c:v>
                </c:pt>
                <c:pt idx="70">
                  <c:v>50861623.98214484</c:v>
                </c:pt>
                <c:pt idx="71">
                  <c:v>50028391.280453645</c:v>
                </c:pt>
                <c:pt idx="72">
                  <c:v>49202040.216876931</c:v>
                </c:pt>
                <c:pt idx="73">
                  <c:v>48382570.791414723</c:v>
                </c:pt>
                <c:pt idx="74">
                  <c:v>47569983.004067004</c:v>
                </c:pt>
                <c:pt idx="75">
                  <c:v>83304201.010249108</c:v>
                </c:pt>
                <c:pt idx="76">
                  <c:v>82236876.341657445</c:v>
                </c:pt>
                <c:pt idx="77">
                  <c:v>81176433.311180383</c:v>
                </c:pt>
                <c:pt idx="78">
                  <c:v>80122871.918817773</c:v>
                </c:pt>
                <c:pt idx="79">
                  <c:v>79076192.164569691</c:v>
                </c:pt>
                <c:pt idx="80">
                  <c:v>35586247.334401503</c:v>
                </c:pt>
                <c:pt idx="81">
                  <c:v>35129891.715956956</c:v>
                </c:pt>
                <c:pt idx="82">
                  <c:v>34676481.148269035</c:v>
                </c:pt>
                <c:pt idx="83">
                  <c:v>34226015.631337754</c:v>
                </c:pt>
                <c:pt idx="84">
                  <c:v>33778495.165163107</c:v>
                </c:pt>
                <c:pt idx="85">
                  <c:v>33333919.749745101</c:v>
                </c:pt>
                <c:pt idx="86">
                  <c:v>32892289.385083754</c:v>
                </c:pt>
                <c:pt idx="87">
                  <c:v>32453604.071179006</c:v>
                </c:pt>
                <c:pt idx="88">
                  <c:v>32017863.808030941</c:v>
                </c:pt>
                <c:pt idx="89">
                  <c:v>31585068.595639504</c:v>
                </c:pt>
                <c:pt idx="90">
                  <c:v>7966921.2144541331</c:v>
                </c:pt>
                <c:pt idx="91">
                  <c:v>7861152.2483913172</c:v>
                </c:pt>
                <c:pt idx="92">
                  <c:v>7756090.0770687433</c:v>
                </c:pt>
                <c:pt idx="93">
                  <c:v>7651734.700486416</c:v>
                </c:pt>
                <c:pt idx="94">
                  <c:v>7548086.1186443269</c:v>
                </c:pt>
                <c:pt idx="95">
                  <c:v>7445144.3315424789</c:v>
                </c:pt>
                <c:pt idx="96">
                  <c:v>7342909.3391808756</c:v>
                </c:pt>
                <c:pt idx="97">
                  <c:v>7241381.1415595096</c:v>
                </c:pt>
                <c:pt idx="98">
                  <c:v>7140559.7386783874</c:v>
                </c:pt>
                <c:pt idx="99">
                  <c:v>7040445.1305375053</c:v>
                </c:pt>
                <c:pt idx="100">
                  <c:v>6941037.3171368707</c:v>
                </c:pt>
              </c:numCache>
            </c:numRef>
          </c:yVal>
          <c:smooth val="0"/>
          <c:extLst>
            <c:ext xmlns:c16="http://schemas.microsoft.com/office/drawing/2014/chart" uri="{C3380CC4-5D6E-409C-BE32-E72D297353CC}">
              <c16:uniqueId val="{00000005-DB6C-4ABC-A5F4-AA73E94C94A1}"/>
            </c:ext>
          </c:extLst>
        </c:ser>
        <c:ser>
          <c:idx val="2"/>
          <c:order val="2"/>
          <c:tx>
            <c:strRef>
              <c:f>Stiffness!$AV$43</c:f>
              <c:strCache>
                <c:ptCount val="1"/>
                <c:pt idx="0">
                  <c:v>Net EInn
[lb-in^2]</c:v>
                </c:pt>
              </c:strCache>
            </c:strRef>
          </c:tx>
          <c:spPr>
            <a:ln w="25400" cap="rnd">
              <a:noFill/>
              <a:round/>
            </a:ln>
            <a:effectLst/>
          </c:spPr>
          <c:marker>
            <c:symbol val="circle"/>
            <c:size val="5"/>
            <c:spPr>
              <a:solidFill>
                <a:schemeClr val="accent3"/>
              </a:solidFill>
              <a:ln w="9525">
                <a:solidFill>
                  <a:schemeClr val="accent3"/>
                </a:solidFill>
              </a:ln>
              <a:effectLst/>
            </c:spPr>
          </c:marker>
          <c:xVal>
            <c:numRef>
              <c:f>Stiffness!$B$44:$B$144</c:f>
              <c:numCache>
                <c:formatCode>0.0</c:formatCode>
                <c:ptCount val="101"/>
                <c:pt idx="0">
                  <c:v>0</c:v>
                </c:pt>
                <c:pt idx="1">
                  <c:v>0.24081365599999999</c:v>
                </c:pt>
                <c:pt idx="2">
                  <c:v>0.48162731199999997</c:v>
                </c:pt>
                <c:pt idx="3">
                  <c:v>0.72244096799999991</c:v>
                </c:pt>
                <c:pt idx="4">
                  <c:v>0.96325462399999995</c:v>
                </c:pt>
                <c:pt idx="5">
                  <c:v>1.20406828</c:v>
                </c:pt>
                <c:pt idx="6">
                  <c:v>1.4448819359999998</c:v>
                </c:pt>
                <c:pt idx="7">
                  <c:v>1.6856955920000001</c:v>
                </c:pt>
                <c:pt idx="8">
                  <c:v>1.9265092479999999</c:v>
                </c:pt>
                <c:pt idx="9">
                  <c:v>2.1673229039999997</c:v>
                </c:pt>
                <c:pt idx="10">
                  <c:v>2.40813656</c:v>
                </c:pt>
                <c:pt idx="11">
                  <c:v>2.6489502159999998</c:v>
                </c:pt>
                <c:pt idx="12">
                  <c:v>2.8897638719999996</c:v>
                </c:pt>
                <c:pt idx="13">
                  <c:v>3.1305775279999999</c:v>
                </c:pt>
                <c:pt idx="14">
                  <c:v>3.3713911840000002</c:v>
                </c:pt>
                <c:pt idx="15">
                  <c:v>3.6122048399999995</c:v>
                </c:pt>
                <c:pt idx="16">
                  <c:v>3.8530184959999998</c:v>
                </c:pt>
                <c:pt idx="17">
                  <c:v>4.0938321520000001</c:v>
                </c:pt>
                <c:pt idx="18">
                  <c:v>4.3346458079999994</c:v>
                </c:pt>
                <c:pt idx="19">
                  <c:v>4.5754594639999997</c:v>
                </c:pt>
                <c:pt idx="20">
                  <c:v>4.81627312</c:v>
                </c:pt>
                <c:pt idx="21">
                  <c:v>5.0570867759999993</c:v>
                </c:pt>
                <c:pt idx="22">
                  <c:v>5.2979004319999996</c:v>
                </c:pt>
                <c:pt idx="23">
                  <c:v>5.5387140879999999</c:v>
                </c:pt>
                <c:pt idx="24">
                  <c:v>5.7795277439999992</c:v>
                </c:pt>
                <c:pt idx="25">
                  <c:v>6.0203413999999995</c:v>
                </c:pt>
                <c:pt idx="26">
                  <c:v>6.2611550559999998</c:v>
                </c:pt>
                <c:pt idx="27">
                  <c:v>6.501968712</c:v>
                </c:pt>
                <c:pt idx="28">
                  <c:v>6.7427823680000003</c:v>
                </c:pt>
                <c:pt idx="29">
                  <c:v>6.9835960239999988</c:v>
                </c:pt>
                <c:pt idx="30">
                  <c:v>7.2244096799999991</c:v>
                </c:pt>
                <c:pt idx="31">
                  <c:v>7.4652233359999993</c:v>
                </c:pt>
                <c:pt idx="32">
                  <c:v>7.7060369919999996</c:v>
                </c:pt>
                <c:pt idx="33">
                  <c:v>7.9468506479999999</c:v>
                </c:pt>
                <c:pt idx="34">
                  <c:v>8.1876643040000001</c:v>
                </c:pt>
                <c:pt idx="35">
                  <c:v>8.4284779599999986</c:v>
                </c:pt>
                <c:pt idx="36">
                  <c:v>8.6692916159999989</c:v>
                </c:pt>
                <c:pt idx="37">
                  <c:v>8.9101052719999991</c:v>
                </c:pt>
                <c:pt idx="38">
                  <c:v>9.1509189279999994</c:v>
                </c:pt>
                <c:pt idx="39">
                  <c:v>9.3917325839999997</c:v>
                </c:pt>
                <c:pt idx="40">
                  <c:v>9.6325462399999999</c:v>
                </c:pt>
                <c:pt idx="41">
                  <c:v>9.8733598959999984</c:v>
                </c:pt>
                <c:pt idx="42">
                  <c:v>10.114173551999999</c:v>
                </c:pt>
                <c:pt idx="43">
                  <c:v>10.354987207999999</c:v>
                </c:pt>
                <c:pt idx="44">
                  <c:v>10.595800863999999</c:v>
                </c:pt>
                <c:pt idx="45">
                  <c:v>10.836614519999999</c:v>
                </c:pt>
                <c:pt idx="46">
                  <c:v>11.077428176</c:v>
                </c:pt>
                <c:pt idx="47">
                  <c:v>11.318241831999998</c:v>
                </c:pt>
                <c:pt idx="48">
                  <c:v>11.559055487999998</c:v>
                </c:pt>
                <c:pt idx="49">
                  <c:v>11.799869143999999</c:v>
                </c:pt>
                <c:pt idx="50">
                  <c:v>12.040682799999999</c:v>
                </c:pt>
                <c:pt idx="51">
                  <c:v>12.281496455999999</c:v>
                </c:pt>
                <c:pt idx="52">
                  <c:v>12.522310112</c:v>
                </c:pt>
                <c:pt idx="53">
                  <c:v>12.763123768</c:v>
                </c:pt>
                <c:pt idx="54">
                  <c:v>13.003937424</c:v>
                </c:pt>
                <c:pt idx="55">
                  <c:v>13.24475108</c:v>
                </c:pt>
                <c:pt idx="56">
                  <c:v>13.485564736000001</c:v>
                </c:pt>
                <c:pt idx="57">
                  <c:v>13.726378391999997</c:v>
                </c:pt>
                <c:pt idx="58">
                  <c:v>13.967192047999998</c:v>
                </c:pt>
                <c:pt idx="59">
                  <c:v>14.208005703999998</c:v>
                </c:pt>
                <c:pt idx="60">
                  <c:v>14.448819359999998</c:v>
                </c:pt>
                <c:pt idx="61">
                  <c:v>14.689633015999998</c:v>
                </c:pt>
                <c:pt idx="62">
                  <c:v>14.930446671999999</c:v>
                </c:pt>
                <c:pt idx="63">
                  <c:v>15.171260327999999</c:v>
                </c:pt>
                <c:pt idx="64">
                  <c:v>15.412073983999999</c:v>
                </c:pt>
                <c:pt idx="65">
                  <c:v>15.652887639999999</c:v>
                </c:pt>
                <c:pt idx="66">
                  <c:v>15.893701296</c:v>
                </c:pt>
                <c:pt idx="67">
                  <c:v>16.134514952</c:v>
                </c:pt>
                <c:pt idx="68">
                  <c:v>16.375328608</c:v>
                </c:pt>
                <c:pt idx="69">
                  <c:v>16.616142263999997</c:v>
                </c:pt>
                <c:pt idx="70">
                  <c:v>16.856955919999997</c:v>
                </c:pt>
                <c:pt idx="71">
                  <c:v>17.097769575999997</c:v>
                </c:pt>
                <c:pt idx="72">
                  <c:v>17.338583231999998</c:v>
                </c:pt>
                <c:pt idx="73">
                  <c:v>17.579396887999998</c:v>
                </c:pt>
                <c:pt idx="74">
                  <c:v>17.820210543999998</c:v>
                </c:pt>
                <c:pt idx="75">
                  <c:v>18.061024199999999</c:v>
                </c:pt>
                <c:pt idx="76">
                  <c:v>18.301837855999999</c:v>
                </c:pt>
                <c:pt idx="77">
                  <c:v>18.542651511999999</c:v>
                </c:pt>
                <c:pt idx="78">
                  <c:v>18.783465167999999</c:v>
                </c:pt>
                <c:pt idx="79">
                  <c:v>19.024278824</c:v>
                </c:pt>
                <c:pt idx="80">
                  <c:v>19.26509248</c:v>
                </c:pt>
                <c:pt idx="81">
                  <c:v>19.505906136</c:v>
                </c:pt>
                <c:pt idx="82">
                  <c:v>19.746719791999997</c:v>
                </c:pt>
                <c:pt idx="83">
                  <c:v>19.987533447999997</c:v>
                </c:pt>
                <c:pt idx="84">
                  <c:v>20.228347103999997</c:v>
                </c:pt>
                <c:pt idx="85">
                  <c:v>20.469160759999998</c:v>
                </c:pt>
                <c:pt idx="86">
                  <c:v>20.709974415999998</c:v>
                </c:pt>
                <c:pt idx="87">
                  <c:v>20.950788071999998</c:v>
                </c:pt>
                <c:pt idx="88">
                  <c:v>21.191601727999998</c:v>
                </c:pt>
                <c:pt idx="89">
                  <c:v>21.432415383999999</c:v>
                </c:pt>
                <c:pt idx="90">
                  <c:v>21.673229039999999</c:v>
                </c:pt>
                <c:pt idx="91">
                  <c:v>21.914042695999999</c:v>
                </c:pt>
                <c:pt idx="92">
                  <c:v>22.154856351999999</c:v>
                </c:pt>
                <c:pt idx="93">
                  <c:v>22.395670008</c:v>
                </c:pt>
                <c:pt idx="94">
                  <c:v>22.636483663999996</c:v>
                </c:pt>
                <c:pt idx="95">
                  <c:v>22.877297319999997</c:v>
                </c:pt>
                <c:pt idx="96">
                  <c:v>23.118110975999997</c:v>
                </c:pt>
                <c:pt idx="97">
                  <c:v>23.358924631999997</c:v>
                </c:pt>
                <c:pt idx="98">
                  <c:v>23.599738287999998</c:v>
                </c:pt>
                <c:pt idx="99">
                  <c:v>23.840551943999998</c:v>
                </c:pt>
                <c:pt idx="100">
                  <c:v>24.081365599999998</c:v>
                </c:pt>
              </c:numCache>
            </c:numRef>
          </c:xVal>
          <c:yVal>
            <c:numRef>
              <c:f>Stiffness!$AV$44:$AV$144</c:f>
              <c:numCache>
                <c:formatCode>0.00E+00</c:formatCode>
                <c:ptCount val="101"/>
                <c:pt idx="0">
                  <c:v>1563586991.5194535</c:v>
                </c:pt>
                <c:pt idx="1">
                  <c:v>1552661036.5194633</c:v>
                </c:pt>
                <c:pt idx="2">
                  <c:v>1541773389.4007659</c:v>
                </c:pt>
                <c:pt idx="3">
                  <c:v>1530924050.1633596</c:v>
                </c:pt>
                <c:pt idx="4">
                  <c:v>1520113018.8072469</c:v>
                </c:pt>
                <c:pt idx="5">
                  <c:v>1509340295.3324251</c:v>
                </c:pt>
                <c:pt idx="6">
                  <c:v>1498605879.7388964</c:v>
                </c:pt>
                <c:pt idx="7">
                  <c:v>1487909772.0266595</c:v>
                </c:pt>
                <c:pt idx="8">
                  <c:v>1477251972.1957159</c:v>
                </c:pt>
                <c:pt idx="9">
                  <c:v>1466632480.2460635</c:v>
                </c:pt>
                <c:pt idx="10">
                  <c:v>1191556652.0936348</c:v>
                </c:pt>
                <c:pt idx="11">
                  <c:v>1182928910.5532939</c:v>
                </c:pt>
                <c:pt idx="12">
                  <c:v>1174332518.1906228</c:v>
                </c:pt>
                <c:pt idx="13">
                  <c:v>1165767475.0056233</c:v>
                </c:pt>
                <c:pt idx="14">
                  <c:v>1157233780.9982929</c:v>
                </c:pt>
                <c:pt idx="15">
                  <c:v>1148731436.1686342</c:v>
                </c:pt>
                <c:pt idx="16">
                  <c:v>1140260440.5166461</c:v>
                </c:pt>
                <c:pt idx="17">
                  <c:v>1131820794.0423276</c:v>
                </c:pt>
                <c:pt idx="18">
                  <c:v>1123412496.745681</c:v>
                </c:pt>
                <c:pt idx="19">
                  <c:v>1115035548.6267042</c:v>
                </c:pt>
                <c:pt idx="20">
                  <c:v>882090990.52711821</c:v>
                </c:pt>
                <c:pt idx="21">
                  <c:v>875464089.45913589</c:v>
                </c:pt>
                <c:pt idx="22">
                  <c:v>868862175.35989928</c:v>
                </c:pt>
                <c:pt idx="23">
                  <c:v>862285248.22940814</c:v>
                </c:pt>
                <c:pt idx="24">
                  <c:v>855733308.06766284</c:v>
                </c:pt>
                <c:pt idx="25">
                  <c:v>849206354.87466264</c:v>
                </c:pt>
                <c:pt idx="26">
                  <c:v>842704388.6504072</c:v>
                </c:pt>
                <c:pt idx="27">
                  <c:v>836227409.39489853</c:v>
                </c:pt>
                <c:pt idx="28">
                  <c:v>829775417.10813379</c:v>
                </c:pt>
                <c:pt idx="29">
                  <c:v>823348411.79011536</c:v>
                </c:pt>
                <c:pt idx="30">
                  <c:v>629760084.00462151</c:v>
                </c:pt>
                <c:pt idx="31">
                  <c:v>624844217.00264311</c:v>
                </c:pt>
                <c:pt idx="32">
                  <c:v>619947611.72415423</c:v>
                </c:pt>
                <c:pt idx="33">
                  <c:v>615070268.16915393</c:v>
                </c:pt>
                <c:pt idx="34">
                  <c:v>610212186.3376441</c:v>
                </c:pt>
                <c:pt idx="35">
                  <c:v>605373366.22962272</c:v>
                </c:pt>
                <c:pt idx="36">
                  <c:v>600553807.84509146</c:v>
                </c:pt>
                <c:pt idx="37">
                  <c:v>595753511.18404961</c:v>
                </c:pt>
                <c:pt idx="38">
                  <c:v>590972476.2464968</c:v>
                </c:pt>
                <c:pt idx="39">
                  <c:v>586210703.03243375</c:v>
                </c:pt>
                <c:pt idx="40">
                  <c:v>429079874.54067248</c:v>
                </c:pt>
                <c:pt idx="41">
                  <c:v>425594470.78692496</c:v>
                </c:pt>
                <c:pt idx="42">
                  <c:v>422123280.73913455</c:v>
                </c:pt>
                <c:pt idx="43">
                  <c:v>418666304.39730227</c:v>
                </c:pt>
                <c:pt idx="44">
                  <c:v>415223541.76142752</c:v>
                </c:pt>
                <c:pt idx="45">
                  <c:v>411794992.83151037</c:v>
                </c:pt>
                <c:pt idx="46">
                  <c:v>408380657.60755092</c:v>
                </c:pt>
                <c:pt idx="47">
                  <c:v>404980536.08954901</c:v>
                </c:pt>
                <c:pt idx="48">
                  <c:v>401594628.27750474</c:v>
                </c:pt>
                <c:pt idx="49">
                  <c:v>398222934.17141765</c:v>
                </c:pt>
                <c:pt idx="50">
                  <c:v>274537694.62691855</c:v>
                </c:pt>
                <c:pt idx="51">
                  <c:v>272213225.05893135</c:v>
                </c:pt>
                <c:pt idx="52">
                  <c:v>269898637.83954799</c:v>
                </c:pt>
                <c:pt idx="53">
                  <c:v>267593932.96876809</c:v>
                </c:pt>
                <c:pt idx="54">
                  <c:v>265299110.44659188</c:v>
                </c:pt>
                <c:pt idx="55">
                  <c:v>263014170.27301934</c:v>
                </c:pt>
                <c:pt idx="56">
                  <c:v>260739112.4480502</c:v>
                </c:pt>
                <c:pt idx="57">
                  <c:v>258473936.97168502</c:v>
                </c:pt>
                <c:pt idx="58">
                  <c:v>256218643.84392336</c:v>
                </c:pt>
                <c:pt idx="59">
                  <c:v>253973233.06476548</c:v>
                </c:pt>
                <c:pt idx="60">
                  <c:v>160611517.56899524</c:v>
                </c:pt>
                <c:pt idx="61">
                  <c:v>159191530.06528383</c:v>
                </c:pt>
                <c:pt idx="62">
                  <c:v>157777847.61233419</c:v>
                </c:pt>
                <c:pt idx="63">
                  <c:v>156370470.21014631</c:v>
                </c:pt>
                <c:pt idx="64">
                  <c:v>154969397.85872015</c:v>
                </c:pt>
                <c:pt idx="65">
                  <c:v>153574630.55805594</c:v>
                </c:pt>
                <c:pt idx="66">
                  <c:v>152186168.30815351</c:v>
                </c:pt>
                <c:pt idx="67">
                  <c:v>150804011.10901284</c:v>
                </c:pt>
                <c:pt idx="68">
                  <c:v>149428158.96063405</c:v>
                </c:pt>
                <c:pt idx="69">
                  <c:v>148058611.86301699</c:v>
                </c:pt>
                <c:pt idx="70">
                  <c:v>81779820.073937297</c:v>
                </c:pt>
                <c:pt idx="71">
                  <c:v>81023354.048245683</c:v>
                </c:pt>
                <c:pt idx="72">
                  <c:v>80270402.965919405</c:v>
                </c:pt>
                <c:pt idx="73">
                  <c:v>79520966.826958448</c:v>
                </c:pt>
                <c:pt idx="74">
                  <c:v>78775045.631362766</c:v>
                </c:pt>
                <c:pt idx="75">
                  <c:v>78032639.37913242</c:v>
                </c:pt>
                <c:pt idx="76">
                  <c:v>77293748.070267379</c:v>
                </c:pt>
                <c:pt idx="77">
                  <c:v>76558371.704767644</c:v>
                </c:pt>
                <c:pt idx="78">
                  <c:v>75826510.282633185</c:v>
                </c:pt>
                <c:pt idx="79">
                  <c:v>75098163.803864121</c:v>
                </c:pt>
                <c:pt idx="80">
                  <c:v>32513297.543617696</c:v>
                </c:pt>
                <c:pt idx="81">
                  <c:v>32197964.34198783</c:v>
                </c:pt>
                <c:pt idx="82">
                  <c:v>31884167.744890787</c:v>
                </c:pt>
                <c:pt idx="83">
                  <c:v>31571907.752326593</c:v>
                </c:pt>
                <c:pt idx="84">
                  <c:v>31261184.3642952</c:v>
                </c:pt>
                <c:pt idx="85">
                  <c:v>30951997.580796622</c:v>
                </c:pt>
                <c:pt idx="86">
                  <c:v>30644347.40183093</c:v>
                </c:pt>
                <c:pt idx="87">
                  <c:v>30338233.827398013</c:v>
                </c:pt>
                <c:pt idx="88">
                  <c:v>30033656.857497964</c:v>
                </c:pt>
                <c:pt idx="89">
                  <c:v>29730616.492130727</c:v>
                </c:pt>
                <c:pt idx="90">
                  <c:v>7220297.505917646</c:v>
                </c:pt>
                <c:pt idx="91">
                  <c:v>7146701.9432421103</c:v>
                </c:pt>
                <c:pt idx="92">
                  <c:v>7073483.3794240439</c:v>
                </c:pt>
                <c:pt idx="93">
                  <c:v>7000641.814463445</c:v>
                </c:pt>
                <c:pt idx="94">
                  <c:v>6928177.2483603088</c:v>
                </c:pt>
                <c:pt idx="95">
                  <c:v>6856089.6811146457</c:v>
                </c:pt>
                <c:pt idx="96">
                  <c:v>6784379.1127264462</c:v>
                </c:pt>
                <c:pt idx="97">
                  <c:v>6713045.5431957133</c:v>
                </c:pt>
                <c:pt idx="98">
                  <c:v>6642088.9725224497</c:v>
                </c:pt>
                <c:pt idx="99">
                  <c:v>6571509.4007066498</c:v>
                </c:pt>
                <c:pt idx="100">
                  <c:v>6501306.8277483229</c:v>
                </c:pt>
              </c:numCache>
            </c:numRef>
          </c:yVal>
          <c:smooth val="0"/>
          <c:extLst>
            <c:ext xmlns:c16="http://schemas.microsoft.com/office/drawing/2014/chart" uri="{C3380CC4-5D6E-409C-BE32-E72D297353CC}">
              <c16:uniqueId val="{00000006-DB6C-4ABC-A5F4-AA73E94C94A1}"/>
            </c:ext>
          </c:extLst>
        </c:ser>
        <c:dLbls>
          <c:showLegendKey val="0"/>
          <c:showVal val="0"/>
          <c:showCatName val="0"/>
          <c:showSerName val="0"/>
          <c:showPercent val="0"/>
          <c:showBubbleSize val="0"/>
        </c:dLbls>
        <c:axId val="401968368"/>
        <c:axId val="401965232"/>
      </c:scatterChart>
      <c:scatterChart>
        <c:scatterStyle val="lineMarker"/>
        <c:varyColors val="0"/>
        <c:ser>
          <c:idx val="0"/>
          <c:order val="0"/>
          <c:tx>
            <c:v>Chord [ft]</c:v>
          </c:tx>
          <c:spPr>
            <a:ln w="25400" cap="rnd">
              <a:noFill/>
              <a:round/>
            </a:ln>
            <a:effectLst/>
          </c:spPr>
          <c:marker>
            <c:symbol val="circle"/>
            <c:size val="5"/>
            <c:spPr>
              <a:solidFill>
                <a:schemeClr val="accent1"/>
              </a:solidFill>
              <a:ln w="9525">
                <a:solidFill>
                  <a:schemeClr val="accent1"/>
                </a:solidFill>
              </a:ln>
              <a:effectLst/>
            </c:spPr>
          </c:marker>
          <c:xVal>
            <c:numRef>
              <c:f>Stiffness!$B$44:$B$144</c:f>
              <c:numCache>
                <c:formatCode>0.0</c:formatCode>
                <c:ptCount val="101"/>
                <c:pt idx="0">
                  <c:v>0</c:v>
                </c:pt>
                <c:pt idx="1">
                  <c:v>0.24081365599999999</c:v>
                </c:pt>
                <c:pt idx="2">
                  <c:v>0.48162731199999997</c:v>
                </c:pt>
                <c:pt idx="3">
                  <c:v>0.72244096799999991</c:v>
                </c:pt>
                <c:pt idx="4">
                  <c:v>0.96325462399999995</c:v>
                </c:pt>
                <c:pt idx="5">
                  <c:v>1.20406828</c:v>
                </c:pt>
                <c:pt idx="6">
                  <c:v>1.4448819359999998</c:v>
                </c:pt>
                <c:pt idx="7">
                  <c:v>1.6856955920000001</c:v>
                </c:pt>
                <c:pt idx="8">
                  <c:v>1.9265092479999999</c:v>
                </c:pt>
                <c:pt idx="9">
                  <c:v>2.1673229039999997</c:v>
                </c:pt>
                <c:pt idx="10">
                  <c:v>2.40813656</c:v>
                </c:pt>
                <c:pt idx="11">
                  <c:v>2.6489502159999998</c:v>
                </c:pt>
                <c:pt idx="12">
                  <c:v>2.8897638719999996</c:v>
                </c:pt>
                <c:pt idx="13">
                  <c:v>3.1305775279999999</c:v>
                </c:pt>
                <c:pt idx="14">
                  <c:v>3.3713911840000002</c:v>
                </c:pt>
                <c:pt idx="15">
                  <c:v>3.6122048399999995</c:v>
                </c:pt>
                <c:pt idx="16">
                  <c:v>3.8530184959999998</c:v>
                </c:pt>
                <c:pt idx="17">
                  <c:v>4.0938321520000001</c:v>
                </c:pt>
                <c:pt idx="18">
                  <c:v>4.3346458079999994</c:v>
                </c:pt>
                <c:pt idx="19">
                  <c:v>4.5754594639999997</c:v>
                </c:pt>
                <c:pt idx="20">
                  <c:v>4.81627312</c:v>
                </c:pt>
                <c:pt idx="21">
                  <c:v>5.0570867759999993</c:v>
                </c:pt>
                <c:pt idx="22">
                  <c:v>5.2979004319999996</c:v>
                </c:pt>
                <c:pt idx="23">
                  <c:v>5.5387140879999999</c:v>
                </c:pt>
                <c:pt idx="24">
                  <c:v>5.7795277439999992</c:v>
                </c:pt>
                <c:pt idx="25">
                  <c:v>6.0203413999999995</c:v>
                </c:pt>
                <c:pt idx="26">
                  <c:v>6.2611550559999998</c:v>
                </c:pt>
                <c:pt idx="27">
                  <c:v>6.501968712</c:v>
                </c:pt>
                <c:pt idx="28">
                  <c:v>6.7427823680000003</c:v>
                </c:pt>
                <c:pt idx="29">
                  <c:v>6.9835960239999988</c:v>
                </c:pt>
                <c:pt idx="30">
                  <c:v>7.2244096799999991</c:v>
                </c:pt>
                <c:pt idx="31">
                  <c:v>7.4652233359999993</c:v>
                </c:pt>
                <c:pt idx="32">
                  <c:v>7.7060369919999996</c:v>
                </c:pt>
                <c:pt idx="33">
                  <c:v>7.9468506479999999</c:v>
                </c:pt>
                <c:pt idx="34">
                  <c:v>8.1876643040000001</c:v>
                </c:pt>
                <c:pt idx="35">
                  <c:v>8.4284779599999986</c:v>
                </c:pt>
                <c:pt idx="36">
                  <c:v>8.6692916159999989</c:v>
                </c:pt>
                <c:pt idx="37">
                  <c:v>8.9101052719999991</c:v>
                </c:pt>
                <c:pt idx="38">
                  <c:v>9.1509189279999994</c:v>
                </c:pt>
                <c:pt idx="39">
                  <c:v>9.3917325839999997</c:v>
                </c:pt>
                <c:pt idx="40">
                  <c:v>9.6325462399999999</c:v>
                </c:pt>
                <c:pt idx="41">
                  <c:v>9.8733598959999984</c:v>
                </c:pt>
                <c:pt idx="42">
                  <c:v>10.114173551999999</c:v>
                </c:pt>
                <c:pt idx="43">
                  <c:v>10.354987207999999</c:v>
                </c:pt>
                <c:pt idx="44">
                  <c:v>10.595800863999999</c:v>
                </c:pt>
                <c:pt idx="45">
                  <c:v>10.836614519999999</c:v>
                </c:pt>
                <c:pt idx="46">
                  <c:v>11.077428176</c:v>
                </c:pt>
                <c:pt idx="47">
                  <c:v>11.318241831999998</c:v>
                </c:pt>
                <c:pt idx="48">
                  <c:v>11.559055487999998</c:v>
                </c:pt>
                <c:pt idx="49">
                  <c:v>11.799869143999999</c:v>
                </c:pt>
                <c:pt idx="50">
                  <c:v>12.040682799999999</c:v>
                </c:pt>
                <c:pt idx="51">
                  <c:v>12.281496455999999</c:v>
                </c:pt>
                <c:pt idx="52">
                  <c:v>12.522310112</c:v>
                </c:pt>
                <c:pt idx="53">
                  <c:v>12.763123768</c:v>
                </c:pt>
                <c:pt idx="54">
                  <c:v>13.003937424</c:v>
                </c:pt>
                <c:pt idx="55">
                  <c:v>13.24475108</c:v>
                </c:pt>
                <c:pt idx="56">
                  <c:v>13.485564736000001</c:v>
                </c:pt>
                <c:pt idx="57">
                  <c:v>13.726378391999997</c:v>
                </c:pt>
                <c:pt idx="58">
                  <c:v>13.967192047999998</c:v>
                </c:pt>
                <c:pt idx="59">
                  <c:v>14.208005703999998</c:v>
                </c:pt>
                <c:pt idx="60">
                  <c:v>14.448819359999998</c:v>
                </c:pt>
                <c:pt idx="61">
                  <c:v>14.689633015999998</c:v>
                </c:pt>
                <c:pt idx="62">
                  <c:v>14.930446671999999</c:v>
                </c:pt>
                <c:pt idx="63">
                  <c:v>15.171260327999999</c:v>
                </c:pt>
                <c:pt idx="64">
                  <c:v>15.412073983999999</c:v>
                </c:pt>
                <c:pt idx="65">
                  <c:v>15.652887639999999</c:v>
                </c:pt>
                <c:pt idx="66">
                  <c:v>15.893701296</c:v>
                </c:pt>
                <c:pt idx="67">
                  <c:v>16.134514952</c:v>
                </c:pt>
                <c:pt idx="68">
                  <c:v>16.375328608</c:v>
                </c:pt>
                <c:pt idx="69">
                  <c:v>16.616142263999997</c:v>
                </c:pt>
                <c:pt idx="70">
                  <c:v>16.856955919999997</c:v>
                </c:pt>
                <c:pt idx="71">
                  <c:v>17.097769575999997</c:v>
                </c:pt>
                <c:pt idx="72">
                  <c:v>17.338583231999998</c:v>
                </c:pt>
                <c:pt idx="73">
                  <c:v>17.579396887999998</c:v>
                </c:pt>
                <c:pt idx="74">
                  <c:v>17.820210543999998</c:v>
                </c:pt>
                <c:pt idx="75">
                  <c:v>18.061024199999999</c:v>
                </c:pt>
                <c:pt idx="76">
                  <c:v>18.301837855999999</c:v>
                </c:pt>
                <c:pt idx="77">
                  <c:v>18.542651511999999</c:v>
                </c:pt>
                <c:pt idx="78">
                  <c:v>18.783465167999999</c:v>
                </c:pt>
                <c:pt idx="79">
                  <c:v>19.024278824</c:v>
                </c:pt>
                <c:pt idx="80">
                  <c:v>19.26509248</c:v>
                </c:pt>
                <c:pt idx="81">
                  <c:v>19.505906136</c:v>
                </c:pt>
                <c:pt idx="82">
                  <c:v>19.746719791999997</c:v>
                </c:pt>
                <c:pt idx="83">
                  <c:v>19.987533447999997</c:v>
                </c:pt>
                <c:pt idx="84">
                  <c:v>20.228347103999997</c:v>
                </c:pt>
                <c:pt idx="85">
                  <c:v>20.469160759999998</c:v>
                </c:pt>
                <c:pt idx="86">
                  <c:v>20.709974415999998</c:v>
                </c:pt>
                <c:pt idx="87">
                  <c:v>20.950788071999998</c:v>
                </c:pt>
                <c:pt idx="88">
                  <c:v>21.191601727999998</c:v>
                </c:pt>
                <c:pt idx="89">
                  <c:v>21.432415383999999</c:v>
                </c:pt>
                <c:pt idx="90">
                  <c:v>21.673229039999999</c:v>
                </c:pt>
                <c:pt idx="91">
                  <c:v>21.914042695999999</c:v>
                </c:pt>
                <c:pt idx="92">
                  <c:v>22.154856351999999</c:v>
                </c:pt>
                <c:pt idx="93">
                  <c:v>22.395670008</c:v>
                </c:pt>
                <c:pt idx="94">
                  <c:v>22.636483663999996</c:v>
                </c:pt>
                <c:pt idx="95">
                  <c:v>22.877297319999997</c:v>
                </c:pt>
                <c:pt idx="96">
                  <c:v>23.118110975999997</c:v>
                </c:pt>
                <c:pt idx="97">
                  <c:v>23.358924631999997</c:v>
                </c:pt>
                <c:pt idx="98">
                  <c:v>23.599738287999998</c:v>
                </c:pt>
                <c:pt idx="99">
                  <c:v>23.840551943999998</c:v>
                </c:pt>
                <c:pt idx="100">
                  <c:v>24.081365599999998</c:v>
                </c:pt>
              </c:numCache>
            </c:numRef>
          </c:xVal>
          <c:yVal>
            <c:numRef>
              <c:f>Stiffness!$C$44:$C$144</c:f>
              <c:numCache>
                <c:formatCode>0.00</c:formatCode>
                <c:ptCount val="101"/>
                <c:pt idx="0">
                  <c:v>5.0853020000000004</c:v>
                </c:pt>
                <c:pt idx="1">
                  <c:v>5.0675034430000006</c:v>
                </c:pt>
                <c:pt idx="2">
                  <c:v>5.0497048860000007</c:v>
                </c:pt>
                <c:pt idx="3">
                  <c:v>5.0319063289999999</c:v>
                </c:pt>
                <c:pt idx="4">
                  <c:v>5.014107772</c:v>
                </c:pt>
                <c:pt idx="5">
                  <c:v>4.9963092150000001</c:v>
                </c:pt>
                <c:pt idx="6">
                  <c:v>4.9785106580000003</c:v>
                </c:pt>
                <c:pt idx="7">
                  <c:v>4.9607121010000004</c:v>
                </c:pt>
                <c:pt idx="8">
                  <c:v>4.9429135440000005</c:v>
                </c:pt>
                <c:pt idx="9">
                  <c:v>4.9251149870000006</c:v>
                </c:pt>
                <c:pt idx="10">
                  <c:v>4.9073164299999998</c:v>
                </c:pt>
                <c:pt idx="11">
                  <c:v>4.8895178730000008</c:v>
                </c:pt>
                <c:pt idx="12">
                  <c:v>4.8717193160000001</c:v>
                </c:pt>
                <c:pt idx="13">
                  <c:v>4.8539207590000011</c:v>
                </c:pt>
                <c:pt idx="14">
                  <c:v>4.8361222020000003</c:v>
                </c:pt>
                <c:pt idx="15">
                  <c:v>4.8183236450000004</c:v>
                </c:pt>
                <c:pt idx="16">
                  <c:v>4.8005250880000006</c:v>
                </c:pt>
                <c:pt idx="17">
                  <c:v>4.7827265309999998</c:v>
                </c:pt>
                <c:pt idx="18">
                  <c:v>4.7649279740000008</c:v>
                </c:pt>
                <c:pt idx="19">
                  <c:v>4.747129417</c:v>
                </c:pt>
                <c:pt idx="20">
                  <c:v>4.729330860000001</c:v>
                </c:pt>
                <c:pt idx="21">
                  <c:v>4.7115323030000003</c:v>
                </c:pt>
                <c:pt idx="22">
                  <c:v>4.6937337460000004</c:v>
                </c:pt>
                <c:pt idx="23">
                  <c:v>4.6759351890000005</c:v>
                </c:pt>
                <c:pt idx="24">
                  <c:v>4.6581366320000006</c:v>
                </c:pt>
                <c:pt idx="25">
                  <c:v>4.6403380750000007</c:v>
                </c:pt>
                <c:pt idx="26">
                  <c:v>4.622539518</c:v>
                </c:pt>
                <c:pt idx="27">
                  <c:v>4.604740961000001</c:v>
                </c:pt>
                <c:pt idx="28">
                  <c:v>4.5869424040000002</c:v>
                </c:pt>
                <c:pt idx="29">
                  <c:v>4.5691438470000003</c:v>
                </c:pt>
                <c:pt idx="30">
                  <c:v>4.5513452900000004</c:v>
                </c:pt>
                <c:pt idx="31">
                  <c:v>4.5335467330000006</c:v>
                </c:pt>
                <c:pt idx="32">
                  <c:v>4.5157481760000007</c:v>
                </c:pt>
                <c:pt idx="33">
                  <c:v>4.4979496189999999</c:v>
                </c:pt>
                <c:pt idx="34">
                  <c:v>4.4801510620000009</c:v>
                </c:pt>
                <c:pt idx="35">
                  <c:v>4.4623525050000001</c:v>
                </c:pt>
                <c:pt idx="36">
                  <c:v>4.4445539480000003</c:v>
                </c:pt>
                <c:pt idx="37">
                  <c:v>4.4267553910000004</c:v>
                </c:pt>
                <c:pt idx="38">
                  <c:v>4.4089568340000005</c:v>
                </c:pt>
                <c:pt idx="39">
                  <c:v>4.3911582770000006</c:v>
                </c:pt>
                <c:pt idx="40">
                  <c:v>4.3733597200000007</c:v>
                </c:pt>
                <c:pt idx="41">
                  <c:v>4.3555611630000008</c:v>
                </c:pt>
                <c:pt idx="42">
                  <c:v>4.3377626060000001</c:v>
                </c:pt>
                <c:pt idx="43">
                  <c:v>4.3199640490000002</c:v>
                </c:pt>
                <c:pt idx="44">
                  <c:v>4.3021654920000003</c:v>
                </c:pt>
                <c:pt idx="45">
                  <c:v>4.2843669350000004</c:v>
                </c:pt>
                <c:pt idx="46">
                  <c:v>4.2665683780000005</c:v>
                </c:pt>
                <c:pt idx="47">
                  <c:v>4.2487698210000007</c:v>
                </c:pt>
                <c:pt idx="48">
                  <c:v>4.2309712640000008</c:v>
                </c:pt>
                <c:pt idx="49">
                  <c:v>4.213172707</c:v>
                </c:pt>
                <c:pt idx="50">
                  <c:v>4.1953741500000001</c:v>
                </c:pt>
                <c:pt idx="51">
                  <c:v>4.1775755930000003</c:v>
                </c:pt>
                <c:pt idx="52">
                  <c:v>4.1597770360000004</c:v>
                </c:pt>
                <c:pt idx="53">
                  <c:v>4.1419784790000005</c:v>
                </c:pt>
                <c:pt idx="54">
                  <c:v>4.1241799220000006</c:v>
                </c:pt>
                <c:pt idx="55">
                  <c:v>4.1063813650000007</c:v>
                </c:pt>
                <c:pt idx="56">
                  <c:v>4.088582808</c:v>
                </c:pt>
                <c:pt idx="57">
                  <c:v>4.0707842510000001</c:v>
                </c:pt>
                <c:pt idx="58">
                  <c:v>4.0529856940000002</c:v>
                </c:pt>
                <c:pt idx="59">
                  <c:v>4.0351871370000003</c:v>
                </c:pt>
                <c:pt idx="60">
                  <c:v>4.0173885800000004</c:v>
                </c:pt>
                <c:pt idx="61">
                  <c:v>3.9995900230000005</c:v>
                </c:pt>
                <c:pt idx="62">
                  <c:v>3.9817914660000007</c:v>
                </c:pt>
                <c:pt idx="63">
                  <c:v>3.9639929090000003</c:v>
                </c:pt>
                <c:pt idx="64">
                  <c:v>3.946194352</c:v>
                </c:pt>
                <c:pt idx="65">
                  <c:v>3.9283957950000001</c:v>
                </c:pt>
                <c:pt idx="66">
                  <c:v>3.9105972380000003</c:v>
                </c:pt>
                <c:pt idx="67">
                  <c:v>3.8927986810000004</c:v>
                </c:pt>
                <c:pt idx="68">
                  <c:v>3.8750001240000005</c:v>
                </c:pt>
                <c:pt idx="69">
                  <c:v>3.8572015670000006</c:v>
                </c:pt>
                <c:pt idx="70">
                  <c:v>3.8394030100000003</c:v>
                </c:pt>
                <c:pt idx="71">
                  <c:v>3.8216044530000004</c:v>
                </c:pt>
                <c:pt idx="72">
                  <c:v>3.8038058960000001</c:v>
                </c:pt>
                <c:pt idx="73">
                  <c:v>3.7860073390000002</c:v>
                </c:pt>
                <c:pt idx="74">
                  <c:v>3.7682087820000003</c:v>
                </c:pt>
                <c:pt idx="75">
                  <c:v>3.7504102250000004</c:v>
                </c:pt>
                <c:pt idx="76">
                  <c:v>3.7326116680000001</c:v>
                </c:pt>
                <c:pt idx="77">
                  <c:v>3.7148131110000002</c:v>
                </c:pt>
                <c:pt idx="78">
                  <c:v>3.6970145540000003</c:v>
                </c:pt>
                <c:pt idx="79">
                  <c:v>3.6792159970000005</c:v>
                </c:pt>
                <c:pt idx="80">
                  <c:v>3.6614174400000001</c:v>
                </c:pt>
                <c:pt idx="81">
                  <c:v>3.6436188830000003</c:v>
                </c:pt>
                <c:pt idx="82">
                  <c:v>3.6258203260000004</c:v>
                </c:pt>
                <c:pt idx="83">
                  <c:v>3.6080217690000005</c:v>
                </c:pt>
                <c:pt idx="84">
                  <c:v>3.5902232120000002</c:v>
                </c:pt>
                <c:pt idx="85">
                  <c:v>3.5724246550000003</c:v>
                </c:pt>
                <c:pt idx="86">
                  <c:v>3.5546260980000004</c:v>
                </c:pt>
                <c:pt idx="87">
                  <c:v>3.5368275410000001</c:v>
                </c:pt>
                <c:pt idx="88">
                  <c:v>3.5190289840000002</c:v>
                </c:pt>
                <c:pt idx="89">
                  <c:v>3.5012304270000003</c:v>
                </c:pt>
                <c:pt idx="90">
                  <c:v>3.4834318700000004</c:v>
                </c:pt>
                <c:pt idx="91">
                  <c:v>3.4656333130000001</c:v>
                </c:pt>
                <c:pt idx="92">
                  <c:v>3.4478347560000002</c:v>
                </c:pt>
                <c:pt idx="93">
                  <c:v>3.4300361990000003</c:v>
                </c:pt>
                <c:pt idx="94">
                  <c:v>3.4122376420000005</c:v>
                </c:pt>
                <c:pt idx="95">
                  <c:v>3.3944390850000001</c:v>
                </c:pt>
                <c:pt idx="96">
                  <c:v>3.3766405280000003</c:v>
                </c:pt>
                <c:pt idx="97">
                  <c:v>3.3588419710000004</c:v>
                </c:pt>
                <c:pt idx="98">
                  <c:v>3.3410434140000005</c:v>
                </c:pt>
                <c:pt idx="99">
                  <c:v>3.3232448570000002</c:v>
                </c:pt>
                <c:pt idx="100">
                  <c:v>3.3054463000000003</c:v>
                </c:pt>
              </c:numCache>
            </c:numRef>
          </c:yVal>
          <c:smooth val="0"/>
          <c:extLst>
            <c:ext xmlns:c16="http://schemas.microsoft.com/office/drawing/2014/chart" uri="{C3380CC4-5D6E-409C-BE32-E72D297353CC}">
              <c16:uniqueId val="{00000004-DB6C-4ABC-A5F4-AA73E94C94A1}"/>
            </c:ext>
          </c:extLst>
        </c:ser>
        <c:ser>
          <c:idx val="3"/>
          <c:order val="3"/>
          <c:tx>
            <c:strRef>
              <c:f>Stiffness!$BC$43</c:f>
              <c:strCache>
                <c:ptCount val="1"/>
                <c:pt idx="0">
                  <c:v>GJ 
[lb-in^2]</c:v>
                </c:pt>
              </c:strCache>
            </c:strRef>
          </c:tx>
          <c:spPr>
            <a:ln w="25400" cap="rnd">
              <a:noFill/>
              <a:round/>
            </a:ln>
            <a:effectLst/>
          </c:spPr>
          <c:marker>
            <c:symbol val="circle"/>
            <c:size val="5"/>
            <c:spPr>
              <a:solidFill>
                <a:schemeClr val="accent4"/>
              </a:solidFill>
              <a:ln w="9525">
                <a:solidFill>
                  <a:schemeClr val="accent4"/>
                </a:solidFill>
              </a:ln>
              <a:effectLst/>
            </c:spPr>
          </c:marker>
          <c:xVal>
            <c:numRef>
              <c:f>Stiffness!$B$44:$B$144</c:f>
              <c:numCache>
                <c:formatCode>0.0</c:formatCode>
                <c:ptCount val="101"/>
                <c:pt idx="0">
                  <c:v>0</c:v>
                </c:pt>
                <c:pt idx="1">
                  <c:v>0.24081365599999999</c:v>
                </c:pt>
                <c:pt idx="2">
                  <c:v>0.48162731199999997</c:v>
                </c:pt>
                <c:pt idx="3">
                  <c:v>0.72244096799999991</c:v>
                </c:pt>
                <c:pt idx="4">
                  <c:v>0.96325462399999995</c:v>
                </c:pt>
                <c:pt idx="5">
                  <c:v>1.20406828</c:v>
                </c:pt>
                <c:pt idx="6">
                  <c:v>1.4448819359999998</c:v>
                </c:pt>
                <c:pt idx="7">
                  <c:v>1.6856955920000001</c:v>
                </c:pt>
                <c:pt idx="8">
                  <c:v>1.9265092479999999</c:v>
                </c:pt>
                <c:pt idx="9">
                  <c:v>2.1673229039999997</c:v>
                </c:pt>
                <c:pt idx="10">
                  <c:v>2.40813656</c:v>
                </c:pt>
                <c:pt idx="11">
                  <c:v>2.6489502159999998</c:v>
                </c:pt>
                <c:pt idx="12">
                  <c:v>2.8897638719999996</c:v>
                </c:pt>
                <c:pt idx="13">
                  <c:v>3.1305775279999999</c:v>
                </c:pt>
                <c:pt idx="14">
                  <c:v>3.3713911840000002</c:v>
                </c:pt>
                <c:pt idx="15">
                  <c:v>3.6122048399999995</c:v>
                </c:pt>
                <c:pt idx="16">
                  <c:v>3.8530184959999998</c:v>
                </c:pt>
                <c:pt idx="17">
                  <c:v>4.0938321520000001</c:v>
                </c:pt>
                <c:pt idx="18">
                  <c:v>4.3346458079999994</c:v>
                </c:pt>
                <c:pt idx="19">
                  <c:v>4.5754594639999997</c:v>
                </c:pt>
                <c:pt idx="20">
                  <c:v>4.81627312</c:v>
                </c:pt>
                <c:pt idx="21">
                  <c:v>5.0570867759999993</c:v>
                </c:pt>
                <c:pt idx="22">
                  <c:v>5.2979004319999996</c:v>
                </c:pt>
                <c:pt idx="23">
                  <c:v>5.5387140879999999</c:v>
                </c:pt>
                <c:pt idx="24">
                  <c:v>5.7795277439999992</c:v>
                </c:pt>
                <c:pt idx="25">
                  <c:v>6.0203413999999995</c:v>
                </c:pt>
                <c:pt idx="26">
                  <c:v>6.2611550559999998</c:v>
                </c:pt>
                <c:pt idx="27">
                  <c:v>6.501968712</c:v>
                </c:pt>
                <c:pt idx="28">
                  <c:v>6.7427823680000003</c:v>
                </c:pt>
                <c:pt idx="29">
                  <c:v>6.9835960239999988</c:v>
                </c:pt>
                <c:pt idx="30">
                  <c:v>7.2244096799999991</c:v>
                </c:pt>
                <c:pt idx="31">
                  <c:v>7.4652233359999993</c:v>
                </c:pt>
                <c:pt idx="32">
                  <c:v>7.7060369919999996</c:v>
                </c:pt>
                <c:pt idx="33">
                  <c:v>7.9468506479999999</c:v>
                </c:pt>
                <c:pt idx="34">
                  <c:v>8.1876643040000001</c:v>
                </c:pt>
                <c:pt idx="35">
                  <c:v>8.4284779599999986</c:v>
                </c:pt>
                <c:pt idx="36">
                  <c:v>8.6692916159999989</c:v>
                </c:pt>
                <c:pt idx="37">
                  <c:v>8.9101052719999991</c:v>
                </c:pt>
                <c:pt idx="38">
                  <c:v>9.1509189279999994</c:v>
                </c:pt>
                <c:pt idx="39">
                  <c:v>9.3917325839999997</c:v>
                </c:pt>
                <c:pt idx="40">
                  <c:v>9.6325462399999999</c:v>
                </c:pt>
                <c:pt idx="41">
                  <c:v>9.8733598959999984</c:v>
                </c:pt>
                <c:pt idx="42">
                  <c:v>10.114173551999999</c:v>
                </c:pt>
                <c:pt idx="43">
                  <c:v>10.354987207999999</c:v>
                </c:pt>
                <c:pt idx="44">
                  <c:v>10.595800863999999</c:v>
                </c:pt>
                <c:pt idx="45">
                  <c:v>10.836614519999999</c:v>
                </c:pt>
                <c:pt idx="46">
                  <c:v>11.077428176</c:v>
                </c:pt>
                <c:pt idx="47">
                  <c:v>11.318241831999998</c:v>
                </c:pt>
                <c:pt idx="48">
                  <c:v>11.559055487999998</c:v>
                </c:pt>
                <c:pt idx="49">
                  <c:v>11.799869143999999</c:v>
                </c:pt>
                <c:pt idx="50">
                  <c:v>12.040682799999999</c:v>
                </c:pt>
                <c:pt idx="51">
                  <c:v>12.281496455999999</c:v>
                </c:pt>
                <c:pt idx="52">
                  <c:v>12.522310112</c:v>
                </c:pt>
                <c:pt idx="53">
                  <c:v>12.763123768</c:v>
                </c:pt>
                <c:pt idx="54">
                  <c:v>13.003937424</c:v>
                </c:pt>
                <c:pt idx="55">
                  <c:v>13.24475108</c:v>
                </c:pt>
                <c:pt idx="56">
                  <c:v>13.485564736000001</c:v>
                </c:pt>
                <c:pt idx="57">
                  <c:v>13.726378391999997</c:v>
                </c:pt>
                <c:pt idx="58">
                  <c:v>13.967192047999998</c:v>
                </c:pt>
                <c:pt idx="59">
                  <c:v>14.208005703999998</c:v>
                </c:pt>
                <c:pt idx="60">
                  <c:v>14.448819359999998</c:v>
                </c:pt>
                <c:pt idx="61">
                  <c:v>14.689633015999998</c:v>
                </c:pt>
                <c:pt idx="62">
                  <c:v>14.930446671999999</c:v>
                </c:pt>
                <c:pt idx="63">
                  <c:v>15.171260327999999</c:v>
                </c:pt>
                <c:pt idx="64">
                  <c:v>15.412073983999999</c:v>
                </c:pt>
                <c:pt idx="65">
                  <c:v>15.652887639999999</c:v>
                </c:pt>
                <c:pt idx="66">
                  <c:v>15.893701296</c:v>
                </c:pt>
                <c:pt idx="67">
                  <c:v>16.134514952</c:v>
                </c:pt>
                <c:pt idx="68">
                  <c:v>16.375328608</c:v>
                </c:pt>
                <c:pt idx="69">
                  <c:v>16.616142263999997</c:v>
                </c:pt>
                <c:pt idx="70">
                  <c:v>16.856955919999997</c:v>
                </c:pt>
                <c:pt idx="71">
                  <c:v>17.097769575999997</c:v>
                </c:pt>
                <c:pt idx="72">
                  <c:v>17.338583231999998</c:v>
                </c:pt>
                <c:pt idx="73">
                  <c:v>17.579396887999998</c:v>
                </c:pt>
                <c:pt idx="74">
                  <c:v>17.820210543999998</c:v>
                </c:pt>
                <c:pt idx="75">
                  <c:v>18.061024199999999</c:v>
                </c:pt>
                <c:pt idx="76">
                  <c:v>18.301837855999999</c:v>
                </c:pt>
                <c:pt idx="77">
                  <c:v>18.542651511999999</c:v>
                </c:pt>
                <c:pt idx="78">
                  <c:v>18.783465167999999</c:v>
                </c:pt>
                <c:pt idx="79">
                  <c:v>19.024278824</c:v>
                </c:pt>
                <c:pt idx="80">
                  <c:v>19.26509248</c:v>
                </c:pt>
                <c:pt idx="81">
                  <c:v>19.505906136</c:v>
                </c:pt>
                <c:pt idx="82">
                  <c:v>19.746719791999997</c:v>
                </c:pt>
                <c:pt idx="83">
                  <c:v>19.987533447999997</c:v>
                </c:pt>
                <c:pt idx="84">
                  <c:v>20.228347103999997</c:v>
                </c:pt>
                <c:pt idx="85">
                  <c:v>20.469160759999998</c:v>
                </c:pt>
                <c:pt idx="86">
                  <c:v>20.709974415999998</c:v>
                </c:pt>
                <c:pt idx="87">
                  <c:v>20.950788071999998</c:v>
                </c:pt>
                <c:pt idx="88">
                  <c:v>21.191601727999998</c:v>
                </c:pt>
                <c:pt idx="89">
                  <c:v>21.432415383999999</c:v>
                </c:pt>
                <c:pt idx="90">
                  <c:v>21.673229039999999</c:v>
                </c:pt>
                <c:pt idx="91">
                  <c:v>21.914042695999999</c:v>
                </c:pt>
                <c:pt idx="92">
                  <c:v>22.154856351999999</c:v>
                </c:pt>
                <c:pt idx="93">
                  <c:v>22.395670008</c:v>
                </c:pt>
                <c:pt idx="94">
                  <c:v>22.636483663999996</c:v>
                </c:pt>
                <c:pt idx="95">
                  <c:v>22.877297319999997</c:v>
                </c:pt>
                <c:pt idx="96">
                  <c:v>23.118110975999997</c:v>
                </c:pt>
                <c:pt idx="97">
                  <c:v>23.358924631999997</c:v>
                </c:pt>
                <c:pt idx="98">
                  <c:v>23.599738287999998</c:v>
                </c:pt>
                <c:pt idx="99">
                  <c:v>23.840551943999998</c:v>
                </c:pt>
                <c:pt idx="100">
                  <c:v>24.081365599999998</c:v>
                </c:pt>
              </c:numCache>
            </c:numRef>
          </c:xVal>
          <c:yVal>
            <c:numRef>
              <c:f>Stiffness!$BC$44:$BC$144</c:f>
              <c:numCache>
                <c:formatCode>0.00E+00</c:formatCode>
                <c:ptCount val="101"/>
                <c:pt idx="0">
                  <c:v>9094742681.7441387</c:v>
                </c:pt>
                <c:pt idx="1">
                  <c:v>8999581725.4422855</c:v>
                </c:pt>
                <c:pt idx="2">
                  <c:v>8905086893.1049881</c:v>
                </c:pt>
                <c:pt idx="3">
                  <c:v>8811255845.1096878</c:v>
                </c:pt>
                <c:pt idx="4">
                  <c:v>8718086241.8338261</c:v>
                </c:pt>
                <c:pt idx="5">
                  <c:v>8625575743.6548595</c:v>
                </c:pt>
                <c:pt idx="6">
                  <c:v>8533722010.9502268</c:v>
                </c:pt>
                <c:pt idx="7">
                  <c:v>8442522704.0973778</c:v>
                </c:pt>
                <c:pt idx="8">
                  <c:v>8351975483.4737501</c:v>
                </c:pt>
                <c:pt idx="9">
                  <c:v>8262078009.4567909</c:v>
                </c:pt>
                <c:pt idx="10">
                  <c:v>8172827942.423933</c:v>
                </c:pt>
                <c:pt idx="11">
                  <c:v>8084222942.7526455</c:v>
                </c:pt>
                <c:pt idx="12">
                  <c:v>7996260670.8203621</c:v>
                </c:pt>
                <c:pt idx="13">
                  <c:v>7908938787.0045328</c:v>
                </c:pt>
                <c:pt idx="14">
                  <c:v>7822254951.6825886</c:v>
                </c:pt>
                <c:pt idx="15">
                  <c:v>7736206825.2319946</c:v>
                </c:pt>
                <c:pt idx="16">
                  <c:v>7650792068.0301762</c:v>
                </c:pt>
                <c:pt idx="17">
                  <c:v>7566008340.4545898</c:v>
                </c:pt>
                <c:pt idx="18">
                  <c:v>7481853302.8826847</c:v>
                </c:pt>
                <c:pt idx="19">
                  <c:v>7398324615.6918936</c:v>
                </c:pt>
                <c:pt idx="20">
                  <c:v>7315419939.259675</c:v>
                </c:pt>
                <c:pt idx="21">
                  <c:v>7233136933.963459</c:v>
                </c:pt>
                <c:pt idx="22">
                  <c:v>7151473260.1807032</c:v>
                </c:pt>
                <c:pt idx="23">
                  <c:v>7070426578.288846</c:v>
                </c:pt>
                <c:pt idx="24">
                  <c:v>6989994548.6653395</c:v>
                </c:pt>
                <c:pt idx="25">
                  <c:v>5758479026.4063492</c:v>
                </c:pt>
                <c:pt idx="26">
                  <c:v>5692470906.4442768</c:v>
                </c:pt>
                <c:pt idx="27">
                  <c:v>5626969147.6494455</c:v>
                </c:pt>
                <c:pt idx="28">
                  <c:v>5561971800.3363819</c:v>
                </c:pt>
                <c:pt idx="29">
                  <c:v>5497476914.8196297</c:v>
                </c:pt>
                <c:pt idx="30">
                  <c:v>5433482541.4137268</c:v>
                </c:pt>
                <c:pt idx="31">
                  <c:v>5369986730.4332056</c:v>
                </c:pt>
                <c:pt idx="32">
                  <c:v>5306987532.1926088</c:v>
                </c:pt>
                <c:pt idx="33">
                  <c:v>5244482997.0064659</c:v>
                </c:pt>
                <c:pt idx="34">
                  <c:v>5182471175.1893291</c:v>
                </c:pt>
                <c:pt idx="35">
                  <c:v>5120950117.0557232</c:v>
                </c:pt>
                <c:pt idx="36">
                  <c:v>5059917872.9201908</c:v>
                </c:pt>
                <c:pt idx="37">
                  <c:v>4999372493.09727</c:v>
                </c:pt>
                <c:pt idx="38">
                  <c:v>4939312027.9014978</c:v>
                </c:pt>
                <c:pt idx="39">
                  <c:v>4879734527.6474075</c:v>
                </c:pt>
                <c:pt idx="40">
                  <c:v>4820638042.6495438</c:v>
                </c:pt>
                <c:pt idx="41">
                  <c:v>4762020623.2224398</c:v>
                </c:pt>
                <c:pt idx="42">
                  <c:v>4703880319.6806316</c:v>
                </c:pt>
                <c:pt idx="43">
                  <c:v>4646215182.338666</c:v>
                </c:pt>
                <c:pt idx="44">
                  <c:v>4589023261.5110703</c:v>
                </c:pt>
                <c:pt idx="45">
                  <c:v>4532302607.5123835</c:v>
                </c:pt>
                <c:pt idx="46">
                  <c:v>4476051270.6571512</c:v>
                </c:pt>
                <c:pt idx="47">
                  <c:v>4420267301.259901</c:v>
                </c:pt>
                <c:pt idx="48">
                  <c:v>4364948749.6351767</c:v>
                </c:pt>
                <c:pt idx="49">
                  <c:v>4310093666.0975113</c:v>
                </c:pt>
                <c:pt idx="50">
                  <c:v>4255700100.9614491</c:v>
                </c:pt>
                <c:pt idx="51">
                  <c:v>4201766104.5415196</c:v>
                </c:pt>
                <c:pt idx="52">
                  <c:v>4148289727.152267</c:v>
                </c:pt>
                <c:pt idx="53">
                  <c:v>4095269019.1082287</c:v>
                </c:pt>
                <c:pt idx="54">
                  <c:v>4042702030.7239375</c:v>
                </c:pt>
                <c:pt idx="55">
                  <c:v>3990586812.3139353</c:v>
                </c:pt>
                <c:pt idx="56">
                  <c:v>3938921414.1927528</c:v>
                </c:pt>
                <c:pt idx="57">
                  <c:v>3887703886.6749368</c:v>
                </c:pt>
                <c:pt idx="58">
                  <c:v>3836932280.0750208</c:v>
                </c:pt>
                <c:pt idx="59">
                  <c:v>3786604644.7075424</c:v>
                </c:pt>
                <c:pt idx="60">
                  <c:v>3736719030.8870425</c:v>
                </c:pt>
                <c:pt idx="61">
                  <c:v>3687273488.9280515</c:v>
                </c:pt>
                <c:pt idx="62">
                  <c:v>3638266069.1451135</c:v>
                </c:pt>
                <c:pt idx="63">
                  <c:v>3589694821.8527594</c:v>
                </c:pt>
                <c:pt idx="64">
                  <c:v>3541557797.3655319</c:v>
                </c:pt>
                <c:pt idx="65">
                  <c:v>3493853045.9979696</c:v>
                </c:pt>
                <c:pt idx="66">
                  <c:v>3446578618.0646086</c:v>
                </c:pt>
                <c:pt idx="67">
                  <c:v>3399732563.8799891</c:v>
                </c:pt>
                <c:pt idx="68">
                  <c:v>3353312933.7586422</c:v>
                </c:pt>
                <c:pt idx="69">
                  <c:v>3307317778.0151081</c:v>
                </c:pt>
                <c:pt idx="70">
                  <c:v>3261745146.9639235</c:v>
                </c:pt>
                <c:pt idx="71">
                  <c:v>3216593090.9196291</c:v>
                </c:pt>
                <c:pt idx="72">
                  <c:v>3171859660.1967649</c:v>
                </c:pt>
                <c:pt idx="73">
                  <c:v>3127542905.1098604</c:v>
                </c:pt>
                <c:pt idx="74">
                  <c:v>3083640875.9734616</c:v>
                </c:pt>
                <c:pt idx="75">
                  <c:v>3040151623.1020999</c:v>
                </c:pt>
                <c:pt idx="76">
                  <c:v>2997073196.8103123</c:v>
                </c:pt>
                <c:pt idx="77">
                  <c:v>2954403647.4126453</c:v>
                </c:pt>
                <c:pt idx="78">
                  <c:v>2912141025.2236242</c:v>
                </c:pt>
                <c:pt idx="79">
                  <c:v>2870283380.5577993</c:v>
                </c:pt>
                <c:pt idx="80">
                  <c:v>2828828763.7296968</c:v>
                </c:pt>
                <c:pt idx="81">
                  <c:v>2787775225.0538616</c:v>
                </c:pt>
                <c:pt idx="82">
                  <c:v>2747120814.8448296</c:v>
                </c:pt>
                <c:pt idx="83">
                  <c:v>2706863583.4171357</c:v>
                </c:pt>
                <c:pt idx="84">
                  <c:v>2667001581.0853195</c:v>
                </c:pt>
                <c:pt idx="85">
                  <c:v>2627532858.1639166</c:v>
                </c:pt>
                <c:pt idx="86">
                  <c:v>2588455464.967473</c:v>
                </c:pt>
                <c:pt idx="87">
                  <c:v>2549767451.8105116</c:v>
                </c:pt>
                <c:pt idx="88">
                  <c:v>2511466869.007585</c:v>
                </c:pt>
                <c:pt idx="89">
                  <c:v>2473551766.8732233</c:v>
                </c:pt>
                <c:pt idx="90">
                  <c:v>2436020195.7219634</c:v>
                </c:pt>
                <c:pt idx="91">
                  <c:v>2398870205.8683434</c:v>
                </c:pt>
                <c:pt idx="92">
                  <c:v>2362099847.6269026</c:v>
                </c:pt>
                <c:pt idx="93">
                  <c:v>2325707171.31218</c:v>
                </c:pt>
                <c:pt idx="94">
                  <c:v>2289690227.2387085</c:v>
                </c:pt>
                <c:pt idx="95">
                  <c:v>2254047065.7210283</c:v>
                </c:pt>
                <c:pt idx="96">
                  <c:v>2218775737.0736794</c:v>
                </c:pt>
                <c:pt idx="97">
                  <c:v>2183874291.611196</c:v>
                </c:pt>
                <c:pt idx="98">
                  <c:v>2149340779.6481161</c:v>
                </c:pt>
                <c:pt idx="99">
                  <c:v>2115173251.4989793</c:v>
                </c:pt>
                <c:pt idx="100">
                  <c:v>2081369757.4783225</c:v>
                </c:pt>
              </c:numCache>
            </c:numRef>
          </c:yVal>
          <c:smooth val="0"/>
          <c:extLst>
            <c:ext xmlns:c16="http://schemas.microsoft.com/office/drawing/2014/chart" uri="{C3380CC4-5D6E-409C-BE32-E72D297353CC}">
              <c16:uniqueId val="{00000007-DB6C-4ABC-A5F4-AA73E94C94A1}"/>
            </c:ext>
          </c:extLst>
        </c:ser>
        <c:dLbls>
          <c:showLegendKey val="0"/>
          <c:showVal val="0"/>
          <c:showCatName val="0"/>
          <c:showSerName val="0"/>
          <c:showPercent val="0"/>
          <c:showBubbleSize val="0"/>
        </c:dLbls>
        <c:axId val="803003984"/>
        <c:axId val="803000744"/>
      </c:scatterChart>
      <c:valAx>
        <c:axId val="401968368"/>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BL [ft]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965232"/>
        <c:crosses val="autoZero"/>
        <c:crossBetween val="midCat"/>
      </c:valAx>
      <c:valAx>
        <c:axId val="401965232"/>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EI, GJ</a:t>
                </a:r>
              </a:p>
              <a:p>
                <a:pPr>
                  <a:defRPr/>
                </a:pPr>
                <a:r>
                  <a:rPr lang="en-US"/>
                  <a:t> [lb-in^2]</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E+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968368"/>
        <c:crosses val="autoZero"/>
        <c:crossBetween val="midCat"/>
      </c:valAx>
      <c:valAx>
        <c:axId val="803000744"/>
        <c:scaling>
          <c:orientation val="minMax"/>
        </c:scaling>
        <c:delete val="0"/>
        <c:axPos val="r"/>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3003984"/>
        <c:crosses val="max"/>
        <c:crossBetween val="midCat"/>
      </c:valAx>
      <c:valAx>
        <c:axId val="803003984"/>
        <c:scaling>
          <c:orientation val="minMax"/>
        </c:scaling>
        <c:delete val="1"/>
        <c:axPos val="b"/>
        <c:numFmt formatCode="0.0" sourceLinked="1"/>
        <c:majorTickMark val="out"/>
        <c:minorTickMark val="none"/>
        <c:tickLblPos val="nextTo"/>
        <c:crossAx val="80300074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t>Planform </a:t>
            </a:r>
            <a:br>
              <a:rPr lang="en-US" sz="1600"/>
            </a:br>
            <a:r>
              <a:rPr lang="en-US" sz="1600"/>
              <a:t>Plot</a:t>
            </a:r>
          </a:p>
        </c:rich>
      </c:tx>
      <c:layout>
        <c:manualLayout>
          <c:xMode val="edge"/>
          <c:yMode val="edge"/>
          <c:x val="0.82562234365513054"/>
          <c:y val="6.486484645957396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6175676127915712E-2"/>
          <c:y val="6.4431562905139281E-2"/>
          <c:w val="0.71716828692502832"/>
          <c:h val="0.84823397075365581"/>
        </c:manualLayout>
      </c:layout>
      <c:scatterChart>
        <c:scatterStyle val="lineMarker"/>
        <c:varyColors val="0"/>
        <c:ser>
          <c:idx val="0"/>
          <c:order val="0"/>
          <c:tx>
            <c:v>Wing_LE</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'ASWING AERO'!$A$24:$A$39</c:f>
              <c:numCache>
                <c:formatCode>0.000</c:formatCode>
                <c:ptCount val="16"/>
                <c:pt idx="0">
                  <c:v>8.9956379999999996</c:v>
                </c:pt>
                <c:pt idx="1">
                  <c:v>9.0045535999999995</c:v>
                </c:pt>
                <c:pt idx="2">
                  <c:v>9.0126440999999993</c:v>
                </c:pt>
                <c:pt idx="3">
                  <c:v>9.0178878000000005</c:v>
                </c:pt>
                <c:pt idx="4">
                  <c:v>9.0218767999999994</c:v>
                </c:pt>
                <c:pt idx="5">
                  <c:v>9.0468340000000005</c:v>
                </c:pt>
                <c:pt idx="6">
                  <c:v>9.0894616999999993</c:v>
                </c:pt>
                <c:pt idx="7">
                  <c:v>9.1710653999999998</c:v>
                </c:pt>
                <c:pt idx="8">
                  <c:v>9.3856889999999993</c:v>
                </c:pt>
                <c:pt idx="9">
                  <c:v>9.4055330999999995</c:v>
                </c:pt>
                <c:pt idx="10">
                  <c:v>9.4384834000000009</c:v>
                </c:pt>
                <c:pt idx="11">
                  <c:v>9.7502853999999992</c:v>
                </c:pt>
                <c:pt idx="12">
                  <c:v>10.165088900000001</c:v>
                </c:pt>
                <c:pt idx="13">
                  <c:v>10.4154787</c:v>
                </c:pt>
                <c:pt idx="14">
                  <c:v>10.7277179</c:v>
                </c:pt>
                <c:pt idx="15">
                  <c:v>11.135823200000001</c:v>
                </c:pt>
              </c:numCache>
            </c:numRef>
          </c:xVal>
          <c:yVal>
            <c:numRef>
              <c:f>'ASWING AERO'!$B$24:$B$39</c:f>
              <c:numCache>
                <c:formatCode>0.000</c:formatCode>
                <c:ptCount val="16"/>
                <c:pt idx="0">
                  <c:v>0</c:v>
                </c:pt>
                <c:pt idx="1">
                  <c:v>0.5</c:v>
                </c:pt>
                <c:pt idx="2">
                  <c:v>1</c:v>
                </c:pt>
                <c:pt idx="3">
                  <c:v>1.3599999999999999</c:v>
                </c:pt>
                <c:pt idx="4">
                  <c:v>1.56</c:v>
                </c:pt>
                <c:pt idx="5">
                  <c:v>1.76</c:v>
                </c:pt>
                <c:pt idx="6">
                  <c:v>2.1</c:v>
                </c:pt>
                <c:pt idx="7">
                  <c:v>2.7499999999999996</c:v>
                </c:pt>
                <c:pt idx="8">
                  <c:v>4.41</c:v>
                </c:pt>
                <c:pt idx="9">
                  <c:v>4.6100000000000003</c:v>
                </c:pt>
                <c:pt idx="10">
                  <c:v>4.8103806000000002</c:v>
                </c:pt>
                <c:pt idx="11">
                  <c:v>5.8965057999999999</c:v>
                </c:pt>
                <c:pt idx="12">
                  <c:v>6.6937667000000003</c:v>
                </c:pt>
                <c:pt idx="13">
                  <c:v>6.9755219999999998</c:v>
                </c:pt>
                <c:pt idx="14">
                  <c:v>7.2226727999999998</c:v>
                </c:pt>
                <c:pt idx="15">
                  <c:v>7.3419102000000001</c:v>
                </c:pt>
              </c:numCache>
            </c:numRef>
          </c:yVal>
          <c:smooth val="0"/>
          <c:extLst>
            <c:ext xmlns:c16="http://schemas.microsoft.com/office/drawing/2014/chart" uri="{C3380CC4-5D6E-409C-BE32-E72D297353CC}">
              <c16:uniqueId val="{00000000-E1A6-44D8-9087-7BF852B4F144}"/>
            </c:ext>
          </c:extLst>
        </c:ser>
        <c:ser>
          <c:idx val="1"/>
          <c:order val="1"/>
          <c:tx>
            <c:v>Wing _TE</c:v>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'ASWING AERO'!$E$24:$E$39</c:f>
              <c:numCache>
                <c:formatCode>0.000</c:formatCode>
                <c:ptCount val="16"/>
                <c:pt idx="0">
                  <c:v>10.548638</c:v>
                </c:pt>
                <c:pt idx="1">
                  <c:v>10.521553599999999</c:v>
                </c:pt>
                <c:pt idx="2">
                  <c:v>10.494644099999999</c:v>
                </c:pt>
                <c:pt idx="3">
                  <c:v>10.459887800000001</c:v>
                </c:pt>
                <c:pt idx="4">
                  <c:v>10.4638768</c:v>
                </c:pt>
                <c:pt idx="5">
                  <c:v>10.476834</c:v>
                </c:pt>
                <c:pt idx="6">
                  <c:v>10.500461699999999</c:v>
                </c:pt>
                <c:pt idx="7">
                  <c:v>10.5460654</c:v>
                </c:pt>
                <c:pt idx="8">
                  <c:v>10.665688999999999</c:v>
                </c:pt>
                <c:pt idx="9">
                  <c:v>10.6745331</c:v>
                </c:pt>
                <c:pt idx="10">
                  <c:v>10.688483400000001</c:v>
                </c:pt>
                <c:pt idx="11">
                  <c:v>10.859285399999999</c:v>
                </c:pt>
                <c:pt idx="12">
                  <c:v>11.011088900000001</c:v>
                </c:pt>
                <c:pt idx="13">
                  <c:v>11.1034787</c:v>
                </c:pt>
                <c:pt idx="14">
                  <c:v>11.2382179</c:v>
                </c:pt>
                <c:pt idx="15">
                  <c:v>11.468823200000001</c:v>
                </c:pt>
              </c:numCache>
            </c:numRef>
          </c:xVal>
          <c:yVal>
            <c:numRef>
              <c:f>'ASWING AERO'!$B$24:$B$39</c:f>
              <c:numCache>
                <c:formatCode>0.000</c:formatCode>
                <c:ptCount val="16"/>
                <c:pt idx="0">
                  <c:v>0</c:v>
                </c:pt>
                <c:pt idx="1">
                  <c:v>0.5</c:v>
                </c:pt>
                <c:pt idx="2">
                  <c:v>1</c:v>
                </c:pt>
                <c:pt idx="3">
                  <c:v>1.3599999999999999</c:v>
                </c:pt>
                <c:pt idx="4">
                  <c:v>1.56</c:v>
                </c:pt>
                <c:pt idx="5">
                  <c:v>1.76</c:v>
                </c:pt>
                <c:pt idx="6">
                  <c:v>2.1</c:v>
                </c:pt>
                <c:pt idx="7">
                  <c:v>2.7499999999999996</c:v>
                </c:pt>
                <c:pt idx="8">
                  <c:v>4.41</c:v>
                </c:pt>
                <c:pt idx="9">
                  <c:v>4.6100000000000003</c:v>
                </c:pt>
                <c:pt idx="10">
                  <c:v>4.8103806000000002</c:v>
                </c:pt>
                <c:pt idx="11">
                  <c:v>5.8965057999999999</c:v>
                </c:pt>
                <c:pt idx="12">
                  <c:v>6.6937667000000003</c:v>
                </c:pt>
                <c:pt idx="13">
                  <c:v>6.9755219999999998</c:v>
                </c:pt>
                <c:pt idx="14">
                  <c:v>7.2226727999999998</c:v>
                </c:pt>
                <c:pt idx="15">
                  <c:v>7.3419102000000001</c:v>
                </c:pt>
              </c:numCache>
            </c:numRef>
          </c:yVal>
          <c:smooth val="0"/>
          <c:extLst>
            <c:ext xmlns:c16="http://schemas.microsoft.com/office/drawing/2014/chart" uri="{C3380CC4-5D6E-409C-BE32-E72D297353CC}">
              <c16:uniqueId val="{00000001-E1A6-44D8-9087-7BF852B4F144}"/>
            </c:ext>
          </c:extLst>
        </c:ser>
        <c:ser>
          <c:idx val="2"/>
          <c:order val="2"/>
          <c:tx>
            <c:v>Canard_LE</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'ASWING AERO'!$S$24:$S$39</c:f>
              <c:numCache>
                <c:formatCode>0.000</c:formatCode>
                <c:ptCount val="16"/>
                <c:pt idx="0">
                  <c:v>3.1728633999999998</c:v>
                </c:pt>
                <c:pt idx="1">
                  <c:v>3.3409681999999998</c:v>
                </c:pt>
                <c:pt idx="2">
                  <c:v>3.5120570999999998</c:v>
                </c:pt>
                <c:pt idx="3">
                  <c:v>3.5607975000000001</c:v>
                </c:pt>
                <c:pt idx="4">
                  <c:v>3.6105326999999998</c:v>
                </c:pt>
                <c:pt idx="5">
                  <c:v>3.7647116</c:v>
                </c:pt>
                <c:pt idx="6">
                  <c:v>3.9188906000000001</c:v>
                </c:pt>
              </c:numCache>
            </c:numRef>
          </c:xVal>
          <c:yVal>
            <c:numRef>
              <c:f>'ASWING AERO'!$T$24:$T$39</c:f>
              <c:numCache>
                <c:formatCode>0.000</c:formatCode>
                <c:ptCount val="16"/>
                <c:pt idx="0">
                  <c:v>0</c:v>
                </c:pt>
                <c:pt idx="1">
                  <c:v>0.67500000000000004</c:v>
                </c:pt>
                <c:pt idx="2">
                  <c:v>1.3599999999999999</c:v>
                </c:pt>
                <c:pt idx="3">
                  <c:v>1.56</c:v>
                </c:pt>
                <c:pt idx="4">
                  <c:v>1.76</c:v>
                </c:pt>
                <c:pt idx="5">
                  <c:v>2.38</c:v>
                </c:pt>
                <c:pt idx="6">
                  <c:v>3</c:v>
                </c:pt>
              </c:numCache>
            </c:numRef>
          </c:yVal>
          <c:smooth val="0"/>
          <c:extLst>
            <c:ext xmlns:c16="http://schemas.microsoft.com/office/drawing/2014/chart" uri="{C3380CC4-5D6E-409C-BE32-E72D297353CC}">
              <c16:uniqueId val="{00000002-E1A6-44D8-9087-7BF852B4F144}"/>
            </c:ext>
          </c:extLst>
        </c:ser>
        <c:ser>
          <c:idx val="3"/>
          <c:order val="3"/>
          <c:tx>
            <c:v>Canard_TE</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'ASWING AERO'!$W$24:$W$39</c:f>
              <c:numCache>
                <c:formatCode>0.000</c:formatCode>
                <c:ptCount val="16"/>
                <c:pt idx="0">
                  <c:v>3.8228633999999997</c:v>
                </c:pt>
                <c:pt idx="1">
                  <c:v>3.9239682</c:v>
                </c:pt>
                <c:pt idx="2">
                  <c:v>4.0260571000000001</c:v>
                </c:pt>
                <c:pt idx="3">
                  <c:v>4.0547975000000003</c:v>
                </c:pt>
                <c:pt idx="4">
                  <c:v>4.0845326999999996</c:v>
                </c:pt>
                <c:pt idx="5">
                  <c:v>4.1767116</c:v>
                </c:pt>
                <c:pt idx="6">
                  <c:v>4.2688905999999998</c:v>
                </c:pt>
              </c:numCache>
            </c:numRef>
          </c:xVal>
          <c:yVal>
            <c:numRef>
              <c:f>'ASWING AERO'!$T$24:$T$39</c:f>
              <c:numCache>
                <c:formatCode>0.000</c:formatCode>
                <c:ptCount val="16"/>
                <c:pt idx="0">
                  <c:v>0</c:v>
                </c:pt>
                <c:pt idx="1">
                  <c:v>0.67500000000000004</c:v>
                </c:pt>
                <c:pt idx="2">
                  <c:v>1.3599999999999999</c:v>
                </c:pt>
                <c:pt idx="3">
                  <c:v>1.56</c:v>
                </c:pt>
                <c:pt idx="4">
                  <c:v>1.76</c:v>
                </c:pt>
                <c:pt idx="5">
                  <c:v>2.38</c:v>
                </c:pt>
                <c:pt idx="6">
                  <c:v>3</c:v>
                </c:pt>
              </c:numCache>
            </c:numRef>
          </c:yVal>
          <c:smooth val="0"/>
          <c:extLst>
            <c:ext xmlns:c16="http://schemas.microsoft.com/office/drawing/2014/chart" uri="{C3380CC4-5D6E-409C-BE32-E72D297353CC}">
              <c16:uniqueId val="{00000003-E1A6-44D8-9087-7BF852B4F144}"/>
            </c:ext>
          </c:extLst>
        </c:ser>
        <c:ser>
          <c:idx val="4"/>
          <c:order val="4"/>
          <c:tx>
            <c:v>Front Boom</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'ASWING STRUCT'!$Q$50:$Q$51</c:f>
              <c:numCache>
                <c:formatCode>General</c:formatCode>
                <c:ptCount val="2"/>
                <c:pt idx="0" formatCode="0.000">
                  <c:v>3.9188906000000001</c:v>
                </c:pt>
                <c:pt idx="1">
                  <c:v>9.3823767999999994</c:v>
                </c:pt>
              </c:numCache>
            </c:numRef>
          </c:xVal>
          <c:yVal>
            <c:numRef>
              <c:f>'ASWING STRUCT'!$R$50:$R$51</c:f>
              <c:numCache>
                <c:formatCode>General</c:formatCode>
                <c:ptCount val="2"/>
                <c:pt idx="0">
                  <c:v>1.56</c:v>
                </c:pt>
                <c:pt idx="1">
                  <c:v>1.56</c:v>
                </c:pt>
              </c:numCache>
            </c:numRef>
          </c:yVal>
          <c:smooth val="0"/>
          <c:extLst>
            <c:ext xmlns:c16="http://schemas.microsoft.com/office/drawing/2014/chart" uri="{C3380CC4-5D6E-409C-BE32-E72D297353CC}">
              <c16:uniqueId val="{00000005-E1A6-44D8-9087-7BF852B4F144}"/>
            </c:ext>
          </c:extLst>
        </c:ser>
        <c:ser>
          <c:idx val="5"/>
          <c:order val="5"/>
          <c:tx>
            <c:v>Rear Boom</c:v>
          </c:tx>
          <c:spPr>
            <a:ln w="19050" cap="rnd">
              <a:solidFill>
                <a:schemeClr val="accent6"/>
              </a:solidFill>
              <a:round/>
            </a:ln>
            <a:effectLst/>
          </c:spPr>
          <c:marker>
            <c:symbol val="circle"/>
            <c:size val="5"/>
            <c:spPr>
              <a:solidFill>
                <a:schemeClr val="accent6"/>
              </a:solidFill>
              <a:ln w="9525">
                <a:solidFill>
                  <a:schemeClr val="accent6"/>
                </a:solidFill>
              </a:ln>
              <a:effectLst/>
            </c:spPr>
          </c:marker>
          <c:xVal>
            <c:numRef>
              <c:f>'ASWING STRUCT'!$AA$50:$AA$51</c:f>
              <c:numCache>
                <c:formatCode>0.000</c:formatCode>
                <c:ptCount val="2"/>
                <c:pt idx="0" formatCode="General">
                  <c:v>9.3823767999999994</c:v>
                </c:pt>
                <c:pt idx="1">
                  <c:v>13.791</c:v>
                </c:pt>
              </c:numCache>
            </c:numRef>
          </c:xVal>
          <c:yVal>
            <c:numRef>
              <c:f>'ASWING STRUCT'!$AB$50:$AB$51</c:f>
              <c:numCache>
                <c:formatCode>0.000</c:formatCode>
                <c:ptCount val="2"/>
                <c:pt idx="0" formatCode="General">
                  <c:v>1.56</c:v>
                </c:pt>
                <c:pt idx="1">
                  <c:v>1.56</c:v>
                </c:pt>
              </c:numCache>
            </c:numRef>
          </c:yVal>
          <c:smooth val="0"/>
          <c:extLst>
            <c:ext xmlns:c16="http://schemas.microsoft.com/office/drawing/2014/chart" uri="{C3380CC4-5D6E-409C-BE32-E72D297353CC}">
              <c16:uniqueId val="{00000006-E1A6-44D8-9087-7BF852B4F144}"/>
            </c:ext>
          </c:extLst>
        </c:ser>
        <c:ser>
          <c:idx val="7"/>
          <c:order val="6"/>
          <c:tx>
            <c:v>Outboard Boom</c:v>
          </c:tx>
          <c:spPr>
            <a:ln w="19050"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xVal>
            <c:numRef>
              <c:f>'ASWING STRUCT'!$AK$50:$AK$51</c:f>
              <c:numCache>
                <c:formatCode>0.000</c:formatCode>
                <c:ptCount val="2"/>
                <c:pt idx="0">
                  <c:v>7.2210000000000001</c:v>
                </c:pt>
                <c:pt idx="1">
                  <c:v>12.224</c:v>
                </c:pt>
              </c:numCache>
            </c:numRef>
          </c:xVal>
          <c:yVal>
            <c:numRef>
              <c:f>'ASWING STRUCT'!$AL$50:$AL$51</c:f>
              <c:numCache>
                <c:formatCode>0.000</c:formatCode>
                <c:ptCount val="2"/>
                <c:pt idx="0">
                  <c:v>4.6100000000000003</c:v>
                </c:pt>
                <c:pt idx="1">
                  <c:v>4.6100000000000003</c:v>
                </c:pt>
              </c:numCache>
            </c:numRef>
          </c:yVal>
          <c:smooth val="0"/>
          <c:extLst>
            <c:ext xmlns:c16="http://schemas.microsoft.com/office/drawing/2014/chart" uri="{C3380CC4-5D6E-409C-BE32-E72D297353CC}">
              <c16:uniqueId val="{00000007-E1A6-44D8-9087-7BF852B4F144}"/>
            </c:ext>
          </c:extLst>
        </c:ser>
        <c:dLbls>
          <c:showLegendKey val="0"/>
          <c:showVal val="0"/>
          <c:showCatName val="0"/>
          <c:showSerName val="0"/>
          <c:showPercent val="0"/>
          <c:showBubbleSize val="0"/>
        </c:dLbls>
        <c:axId val="658251624"/>
        <c:axId val="658259904"/>
      </c:scatterChart>
      <c:valAx>
        <c:axId val="658251624"/>
        <c:scaling>
          <c:orientation val="minMax"/>
          <c:max val="14"/>
          <c:min val="3"/>
        </c:scaling>
        <c:delete val="0"/>
        <c:axPos val="b"/>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259904"/>
        <c:crosses val="autoZero"/>
        <c:crossBetween val="midCat"/>
      </c:valAx>
      <c:valAx>
        <c:axId val="658259904"/>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251624"/>
        <c:crosses val="autoZero"/>
        <c:crossBetween val="midCat"/>
      </c:valAx>
      <c:spPr>
        <a:noFill/>
        <a:ln>
          <a:noFill/>
        </a:ln>
        <a:effectLst/>
      </c:spPr>
    </c:plotArea>
    <c:legend>
      <c:legendPos val="r"/>
      <c:layout>
        <c:manualLayout>
          <c:xMode val="edge"/>
          <c:yMode val="edge"/>
          <c:x val="0.80341274280605635"/>
          <c:y val="0.32225968014196493"/>
          <c:w val="0.19658724223717847"/>
          <c:h val="0.5345502400435239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t>Vertical</a:t>
            </a:r>
            <a:br>
              <a:rPr lang="en-US" sz="1600"/>
            </a:br>
            <a:r>
              <a:rPr lang="en-US" sz="1600"/>
              <a:t>Stabilizer</a:t>
            </a:r>
            <a:br>
              <a:rPr lang="en-US" sz="1600"/>
            </a:br>
            <a:r>
              <a:rPr lang="en-US" sz="1600"/>
              <a:t>Plot</a:t>
            </a:r>
          </a:p>
        </c:rich>
      </c:tx>
      <c:layout>
        <c:manualLayout>
          <c:xMode val="edge"/>
          <c:yMode val="edge"/>
          <c:x val="0.82365290749291498"/>
          <c:y val="9.36936671082735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6175676127915712E-2"/>
          <c:y val="6.4431562905139281E-2"/>
          <c:w val="0.71716828692502832"/>
          <c:h val="0.84823397075365581"/>
        </c:manualLayout>
      </c:layout>
      <c:scatterChart>
        <c:scatterStyle val="lineMarker"/>
        <c:varyColors val="0"/>
        <c:ser>
          <c:idx val="6"/>
          <c:order val="0"/>
          <c:tx>
            <c:v>Leading Edge</c:v>
          </c:tx>
          <c:spPr>
            <a:ln w="19050"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xVal>
            <c:numRef>
              <c:f>'ASWING AERO'!$AM$24:$AM$32</c:f>
              <c:numCache>
                <c:formatCode>0.000</c:formatCode>
                <c:ptCount val="9"/>
                <c:pt idx="0">
                  <c:v>11.75</c:v>
                </c:pt>
                <c:pt idx="1">
                  <c:v>12.9</c:v>
                </c:pt>
              </c:numCache>
            </c:numRef>
          </c:xVal>
          <c:yVal>
            <c:numRef>
              <c:f>'ASWING AERO'!$AO$24:$AO$33</c:f>
              <c:numCache>
                <c:formatCode>0.000</c:formatCode>
                <c:ptCount val="10"/>
                <c:pt idx="0">
                  <c:v>3.9</c:v>
                </c:pt>
                <c:pt idx="1">
                  <c:v>2.5</c:v>
                </c:pt>
              </c:numCache>
            </c:numRef>
          </c:yVal>
          <c:smooth val="0"/>
          <c:extLst>
            <c:ext xmlns:c16="http://schemas.microsoft.com/office/drawing/2014/chart" uri="{C3380CC4-5D6E-409C-BE32-E72D297353CC}">
              <c16:uniqueId val="{00000000-596D-404F-A7D5-2097435604C2}"/>
            </c:ext>
          </c:extLst>
        </c:ser>
        <c:ser>
          <c:idx val="0"/>
          <c:order val="1"/>
          <c:tx>
            <c:v>Trailing Edge</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'ASWING AERO'!$AT$6:$AT$8</c:f>
              <c:numCache>
                <c:formatCode>General</c:formatCode>
                <c:ptCount val="3"/>
                <c:pt idx="0" formatCode="0.000">
                  <c:v>13.6</c:v>
                </c:pt>
                <c:pt idx="1">
                  <c:v>13.4</c:v>
                </c:pt>
                <c:pt idx="2">
                  <c:v>0</c:v>
                </c:pt>
              </c:numCache>
            </c:numRef>
          </c:xVal>
          <c:yVal>
            <c:numRef>
              <c:f>'ASWING AERO'!$AO$24:$AO$26</c:f>
              <c:numCache>
                <c:formatCode>0.000</c:formatCode>
                <c:ptCount val="3"/>
                <c:pt idx="0">
                  <c:v>3.9</c:v>
                </c:pt>
                <c:pt idx="1">
                  <c:v>2.5</c:v>
                </c:pt>
              </c:numCache>
            </c:numRef>
          </c:yVal>
          <c:smooth val="0"/>
          <c:extLst>
            <c:ext xmlns:c16="http://schemas.microsoft.com/office/drawing/2014/chart" uri="{C3380CC4-5D6E-409C-BE32-E72D297353CC}">
              <c16:uniqueId val="{00000001-596D-404F-A7D5-2097435604C2}"/>
            </c:ext>
          </c:extLst>
        </c:ser>
        <c:ser>
          <c:idx val="1"/>
          <c:order val="2"/>
          <c:tx>
            <c:v>Spar</c:v>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'ASWING AERO'!$AR$24:$AR$29</c:f>
              <c:numCache>
                <c:formatCode>0.000</c:formatCode>
                <c:ptCount val="6"/>
                <c:pt idx="0">
                  <c:v>13.3225</c:v>
                </c:pt>
                <c:pt idx="1">
                  <c:v>13.325000000000001</c:v>
                </c:pt>
              </c:numCache>
            </c:numRef>
          </c:xVal>
          <c:yVal>
            <c:numRef>
              <c:f>'ASWING AERO'!$AO$24:$AO$29</c:f>
              <c:numCache>
                <c:formatCode>0.000</c:formatCode>
                <c:ptCount val="6"/>
                <c:pt idx="0">
                  <c:v>3.9</c:v>
                </c:pt>
                <c:pt idx="1">
                  <c:v>2.5</c:v>
                </c:pt>
              </c:numCache>
            </c:numRef>
          </c:yVal>
          <c:smooth val="0"/>
          <c:extLst>
            <c:ext xmlns:c16="http://schemas.microsoft.com/office/drawing/2014/chart" uri="{C3380CC4-5D6E-409C-BE32-E72D297353CC}">
              <c16:uniqueId val="{00000002-596D-404F-A7D5-2097435604C2}"/>
            </c:ext>
          </c:extLst>
        </c:ser>
        <c:dLbls>
          <c:showLegendKey val="0"/>
          <c:showVal val="0"/>
          <c:showCatName val="0"/>
          <c:showSerName val="0"/>
          <c:showPercent val="0"/>
          <c:showBubbleSize val="0"/>
        </c:dLbls>
        <c:axId val="658251624"/>
        <c:axId val="658259904"/>
      </c:scatterChart>
      <c:valAx>
        <c:axId val="658251624"/>
        <c:scaling>
          <c:orientation val="minMax"/>
          <c:max val="14"/>
          <c:min val="10"/>
        </c:scaling>
        <c:delete val="0"/>
        <c:axPos val="b"/>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259904"/>
        <c:crosses val="autoZero"/>
        <c:crossBetween val="midCat"/>
      </c:valAx>
      <c:valAx>
        <c:axId val="658259904"/>
        <c:scaling>
          <c:orientation val="minMax"/>
          <c:min val="1.5"/>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251624"/>
        <c:crosses val="autoZero"/>
        <c:crossBetween val="midCat"/>
      </c:valAx>
      <c:spPr>
        <a:noFill/>
        <a:ln>
          <a:noFill/>
        </a:ln>
        <a:effectLst/>
      </c:spPr>
    </c:plotArea>
    <c:legend>
      <c:legendPos val="r"/>
      <c:layout>
        <c:manualLayout>
          <c:xMode val="edge"/>
          <c:yMode val="edge"/>
          <c:x val="0.80341277133563627"/>
          <c:y val="0.43757496273676305"/>
          <c:w val="0.15403296153711954"/>
          <c:h val="0.1824336575346080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t>Point</a:t>
            </a:r>
            <a:r>
              <a:rPr lang="en-US" sz="1600" baseline="0"/>
              <a:t> Mass Plot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8322915430912192E-2"/>
          <c:y val="8.1856478223837001E-2"/>
          <c:w val="0.67814340859845068"/>
          <c:h val="0.85522293985755093"/>
        </c:manualLayout>
      </c:layout>
      <c:scatterChart>
        <c:scatterStyle val="lineMarker"/>
        <c:varyColors val="0"/>
        <c:ser>
          <c:idx val="5"/>
          <c:order val="0"/>
          <c:tx>
            <c:v>Masses</c:v>
          </c:tx>
          <c:spPr>
            <a:ln w="25400" cap="rnd">
              <a:noFill/>
              <a:round/>
            </a:ln>
            <a:effectLst/>
          </c:spPr>
          <c:marker>
            <c:symbol val="star"/>
            <c:size val="5"/>
            <c:spPr>
              <a:noFill/>
              <a:ln w="101600">
                <a:solidFill>
                  <a:srgbClr val="C00000"/>
                </a:solidFill>
              </a:ln>
              <a:effectLst/>
            </c:spPr>
          </c:marker>
          <c:xVal>
            <c:numRef>
              <c:f>'ASWING STRUCT'!$E$52:$E$70</c:f>
              <c:numCache>
                <c:formatCode>0.000</c:formatCode>
                <c:ptCount val="19"/>
                <c:pt idx="0">
                  <c:v>6.95</c:v>
                </c:pt>
                <c:pt idx="1">
                  <c:v>7.65</c:v>
                </c:pt>
                <c:pt idx="2">
                  <c:v>8.35</c:v>
                </c:pt>
                <c:pt idx="3">
                  <c:v>9.0500000000000007</c:v>
                </c:pt>
                <c:pt idx="4">
                  <c:v>8.7769999999999992</c:v>
                </c:pt>
                <c:pt idx="5">
                  <c:v>8</c:v>
                </c:pt>
                <c:pt idx="6">
                  <c:v>4.13</c:v>
                </c:pt>
                <c:pt idx="7">
                  <c:v>4.13</c:v>
                </c:pt>
                <c:pt idx="8">
                  <c:v>7.2210000000000001</c:v>
                </c:pt>
                <c:pt idx="9">
                  <c:v>7.18</c:v>
                </c:pt>
                <c:pt idx="10">
                  <c:v>7.18</c:v>
                </c:pt>
                <c:pt idx="11">
                  <c:v>7.2210000000000001</c:v>
                </c:pt>
                <c:pt idx="12">
                  <c:v>12.224</c:v>
                </c:pt>
                <c:pt idx="13">
                  <c:v>12.010999999999999</c:v>
                </c:pt>
                <c:pt idx="14">
                  <c:v>12.010999999999999</c:v>
                </c:pt>
                <c:pt idx="15">
                  <c:v>12.224</c:v>
                </c:pt>
                <c:pt idx="16">
                  <c:v>13.791</c:v>
                </c:pt>
                <c:pt idx="17">
                  <c:v>13.791</c:v>
                </c:pt>
                <c:pt idx="18">
                  <c:v>8.0754385964912281</c:v>
                </c:pt>
              </c:numCache>
            </c:numRef>
          </c:xVal>
          <c:yVal>
            <c:numRef>
              <c:f>'ASWING STRUCT'!$F$52:$F$70</c:f>
              <c:numCache>
                <c:formatCode>0.000</c:formatCode>
                <c:ptCount val="19"/>
                <c:pt idx="0">
                  <c:v>0</c:v>
                </c:pt>
                <c:pt idx="1">
                  <c:v>0</c:v>
                </c:pt>
                <c:pt idx="2">
                  <c:v>0</c:v>
                </c:pt>
                <c:pt idx="3">
                  <c:v>0</c:v>
                </c:pt>
                <c:pt idx="4">
                  <c:v>0</c:v>
                </c:pt>
                <c:pt idx="5">
                  <c:v>0</c:v>
                </c:pt>
                <c:pt idx="6">
                  <c:v>-1.56</c:v>
                </c:pt>
                <c:pt idx="7">
                  <c:v>1.56</c:v>
                </c:pt>
                <c:pt idx="8">
                  <c:v>-4.6100000000000003</c:v>
                </c:pt>
                <c:pt idx="9">
                  <c:v>-1.56</c:v>
                </c:pt>
                <c:pt idx="10">
                  <c:v>1.56</c:v>
                </c:pt>
                <c:pt idx="11">
                  <c:v>4.6100000000000003</c:v>
                </c:pt>
                <c:pt idx="12">
                  <c:v>-4.6100000000000003</c:v>
                </c:pt>
                <c:pt idx="13">
                  <c:v>-1.56</c:v>
                </c:pt>
                <c:pt idx="14">
                  <c:v>1.56</c:v>
                </c:pt>
                <c:pt idx="15">
                  <c:v>4.6100000000000003</c:v>
                </c:pt>
                <c:pt idx="16">
                  <c:v>-1.56</c:v>
                </c:pt>
                <c:pt idx="17">
                  <c:v>1.56</c:v>
                </c:pt>
                <c:pt idx="18">
                  <c:v>2.3923444976076551E-2</c:v>
                </c:pt>
              </c:numCache>
            </c:numRef>
          </c:yVal>
          <c:smooth val="0"/>
          <c:extLst xmlns:c15="http://schemas.microsoft.com/office/drawing/2012/chart">
            <c:ext xmlns:c16="http://schemas.microsoft.com/office/drawing/2014/chart" uri="{C3380CC4-5D6E-409C-BE32-E72D297353CC}">
              <c16:uniqueId val="{00000000-F59F-41DB-A14B-E54698427976}"/>
            </c:ext>
          </c:extLst>
        </c:ser>
        <c:ser>
          <c:idx val="0"/>
          <c:order val="1"/>
          <c:tx>
            <c:v>Right Forward Boom</c:v>
          </c:tx>
          <c:spPr>
            <a:ln w="63500" cap="rnd">
              <a:solidFill>
                <a:schemeClr val="accent1"/>
              </a:solidFill>
              <a:round/>
            </a:ln>
            <a:effectLst/>
          </c:spPr>
          <c:marker>
            <c:symbol val="none"/>
          </c:marker>
          <c:xVal>
            <c:numRef>
              <c:f>'ASWING STRUCT'!$Q$50:$Q$51</c:f>
              <c:numCache>
                <c:formatCode>General</c:formatCode>
                <c:ptCount val="2"/>
                <c:pt idx="0" formatCode="0.000">
                  <c:v>3.9188906000000001</c:v>
                </c:pt>
                <c:pt idx="1">
                  <c:v>9.3823767999999994</c:v>
                </c:pt>
              </c:numCache>
            </c:numRef>
          </c:xVal>
          <c:yVal>
            <c:numRef>
              <c:f>'ASWING STRUCT'!$R$50:$R$51</c:f>
              <c:numCache>
                <c:formatCode>General</c:formatCode>
                <c:ptCount val="2"/>
                <c:pt idx="0">
                  <c:v>1.56</c:v>
                </c:pt>
                <c:pt idx="1">
                  <c:v>1.56</c:v>
                </c:pt>
              </c:numCache>
            </c:numRef>
          </c:yVal>
          <c:smooth val="0"/>
          <c:extLst>
            <c:ext xmlns:c16="http://schemas.microsoft.com/office/drawing/2014/chart" uri="{C3380CC4-5D6E-409C-BE32-E72D297353CC}">
              <c16:uniqueId val="{00000001-F59F-41DB-A14B-E54698427976}"/>
            </c:ext>
          </c:extLst>
        </c:ser>
        <c:ser>
          <c:idx val="1"/>
          <c:order val="2"/>
          <c:tx>
            <c:v>Left Forward Boom</c:v>
          </c:tx>
          <c:spPr>
            <a:ln w="63500" cap="rnd">
              <a:solidFill>
                <a:schemeClr val="accent2"/>
              </a:solidFill>
              <a:round/>
            </a:ln>
            <a:effectLst/>
          </c:spPr>
          <c:marker>
            <c:symbol val="none"/>
          </c:marker>
          <c:xVal>
            <c:numRef>
              <c:f>'ASWING STRUCT'!$V$50:$V$51</c:f>
              <c:numCache>
                <c:formatCode>General</c:formatCode>
                <c:ptCount val="2"/>
                <c:pt idx="0">
                  <c:v>3.9188906000000001</c:v>
                </c:pt>
                <c:pt idx="1">
                  <c:v>9.3823767999999994</c:v>
                </c:pt>
              </c:numCache>
            </c:numRef>
          </c:xVal>
          <c:yVal>
            <c:numRef>
              <c:f>'ASWING STRUCT'!$W$50:$W$51</c:f>
              <c:numCache>
                <c:formatCode>General</c:formatCode>
                <c:ptCount val="2"/>
                <c:pt idx="0">
                  <c:v>-1.56</c:v>
                </c:pt>
                <c:pt idx="1">
                  <c:v>-1.56</c:v>
                </c:pt>
              </c:numCache>
            </c:numRef>
          </c:yVal>
          <c:smooth val="0"/>
          <c:extLst>
            <c:ext xmlns:c16="http://schemas.microsoft.com/office/drawing/2014/chart" uri="{C3380CC4-5D6E-409C-BE32-E72D297353CC}">
              <c16:uniqueId val="{00000002-F59F-41DB-A14B-E54698427976}"/>
            </c:ext>
          </c:extLst>
        </c:ser>
        <c:ser>
          <c:idx val="2"/>
          <c:order val="3"/>
          <c:tx>
            <c:v>Back Right Boom</c:v>
          </c:tx>
          <c:spPr>
            <a:ln w="63500" cap="rnd">
              <a:solidFill>
                <a:schemeClr val="accent3"/>
              </a:solidFill>
              <a:round/>
            </a:ln>
            <a:effectLst/>
          </c:spPr>
          <c:marker>
            <c:symbol val="none"/>
          </c:marker>
          <c:xVal>
            <c:numRef>
              <c:f>'ASWING STRUCT'!$AA$50:$AA$51</c:f>
              <c:numCache>
                <c:formatCode>0.000</c:formatCode>
                <c:ptCount val="2"/>
                <c:pt idx="0" formatCode="General">
                  <c:v>9.3823767999999994</c:v>
                </c:pt>
                <c:pt idx="1">
                  <c:v>13.791</c:v>
                </c:pt>
              </c:numCache>
            </c:numRef>
          </c:xVal>
          <c:yVal>
            <c:numRef>
              <c:f>'ASWING STRUCT'!$AB$50:$AB$51</c:f>
              <c:numCache>
                <c:formatCode>0.000</c:formatCode>
                <c:ptCount val="2"/>
                <c:pt idx="0" formatCode="General">
                  <c:v>1.56</c:v>
                </c:pt>
                <c:pt idx="1">
                  <c:v>1.56</c:v>
                </c:pt>
              </c:numCache>
            </c:numRef>
          </c:yVal>
          <c:smooth val="0"/>
          <c:extLst>
            <c:ext xmlns:c16="http://schemas.microsoft.com/office/drawing/2014/chart" uri="{C3380CC4-5D6E-409C-BE32-E72D297353CC}">
              <c16:uniqueId val="{00000003-F59F-41DB-A14B-E54698427976}"/>
            </c:ext>
          </c:extLst>
        </c:ser>
        <c:ser>
          <c:idx val="3"/>
          <c:order val="4"/>
          <c:tx>
            <c:v>Back Left Boom</c:v>
          </c:tx>
          <c:spPr>
            <a:ln w="63500" cap="rnd">
              <a:solidFill>
                <a:schemeClr val="accent4"/>
              </a:solidFill>
              <a:round/>
            </a:ln>
            <a:effectLst/>
          </c:spPr>
          <c:marker>
            <c:symbol val="none"/>
          </c:marker>
          <c:xVal>
            <c:numRef>
              <c:f>'ASWING STRUCT'!$AF$50:$AF$51</c:f>
              <c:numCache>
                <c:formatCode>0.000</c:formatCode>
                <c:ptCount val="2"/>
                <c:pt idx="0" formatCode="General">
                  <c:v>9.3823767999999994</c:v>
                </c:pt>
                <c:pt idx="1">
                  <c:v>13.791</c:v>
                </c:pt>
              </c:numCache>
            </c:numRef>
          </c:xVal>
          <c:yVal>
            <c:numRef>
              <c:f>'ASWING STRUCT'!$AG$50:$AG$51</c:f>
              <c:numCache>
                <c:formatCode>General</c:formatCode>
                <c:ptCount val="2"/>
                <c:pt idx="0">
                  <c:v>-1.56</c:v>
                </c:pt>
                <c:pt idx="1">
                  <c:v>-1.56</c:v>
                </c:pt>
              </c:numCache>
            </c:numRef>
          </c:yVal>
          <c:smooth val="0"/>
          <c:extLst>
            <c:ext xmlns:c16="http://schemas.microsoft.com/office/drawing/2014/chart" uri="{C3380CC4-5D6E-409C-BE32-E72D297353CC}">
              <c16:uniqueId val="{00000004-F59F-41DB-A14B-E54698427976}"/>
            </c:ext>
          </c:extLst>
        </c:ser>
        <c:ser>
          <c:idx val="4"/>
          <c:order val="5"/>
          <c:tx>
            <c:v>Right Outside Boom</c:v>
          </c:tx>
          <c:spPr>
            <a:ln w="63500" cap="rnd">
              <a:solidFill>
                <a:schemeClr val="accent5"/>
              </a:solidFill>
              <a:round/>
            </a:ln>
            <a:effectLst/>
          </c:spPr>
          <c:marker>
            <c:symbol val="none"/>
          </c:marker>
          <c:xVal>
            <c:numRef>
              <c:f>'ASWING STRUCT'!$AK$50:$AK$51</c:f>
              <c:numCache>
                <c:formatCode>0.000</c:formatCode>
                <c:ptCount val="2"/>
                <c:pt idx="0">
                  <c:v>7.2210000000000001</c:v>
                </c:pt>
                <c:pt idx="1">
                  <c:v>12.224</c:v>
                </c:pt>
              </c:numCache>
            </c:numRef>
          </c:xVal>
          <c:yVal>
            <c:numRef>
              <c:f>'ASWING STRUCT'!$AL$50:$AL$51</c:f>
              <c:numCache>
                <c:formatCode>0.000</c:formatCode>
                <c:ptCount val="2"/>
                <c:pt idx="0">
                  <c:v>4.6100000000000003</c:v>
                </c:pt>
                <c:pt idx="1">
                  <c:v>4.6100000000000003</c:v>
                </c:pt>
              </c:numCache>
            </c:numRef>
          </c:yVal>
          <c:smooth val="0"/>
          <c:extLst>
            <c:ext xmlns:c16="http://schemas.microsoft.com/office/drawing/2014/chart" uri="{C3380CC4-5D6E-409C-BE32-E72D297353CC}">
              <c16:uniqueId val="{00000005-F59F-41DB-A14B-E54698427976}"/>
            </c:ext>
          </c:extLst>
        </c:ser>
        <c:ser>
          <c:idx val="6"/>
          <c:order val="6"/>
          <c:tx>
            <c:v>Left Outside Boom</c:v>
          </c:tx>
          <c:spPr>
            <a:ln w="63500" cap="rnd">
              <a:solidFill>
                <a:schemeClr val="accent1">
                  <a:lumMod val="60000"/>
                </a:schemeClr>
              </a:solidFill>
              <a:round/>
            </a:ln>
            <a:effectLst/>
          </c:spPr>
          <c:marker>
            <c:symbol val="none"/>
          </c:marker>
          <c:xVal>
            <c:numRef>
              <c:f>'ASWING STRUCT'!$AP$50:$AP$51</c:f>
              <c:numCache>
                <c:formatCode>General</c:formatCode>
                <c:ptCount val="2"/>
                <c:pt idx="0">
                  <c:v>7.2210000000000001</c:v>
                </c:pt>
                <c:pt idx="1">
                  <c:v>12.224</c:v>
                </c:pt>
              </c:numCache>
            </c:numRef>
          </c:xVal>
          <c:yVal>
            <c:numRef>
              <c:f>'ASWING STRUCT'!$AQ$50:$AQ$51</c:f>
              <c:numCache>
                <c:formatCode>General</c:formatCode>
                <c:ptCount val="2"/>
                <c:pt idx="0" formatCode="0.000">
                  <c:v>-4.6100000000000003</c:v>
                </c:pt>
                <c:pt idx="1">
                  <c:v>-4.6100000000000003</c:v>
                </c:pt>
              </c:numCache>
            </c:numRef>
          </c:yVal>
          <c:smooth val="0"/>
          <c:extLst>
            <c:ext xmlns:c16="http://schemas.microsoft.com/office/drawing/2014/chart" uri="{C3380CC4-5D6E-409C-BE32-E72D297353CC}">
              <c16:uniqueId val="{00000006-F59F-41DB-A14B-E54698427976}"/>
            </c:ext>
          </c:extLst>
        </c:ser>
        <c:dLbls>
          <c:showLegendKey val="0"/>
          <c:showVal val="0"/>
          <c:showCatName val="0"/>
          <c:showSerName val="0"/>
          <c:showPercent val="0"/>
          <c:showBubbleSize val="0"/>
        </c:dLbls>
        <c:axId val="658251624"/>
        <c:axId val="658259904"/>
      </c:scatterChart>
      <c:valAx>
        <c:axId val="658251624"/>
        <c:scaling>
          <c:orientation val="minMax"/>
          <c:min val="3"/>
        </c:scaling>
        <c:delete val="0"/>
        <c:axPos val="b"/>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259904"/>
        <c:crosses val="autoZero"/>
        <c:crossBetween val="midCat"/>
      </c:valAx>
      <c:valAx>
        <c:axId val="658259904"/>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251624"/>
        <c:crosses val="autoZero"/>
        <c:crossBetween val="midCat"/>
      </c:valAx>
      <c:spPr>
        <a:noFill/>
        <a:ln>
          <a:noFill/>
        </a:ln>
        <a:effectLst/>
      </c:spPr>
    </c:plotArea>
    <c:legend>
      <c:legendPos val="r"/>
      <c:layout>
        <c:manualLayout>
          <c:xMode val="edge"/>
          <c:yMode val="edge"/>
          <c:x val="0.79776791891747167"/>
          <c:y val="0.2538545316331739"/>
          <c:w val="0.19549888478122679"/>
          <c:h val="0.38962426780730985"/>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t>Point</a:t>
            </a:r>
            <a:r>
              <a:rPr lang="en-US" sz="1600" baseline="0"/>
              <a:t> Mass Plot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8322915430912192E-2"/>
          <c:y val="8.1856478223837001E-2"/>
          <c:w val="0.67814340859845068"/>
          <c:h val="0.85522293985755093"/>
        </c:manualLayout>
      </c:layout>
      <c:scatterChart>
        <c:scatterStyle val="lineMarker"/>
        <c:varyColors val="0"/>
        <c:ser>
          <c:idx val="5"/>
          <c:order val="0"/>
          <c:tx>
            <c:v>Masses</c:v>
          </c:tx>
          <c:spPr>
            <a:ln w="25400" cap="rnd">
              <a:noFill/>
              <a:round/>
            </a:ln>
            <a:effectLst/>
          </c:spPr>
          <c:marker>
            <c:symbol val="star"/>
            <c:size val="5"/>
            <c:spPr>
              <a:noFill/>
              <a:ln w="101600">
                <a:solidFill>
                  <a:srgbClr val="C00000"/>
                </a:solidFill>
              </a:ln>
              <a:effectLst/>
            </c:spPr>
          </c:marker>
          <c:xVal>
            <c:numRef>
              <c:f>'REF - ASWING STRUCT-Imperial'!$E$52:$E$70</c:f>
              <c:numCache>
                <c:formatCode>0.000</c:formatCode>
                <c:ptCount val="19"/>
                <c:pt idx="0">
                  <c:v>22.801838</c:v>
                </c:pt>
                <c:pt idx="1">
                  <c:v>25.098426</c:v>
                </c:pt>
                <c:pt idx="2">
                  <c:v>27.395014</c:v>
                </c:pt>
                <c:pt idx="3">
                  <c:v>29.691602000000003</c:v>
                </c:pt>
                <c:pt idx="4">
                  <c:v>28.795932679999996</c:v>
                </c:pt>
                <c:pt idx="5">
                  <c:v>26.24672</c:v>
                </c:pt>
                <c:pt idx="6">
                  <c:v>13.5498692</c:v>
                </c:pt>
                <c:pt idx="7">
                  <c:v>13.5498692</c:v>
                </c:pt>
                <c:pt idx="8">
                  <c:v>23.690945639999999</c:v>
                </c:pt>
                <c:pt idx="9">
                  <c:v>23.556431199999999</c:v>
                </c:pt>
                <c:pt idx="10">
                  <c:v>23.556431199999999</c:v>
                </c:pt>
                <c:pt idx="11">
                  <c:v>23.690945639999999</c:v>
                </c:pt>
                <c:pt idx="12">
                  <c:v>40.104988159999998</c:v>
                </c:pt>
                <c:pt idx="13">
                  <c:v>39.406169239999997</c:v>
                </c:pt>
                <c:pt idx="14">
                  <c:v>39.406169239999997</c:v>
                </c:pt>
                <c:pt idx="15">
                  <c:v>40.104988159999998</c:v>
                </c:pt>
                <c:pt idx="16">
                  <c:v>45.246064439999998</c:v>
                </c:pt>
                <c:pt idx="17">
                  <c:v>45.246064439999998</c:v>
                </c:pt>
                <c:pt idx="18">
                  <c:v>26.494221964912281</c:v>
                </c:pt>
              </c:numCache>
            </c:numRef>
          </c:xVal>
          <c:yVal>
            <c:numRef>
              <c:f>'REF - ASWING STRUCT-Imperial'!$F$52:$F$70</c:f>
              <c:numCache>
                <c:formatCode>0.000</c:formatCode>
                <c:ptCount val="19"/>
                <c:pt idx="0">
                  <c:v>0</c:v>
                </c:pt>
                <c:pt idx="1">
                  <c:v>0</c:v>
                </c:pt>
                <c:pt idx="2">
                  <c:v>0</c:v>
                </c:pt>
                <c:pt idx="3">
                  <c:v>0</c:v>
                </c:pt>
                <c:pt idx="4">
                  <c:v>0</c:v>
                </c:pt>
                <c:pt idx="5">
                  <c:v>0</c:v>
                </c:pt>
                <c:pt idx="6">
                  <c:v>-5.1181103999999999</c:v>
                </c:pt>
                <c:pt idx="7">
                  <c:v>5.1181103999999999</c:v>
                </c:pt>
                <c:pt idx="8">
                  <c:v>-15.124672400000001</c:v>
                </c:pt>
                <c:pt idx="9">
                  <c:v>-5.1181103999999999</c:v>
                </c:pt>
                <c:pt idx="10">
                  <c:v>5.1181103999999999</c:v>
                </c:pt>
                <c:pt idx="11">
                  <c:v>15.124672400000001</c:v>
                </c:pt>
                <c:pt idx="12">
                  <c:v>-15.124672400000001</c:v>
                </c:pt>
                <c:pt idx="13">
                  <c:v>-5.1181103999999999</c:v>
                </c:pt>
                <c:pt idx="14">
                  <c:v>5.1181103999999999</c:v>
                </c:pt>
                <c:pt idx="15">
                  <c:v>15.124672400000001</c:v>
                </c:pt>
                <c:pt idx="16">
                  <c:v>-5.1181103999999999</c:v>
                </c:pt>
                <c:pt idx="17">
                  <c:v>5.1181103999999999</c:v>
                </c:pt>
                <c:pt idx="18">
                  <c:v>7.8488995215310997E-2</c:v>
                </c:pt>
              </c:numCache>
            </c:numRef>
          </c:yVal>
          <c:smooth val="0"/>
          <c:extLst xmlns:c15="http://schemas.microsoft.com/office/drawing/2012/chart">
            <c:ext xmlns:c16="http://schemas.microsoft.com/office/drawing/2014/chart" uri="{C3380CC4-5D6E-409C-BE32-E72D297353CC}">
              <c16:uniqueId val="{00000005-48FA-4110-B7B7-F74B5BD22CB8}"/>
            </c:ext>
          </c:extLst>
        </c:ser>
        <c:ser>
          <c:idx val="0"/>
          <c:order val="1"/>
          <c:tx>
            <c:v>Right Forward Boom</c:v>
          </c:tx>
          <c:spPr>
            <a:ln w="63500" cap="rnd">
              <a:solidFill>
                <a:schemeClr val="accent1"/>
              </a:solidFill>
              <a:round/>
            </a:ln>
            <a:effectLst/>
          </c:spPr>
          <c:marker>
            <c:symbol val="none"/>
          </c:marker>
          <c:xVal>
            <c:numRef>
              <c:f>'REF - ASWING STRUCT-Imperial'!$Q$50:$Q$51</c:f>
              <c:numCache>
                <c:formatCode>General</c:formatCode>
                <c:ptCount val="2"/>
                <c:pt idx="0">
                  <c:v>12.857253036104</c:v>
                </c:pt>
                <c:pt idx="1">
                  <c:v>30.782077100511998</c:v>
                </c:pt>
              </c:numCache>
            </c:numRef>
          </c:xVal>
          <c:yVal>
            <c:numRef>
              <c:f>'REF - ASWING STRUCT-Imperial'!$R$50:$R$51</c:f>
              <c:numCache>
                <c:formatCode>General</c:formatCode>
                <c:ptCount val="2"/>
                <c:pt idx="0">
                  <c:v>5.1181103999999999</c:v>
                </c:pt>
                <c:pt idx="1">
                  <c:v>5.1181103999999999</c:v>
                </c:pt>
              </c:numCache>
            </c:numRef>
          </c:yVal>
          <c:smooth val="0"/>
          <c:extLst>
            <c:ext xmlns:c16="http://schemas.microsoft.com/office/drawing/2014/chart" uri="{C3380CC4-5D6E-409C-BE32-E72D297353CC}">
              <c16:uniqueId val="{00000006-48FA-4110-B7B7-F74B5BD22CB8}"/>
            </c:ext>
          </c:extLst>
        </c:ser>
        <c:ser>
          <c:idx val="1"/>
          <c:order val="2"/>
          <c:tx>
            <c:v>Left Forward Boom</c:v>
          </c:tx>
          <c:spPr>
            <a:ln w="63500" cap="rnd">
              <a:solidFill>
                <a:schemeClr val="accent2"/>
              </a:solidFill>
              <a:round/>
            </a:ln>
            <a:effectLst/>
          </c:spPr>
          <c:marker>
            <c:symbol val="none"/>
          </c:marker>
          <c:xVal>
            <c:numRef>
              <c:f>'REF - ASWING STRUCT-Imperial'!$V$50:$V$51</c:f>
              <c:numCache>
                <c:formatCode>General</c:formatCode>
                <c:ptCount val="2"/>
                <c:pt idx="0">
                  <c:v>12.857253036104</c:v>
                </c:pt>
                <c:pt idx="1">
                  <c:v>30.782077100511998</c:v>
                </c:pt>
              </c:numCache>
            </c:numRef>
          </c:xVal>
          <c:yVal>
            <c:numRef>
              <c:f>'REF - ASWING STRUCT-Imperial'!$W$50:$W$51</c:f>
              <c:numCache>
                <c:formatCode>General</c:formatCode>
                <c:ptCount val="2"/>
                <c:pt idx="0">
                  <c:v>-5.1181103999999999</c:v>
                </c:pt>
                <c:pt idx="1">
                  <c:v>-5.1181103999999999</c:v>
                </c:pt>
              </c:numCache>
            </c:numRef>
          </c:yVal>
          <c:smooth val="0"/>
          <c:extLst>
            <c:ext xmlns:c16="http://schemas.microsoft.com/office/drawing/2014/chart" uri="{C3380CC4-5D6E-409C-BE32-E72D297353CC}">
              <c16:uniqueId val="{00000007-48FA-4110-B7B7-F74B5BD22CB8}"/>
            </c:ext>
          </c:extLst>
        </c:ser>
        <c:ser>
          <c:idx val="2"/>
          <c:order val="3"/>
          <c:tx>
            <c:v>Back Right Boom</c:v>
          </c:tx>
          <c:spPr>
            <a:ln w="63500" cap="rnd">
              <a:solidFill>
                <a:schemeClr val="accent3"/>
              </a:solidFill>
              <a:round/>
            </a:ln>
            <a:effectLst/>
          </c:spPr>
          <c:marker>
            <c:symbol val="none"/>
          </c:marker>
          <c:xVal>
            <c:numRef>
              <c:f>'REF - ASWING STRUCT-Imperial'!$AA$50:$AA$51</c:f>
              <c:numCache>
                <c:formatCode>General</c:formatCode>
                <c:ptCount val="2"/>
                <c:pt idx="0">
                  <c:v>30.782077100511998</c:v>
                </c:pt>
                <c:pt idx="1">
                  <c:v>45.246064439999998</c:v>
                </c:pt>
              </c:numCache>
            </c:numRef>
          </c:xVal>
          <c:yVal>
            <c:numRef>
              <c:f>'REF - ASWING STRUCT-Imperial'!$AB$50:$AB$51</c:f>
              <c:numCache>
                <c:formatCode>General</c:formatCode>
                <c:ptCount val="2"/>
                <c:pt idx="0">
                  <c:v>5.1181103999999999</c:v>
                </c:pt>
                <c:pt idx="1">
                  <c:v>5.1181103999999999</c:v>
                </c:pt>
              </c:numCache>
            </c:numRef>
          </c:yVal>
          <c:smooth val="0"/>
          <c:extLst>
            <c:ext xmlns:c16="http://schemas.microsoft.com/office/drawing/2014/chart" uri="{C3380CC4-5D6E-409C-BE32-E72D297353CC}">
              <c16:uniqueId val="{00000008-48FA-4110-B7B7-F74B5BD22CB8}"/>
            </c:ext>
          </c:extLst>
        </c:ser>
        <c:ser>
          <c:idx val="3"/>
          <c:order val="4"/>
          <c:tx>
            <c:v>Back Left Boom</c:v>
          </c:tx>
          <c:spPr>
            <a:ln w="63500" cap="rnd">
              <a:solidFill>
                <a:schemeClr val="accent4"/>
              </a:solidFill>
              <a:round/>
            </a:ln>
            <a:effectLst/>
          </c:spPr>
          <c:marker>
            <c:symbol val="none"/>
          </c:marker>
          <c:xVal>
            <c:numRef>
              <c:f>'REF - ASWING STRUCT-Imperial'!$AF$50:$AF$51</c:f>
              <c:numCache>
                <c:formatCode>General</c:formatCode>
                <c:ptCount val="2"/>
                <c:pt idx="0">
                  <c:v>30.782077100511998</c:v>
                </c:pt>
                <c:pt idx="1">
                  <c:v>45.246064439999998</c:v>
                </c:pt>
              </c:numCache>
            </c:numRef>
          </c:xVal>
          <c:yVal>
            <c:numRef>
              <c:f>'REF - ASWING STRUCT-Imperial'!$AG$50:$AG$51</c:f>
              <c:numCache>
                <c:formatCode>General</c:formatCode>
                <c:ptCount val="2"/>
                <c:pt idx="0">
                  <c:v>-5.1181103999999999</c:v>
                </c:pt>
                <c:pt idx="1">
                  <c:v>-5.1181103999999999</c:v>
                </c:pt>
              </c:numCache>
            </c:numRef>
          </c:yVal>
          <c:smooth val="0"/>
          <c:extLst>
            <c:ext xmlns:c16="http://schemas.microsoft.com/office/drawing/2014/chart" uri="{C3380CC4-5D6E-409C-BE32-E72D297353CC}">
              <c16:uniqueId val="{00000009-48FA-4110-B7B7-F74B5BD22CB8}"/>
            </c:ext>
          </c:extLst>
        </c:ser>
        <c:ser>
          <c:idx val="4"/>
          <c:order val="5"/>
          <c:tx>
            <c:v>Right Outside Boom</c:v>
          </c:tx>
          <c:spPr>
            <a:ln w="63500" cap="rnd">
              <a:solidFill>
                <a:schemeClr val="accent5"/>
              </a:solidFill>
              <a:round/>
            </a:ln>
            <a:effectLst/>
          </c:spPr>
          <c:marker>
            <c:symbol val="none"/>
          </c:marker>
          <c:xVal>
            <c:numRef>
              <c:f>'REF - ASWING STRUCT-Imperial'!$AK$50:$AK$51</c:f>
              <c:numCache>
                <c:formatCode>General</c:formatCode>
                <c:ptCount val="2"/>
                <c:pt idx="0">
                  <c:v>23.690945639999999</c:v>
                </c:pt>
                <c:pt idx="1">
                  <c:v>40.104988159999998</c:v>
                </c:pt>
              </c:numCache>
            </c:numRef>
          </c:xVal>
          <c:yVal>
            <c:numRef>
              <c:f>'REF - ASWING STRUCT-Imperial'!$AL$50:$AL$51</c:f>
              <c:numCache>
                <c:formatCode>General</c:formatCode>
                <c:ptCount val="2"/>
                <c:pt idx="0">
                  <c:v>15.124672400000001</c:v>
                </c:pt>
                <c:pt idx="1">
                  <c:v>15.124672400000001</c:v>
                </c:pt>
              </c:numCache>
            </c:numRef>
          </c:yVal>
          <c:smooth val="0"/>
          <c:extLst>
            <c:ext xmlns:c16="http://schemas.microsoft.com/office/drawing/2014/chart" uri="{C3380CC4-5D6E-409C-BE32-E72D297353CC}">
              <c16:uniqueId val="{0000000A-48FA-4110-B7B7-F74B5BD22CB8}"/>
            </c:ext>
          </c:extLst>
        </c:ser>
        <c:ser>
          <c:idx val="6"/>
          <c:order val="6"/>
          <c:tx>
            <c:v>Left Outside Boom</c:v>
          </c:tx>
          <c:spPr>
            <a:ln w="63500" cap="rnd">
              <a:solidFill>
                <a:schemeClr val="accent1">
                  <a:lumMod val="60000"/>
                </a:schemeClr>
              </a:solidFill>
              <a:round/>
            </a:ln>
            <a:effectLst/>
          </c:spPr>
          <c:marker>
            <c:symbol val="none"/>
          </c:marker>
          <c:xVal>
            <c:numRef>
              <c:f>'REF - ASWING STRUCT-Imperial'!$AP$50:$AP$51</c:f>
              <c:numCache>
                <c:formatCode>General</c:formatCode>
                <c:ptCount val="2"/>
                <c:pt idx="0">
                  <c:v>23.690945639999999</c:v>
                </c:pt>
                <c:pt idx="1">
                  <c:v>40.104988159999998</c:v>
                </c:pt>
              </c:numCache>
            </c:numRef>
          </c:xVal>
          <c:yVal>
            <c:numRef>
              <c:f>'REF - ASWING STRUCT-Imperial'!$AQ$50:$AQ$51</c:f>
              <c:numCache>
                <c:formatCode>General</c:formatCode>
                <c:ptCount val="2"/>
                <c:pt idx="0">
                  <c:v>-15.124672400000001</c:v>
                </c:pt>
                <c:pt idx="1">
                  <c:v>-15.124672400000001</c:v>
                </c:pt>
              </c:numCache>
            </c:numRef>
          </c:yVal>
          <c:smooth val="0"/>
          <c:extLst>
            <c:ext xmlns:c16="http://schemas.microsoft.com/office/drawing/2014/chart" uri="{C3380CC4-5D6E-409C-BE32-E72D297353CC}">
              <c16:uniqueId val="{0000000B-48FA-4110-B7B7-F74B5BD22CB8}"/>
            </c:ext>
          </c:extLst>
        </c:ser>
        <c:dLbls>
          <c:showLegendKey val="0"/>
          <c:showVal val="0"/>
          <c:showCatName val="0"/>
          <c:showSerName val="0"/>
          <c:showPercent val="0"/>
          <c:showBubbleSize val="0"/>
        </c:dLbls>
        <c:axId val="658251624"/>
        <c:axId val="658259904"/>
      </c:scatterChart>
      <c:valAx>
        <c:axId val="658251624"/>
        <c:scaling>
          <c:orientation val="minMax"/>
          <c:max val="47"/>
          <c:min val="13"/>
        </c:scaling>
        <c:delete val="0"/>
        <c:axPos val="b"/>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259904"/>
        <c:crosses val="autoZero"/>
        <c:crossBetween val="midCat"/>
      </c:valAx>
      <c:valAx>
        <c:axId val="658259904"/>
        <c:scaling>
          <c:orientation val="minMax"/>
          <c:max val="16"/>
          <c:min val="-16"/>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251624"/>
        <c:crosses val="autoZero"/>
        <c:crossBetween val="midCat"/>
      </c:valAx>
      <c:spPr>
        <a:noFill/>
        <a:ln>
          <a:noFill/>
        </a:ln>
        <a:effectLst/>
      </c:spPr>
    </c:plotArea>
    <c:legend>
      <c:legendPos val="r"/>
      <c:layout>
        <c:manualLayout>
          <c:xMode val="edge"/>
          <c:yMode val="edge"/>
          <c:x val="0.79776791891747167"/>
          <c:y val="0.2538545316331739"/>
          <c:w val="0.19549888478122679"/>
          <c:h val="0.38962426780730985"/>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'REF - Shear Buckling'!$P$9</c:f>
              <c:strCache>
                <c:ptCount val="1"/>
                <c:pt idx="0">
                  <c:v>KM (table)</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3"/>
            <c:dispRSqr val="1"/>
            <c:dispEq val="1"/>
            <c:trendlineLbl>
              <c:layout>
                <c:manualLayout>
                  <c:x val="-0.21090266841644795"/>
                  <c:y val="7.4912146398366866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'REF - Shear Buckling'!$O$10:$O$14</c:f>
              <c:numCache>
                <c:formatCode>General</c:formatCode>
                <c:ptCount val="5"/>
                <c:pt idx="0">
                  <c:v>0</c:v>
                </c:pt>
                <c:pt idx="1">
                  <c:v>0.05</c:v>
                </c:pt>
                <c:pt idx="2">
                  <c:v>0.1</c:v>
                </c:pt>
                <c:pt idx="3">
                  <c:v>0.2</c:v>
                </c:pt>
                <c:pt idx="4">
                  <c:v>0.4</c:v>
                </c:pt>
              </c:numCache>
            </c:numRef>
          </c:xVal>
          <c:yVal>
            <c:numRef>
              <c:f>'REF - Shear Buckling'!$P$10:$P$14</c:f>
              <c:numCache>
                <c:formatCode>General</c:formatCode>
                <c:ptCount val="5"/>
                <c:pt idx="0">
                  <c:v>5.3</c:v>
                </c:pt>
                <c:pt idx="1">
                  <c:v>4.5</c:v>
                </c:pt>
                <c:pt idx="2">
                  <c:v>3.9</c:v>
                </c:pt>
                <c:pt idx="3">
                  <c:v>3.1</c:v>
                </c:pt>
                <c:pt idx="4">
                  <c:v>2.1</c:v>
                </c:pt>
              </c:numCache>
            </c:numRef>
          </c:yVal>
          <c:smooth val="0"/>
          <c:extLst>
            <c:ext xmlns:c16="http://schemas.microsoft.com/office/drawing/2014/chart" uri="{C3380CC4-5D6E-409C-BE32-E72D297353CC}">
              <c16:uniqueId val="{00000001-07B0-478A-BADE-6FCA7449E1DC}"/>
            </c:ext>
          </c:extLst>
        </c:ser>
        <c:dLbls>
          <c:showLegendKey val="0"/>
          <c:showVal val="0"/>
          <c:showCatName val="0"/>
          <c:showSerName val="0"/>
          <c:showPercent val="0"/>
          <c:showBubbleSize val="0"/>
        </c:dLbls>
        <c:axId val="401963272"/>
        <c:axId val="401963664"/>
      </c:scatterChart>
      <c:valAx>
        <c:axId val="4019632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963664"/>
        <c:crosses val="autoZero"/>
        <c:crossBetween val="midCat"/>
      </c:valAx>
      <c:valAx>
        <c:axId val="401963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96327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3" Type="http://schemas.openxmlformats.org/officeDocument/2006/relationships/image" Target="../media/image6.png"/><Relationship Id="rId7" Type="http://schemas.openxmlformats.org/officeDocument/2006/relationships/chart" Target="../charts/chart9.xml"/><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7.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0.xml.rels><?xml version="1.0" encoding="UTF-8" standalone="yes"?>
<Relationships xmlns="http://schemas.openxmlformats.org/package/2006/relationships"><Relationship Id="rId3" Type="http://schemas.openxmlformats.org/officeDocument/2006/relationships/image" Target="../media/image12.png"/><Relationship Id="rId7" Type="http://schemas.openxmlformats.org/officeDocument/2006/relationships/chart" Target="../charts/chart14.xml"/><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s>
</file>

<file path=xl/drawings/_rels/drawing11.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2.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5" Type="http://schemas.openxmlformats.org/officeDocument/2006/relationships/image" Target="../media/image20.png"/><Relationship Id="rId10" Type="http://schemas.openxmlformats.org/officeDocument/2006/relationships/image" Target="../media/image9.png"/><Relationship Id="rId4" Type="http://schemas.openxmlformats.org/officeDocument/2006/relationships/image" Target="../media/image19.png"/><Relationship Id="rId9"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editAs="oneCell">
    <xdr:from>
      <xdr:col>6</xdr:col>
      <xdr:colOff>459155</xdr:colOff>
      <xdr:row>7</xdr:row>
      <xdr:rowOff>97693</xdr:rowOff>
    </xdr:from>
    <xdr:to>
      <xdr:col>12</xdr:col>
      <xdr:colOff>601832</xdr:colOff>
      <xdr:row>18</xdr:row>
      <xdr:rowOff>29461</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4405" r="11467" b="22688"/>
        <a:stretch/>
      </xdr:blipFill>
      <xdr:spPr>
        <a:xfrm>
          <a:off x="7092463" y="1401885"/>
          <a:ext cx="3919757" cy="1988191"/>
        </a:xfrm>
        <a:prstGeom prst="rect">
          <a:avLst/>
        </a:prstGeom>
        <a:ln>
          <a:solidFill>
            <a:schemeClr val="tx1"/>
          </a:solidFill>
        </a:ln>
      </xdr:spPr>
    </xdr:pic>
    <xdr:clientData/>
  </xdr:twoCellAnchor>
  <xdr:twoCellAnchor editAs="oneCell">
    <xdr:from>
      <xdr:col>1</xdr:col>
      <xdr:colOff>82826</xdr:colOff>
      <xdr:row>78</xdr:row>
      <xdr:rowOff>66261</xdr:rowOff>
    </xdr:from>
    <xdr:to>
      <xdr:col>11</xdr:col>
      <xdr:colOff>115819</xdr:colOff>
      <xdr:row>100</xdr:row>
      <xdr:rowOff>33132</xdr:rowOff>
    </xdr:to>
    <xdr:pic>
      <xdr:nvPicPr>
        <xdr:cNvPr id="6" name="Picture 5">
          <a:extLst>
            <a:ext uri="{FF2B5EF4-FFF2-40B4-BE49-F238E27FC236}">
              <a16:creationId xmlns:a16="http://schemas.microsoft.com/office/drawing/2014/main" id="{7224F0CA-988B-3A41-62F6-39AB5B290840}"/>
            </a:ext>
          </a:extLst>
        </xdr:cNvPr>
        <xdr:cNvPicPr>
          <a:picLocks noChangeAspect="1"/>
        </xdr:cNvPicPr>
      </xdr:nvPicPr>
      <xdr:blipFill>
        <a:blip xmlns:r="http://schemas.openxmlformats.org/officeDocument/2006/relationships" r:embed="rId2"/>
        <a:stretch>
          <a:fillRect/>
        </a:stretch>
      </xdr:blipFill>
      <xdr:spPr>
        <a:xfrm>
          <a:off x="1200978" y="21543065"/>
          <a:ext cx="9466885" cy="41578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133351</xdr:colOff>
      <xdr:row>0</xdr:row>
      <xdr:rowOff>143808</xdr:rowOff>
    </xdr:from>
    <xdr:to>
      <xdr:col>13</xdr:col>
      <xdr:colOff>403413</xdr:colOff>
      <xdr:row>61</xdr:row>
      <xdr:rowOff>124758</xdr:rowOff>
    </xdr:to>
    <xdr:graphicFrame macro="">
      <xdr:nvGraphicFramePr>
        <xdr:cNvPr id="2" name="Chart 1">
          <a:extLst>
            <a:ext uri="{FF2B5EF4-FFF2-40B4-BE49-F238E27FC236}">
              <a16:creationId xmlns:a16="http://schemas.microsoft.com/office/drawing/2014/main" id="{B0F037F1-8548-4520-A7A0-B4B5114ECF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22087</xdr:colOff>
      <xdr:row>43</xdr:row>
      <xdr:rowOff>153821</xdr:rowOff>
    </xdr:from>
    <xdr:to>
      <xdr:col>22</xdr:col>
      <xdr:colOff>1471020</xdr:colOff>
      <xdr:row>58</xdr:row>
      <xdr:rowOff>153820</xdr:rowOff>
    </xdr:to>
    <xdr:grpSp>
      <xdr:nvGrpSpPr>
        <xdr:cNvPr id="8" name="Group 7">
          <a:extLst>
            <a:ext uri="{FF2B5EF4-FFF2-40B4-BE49-F238E27FC236}">
              <a16:creationId xmlns:a16="http://schemas.microsoft.com/office/drawing/2014/main" id="{5D5D6E3B-3510-9B7C-A134-91CF92C8AB98}"/>
            </a:ext>
          </a:extLst>
        </xdr:cNvPr>
        <xdr:cNvGrpSpPr/>
      </xdr:nvGrpSpPr>
      <xdr:grpSpPr>
        <a:xfrm>
          <a:off x="18731908" y="8644678"/>
          <a:ext cx="6935333" cy="2857499"/>
          <a:chOff x="22357522" y="8314951"/>
          <a:chExt cx="7197063" cy="2733260"/>
        </a:xfrm>
      </xdr:grpSpPr>
      <xdr:pic>
        <xdr:nvPicPr>
          <xdr:cNvPr id="3" name="Picture 2">
            <a:extLst>
              <a:ext uri="{FF2B5EF4-FFF2-40B4-BE49-F238E27FC236}">
                <a16:creationId xmlns:a16="http://schemas.microsoft.com/office/drawing/2014/main" id="{931D7252-6F1D-4439-8ED9-CC4E43BDAD00}"/>
              </a:ext>
            </a:extLst>
          </xdr:cNvPr>
          <xdr:cNvPicPr>
            <a:picLocks noChangeAspect="1"/>
          </xdr:cNvPicPr>
        </xdr:nvPicPr>
        <xdr:blipFill>
          <a:blip xmlns:r="http://schemas.openxmlformats.org/officeDocument/2006/relationships" r:embed="rId2"/>
          <a:stretch>
            <a:fillRect/>
          </a:stretch>
        </xdr:blipFill>
        <xdr:spPr>
          <a:xfrm>
            <a:off x="22357522" y="8314951"/>
            <a:ext cx="7197063" cy="2733260"/>
          </a:xfrm>
          <a:prstGeom prst="rect">
            <a:avLst/>
          </a:prstGeom>
          <a:ln>
            <a:solidFill>
              <a:schemeClr val="tx1"/>
            </a:solidFill>
          </a:ln>
        </xdr:spPr>
      </xdr:pic>
      <xdr:sp macro="" textlink="">
        <xdr:nvSpPr>
          <xdr:cNvPr id="4" name="Rectangle 3">
            <a:extLst>
              <a:ext uri="{FF2B5EF4-FFF2-40B4-BE49-F238E27FC236}">
                <a16:creationId xmlns:a16="http://schemas.microsoft.com/office/drawing/2014/main" id="{ABE6D7AF-2983-1239-D657-32ED357A7D87}"/>
              </a:ext>
            </a:extLst>
          </xdr:cNvPr>
          <xdr:cNvSpPr/>
        </xdr:nvSpPr>
        <xdr:spPr>
          <a:xfrm rot="20921104">
            <a:off x="23551781" y="9714599"/>
            <a:ext cx="463827" cy="131042"/>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 name="Rectangle 4">
            <a:extLst>
              <a:ext uri="{FF2B5EF4-FFF2-40B4-BE49-F238E27FC236}">
                <a16:creationId xmlns:a16="http://schemas.microsoft.com/office/drawing/2014/main" id="{F2FA431A-D942-46B4-AE72-958F082CB642}"/>
              </a:ext>
            </a:extLst>
          </xdr:cNvPr>
          <xdr:cNvSpPr/>
        </xdr:nvSpPr>
        <xdr:spPr>
          <a:xfrm rot="391268">
            <a:off x="23566136" y="10358434"/>
            <a:ext cx="463827" cy="131042"/>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 name="Rectangle 5">
            <a:extLst>
              <a:ext uri="{FF2B5EF4-FFF2-40B4-BE49-F238E27FC236}">
                <a16:creationId xmlns:a16="http://schemas.microsoft.com/office/drawing/2014/main" id="{A556F6EC-7420-46E7-8B41-C0A82C4221C9}"/>
              </a:ext>
            </a:extLst>
          </xdr:cNvPr>
          <xdr:cNvSpPr/>
        </xdr:nvSpPr>
        <xdr:spPr>
          <a:xfrm>
            <a:off x="23533009" y="9723434"/>
            <a:ext cx="199428" cy="19361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 name="Rectangle 6">
            <a:extLst>
              <a:ext uri="{FF2B5EF4-FFF2-40B4-BE49-F238E27FC236}">
                <a16:creationId xmlns:a16="http://schemas.microsoft.com/office/drawing/2014/main" id="{5CB9AA8B-AF05-4E46-8EFD-63CD454CB1C4}"/>
              </a:ext>
            </a:extLst>
          </xdr:cNvPr>
          <xdr:cNvSpPr/>
        </xdr:nvSpPr>
        <xdr:spPr>
          <a:xfrm>
            <a:off x="23536321" y="10334138"/>
            <a:ext cx="199428" cy="19361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133351</xdr:colOff>
      <xdr:row>0</xdr:row>
      <xdr:rowOff>143808</xdr:rowOff>
    </xdr:from>
    <xdr:to>
      <xdr:col>13</xdr:col>
      <xdr:colOff>403413</xdr:colOff>
      <xdr:row>61</xdr:row>
      <xdr:rowOff>124758</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0</xdr:colOff>
      <xdr:row>44</xdr:row>
      <xdr:rowOff>0</xdr:rowOff>
    </xdr:from>
    <xdr:to>
      <xdr:col>22</xdr:col>
      <xdr:colOff>1448933</xdr:colOff>
      <xdr:row>58</xdr:row>
      <xdr:rowOff>184149</xdr:rowOff>
    </xdr:to>
    <xdr:grpSp>
      <xdr:nvGrpSpPr>
        <xdr:cNvPr id="4" name="Group 3">
          <a:extLst>
            <a:ext uri="{FF2B5EF4-FFF2-40B4-BE49-F238E27FC236}">
              <a16:creationId xmlns:a16="http://schemas.microsoft.com/office/drawing/2014/main" id="{3D6148A1-4EC6-49AC-BCD8-B38B691660B8}"/>
            </a:ext>
          </a:extLst>
        </xdr:cNvPr>
        <xdr:cNvGrpSpPr/>
      </xdr:nvGrpSpPr>
      <xdr:grpSpPr>
        <a:xfrm>
          <a:off x="21364575" y="8591550"/>
          <a:ext cx="6944858" cy="2851149"/>
          <a:chOff x="22357522" y="8314951"/>
          <a:chExt cx="7197063" cy="2733260"/>
        </a:xfrm>
      </xdr:grpSpPr>
      <xdr:pic>
        <xdr:nvPicPr>
          <xdr:cNvPr id="5" name="Picture 4">
            <a:extLst>
              <a:ext uri="{FF2B5EF4-FFF2-40B4-BE49-F238E27FC236}">
                <a16:creationId xmlns:a16="http://schemas.microsoft.com/office/drawing/2014/main" id="{5ADCE2F7-ACFF-4922-C2CA-AF3DEFB371A7}"/>
              </a:ext>
            </a:extLst>
          </xdr:cNvPr>
          <xdr:cNvPicPr>
            <a:picLocks noChangeAspect="1"/>
          </xdr:cNvPicPr>
        </xdr:nvPicPr>
        <xdr:blipFill>
          <a:blip xmlns:r="http://schemas.openxmlformats.org/officeDocument/2006/relationships" r:embed="rId2"/>
          <a:stretch>
            <a:fillRect/>
          </a:stretch>
        </xdr:blipFill>
        <xdr:spPr>
          <a:xfrm>
            <a:off x="22357522" y="8314951"/>
            <a:ext cx="7197063" cy="2733260"/>
          </a:xfrm>
          <a:prstGeom prst="rect">
            <a:avLst/>
          </a:prstGeom>
          <a:ln>
            <a:solidFill>
              <a:schemeClr val="tx1"/>
            </a:solidFill>
          </a:ln>
        </xdr:spPr>
      </xdr:pic>
      <xdr:sp macro="" textlink="">
        <xdr:nvSpPr>
          <xdr:cNvPr id="6" name="Rectangle 5">
            <a:extLst>
              <a:ext uri="{FF2B5EF4-FFF2-40B4-BE49-F238E27FC236}">
                <a16:creationId xmlns:a16="http://schemas.microsoft.com/office/drawing/2014/main" id="{05587C83-665B-8C5E-EB4B-249A812BD2A6}"/>
              </a:ext>
            </a:extLst>
          </xdr:cNvPr>
          <xdr:cNvSpPr/>
        </xdr:nvSpPr>
        <xdr:spPr>
          <a:xfrm rot="20921104">
            <a:off x="23551781" y="9714599"/>
            <a:ext cx="463827" cy="131042"/>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 name="Rectangle 6">
            <a:extLst>
              <a:ext uri="{FF2B5EF4-FFF2-40B4-BE49-F238E27FC236}">
                <a16:creationId xmlns:a16="http://schemas.microsoft.com/office/drawing/2014/main" id="{ADC87899-AF84-B78A-5C4A-CC0331101A54}"/>
              </a:ext>
            </a:extLst>
          </xdr:cNvPr>
          <xdr:cNvSpPr/>
        </xdr:nvSpPr>
        <xdr:spPr>
          <a:xfrm rot="391268">
            <a:off x="23566136" y="10358434"/>
            <a:ext cx="463827" cy="131042"/>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 name="Rectangle 7">
            <a:extLst>
              <a:ext uri="{FF2B5EF4-FFF2-40B4-BE49-F238E27FC236}">
                <a16:creationId xmlns:a16="http://schemas.microsoft.com/office/drawing/2014/main" id="{9C6B7B36-CEC7-B260-9F65-913A4ECD7D06}"/>
              </a:ext>
            </a:extLst>
          </xdr:cNvPr>
          <xdr:cNvSpPr/>
        </xdr:nvSpPr>
        <xdr:spPr>
          <a:xfrm>
            <a:off x="23533009" y="9723434"/>
            <a:ext cx="199428" cy="19361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 name="Rectangle 8">
            <a:extLst>
              <a:ext uri="{FF2B5EF4-FFF2-40B4-BE49-F238E27FC236}">
                <a16:creationId xmlns:a16="http://schemas.microsoft.com/office/drawing/2014/main" id="{3FAC0130-B155-34CE-DF22-DF9241688171}"/>
              </a:ext>
            </a:extLst>
          </xdr:cNvPr>
          <xdr:cNvSpPr/>
        </xdr:nvSpPr>
        <xdr:spPr>
          <a:xfrm>
            <a:off x="23536321" y="10334138"/>
            <a:ext cx="199428" cy="19361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wsDr>
</file>

<file path=xl/drawings/drawing4.xml><?xml version="1.0" encoding="utf-8"?>
<xdr:wsDr xmlns:xdr="http://schemas.openxmlformats.org/drawingml/2006/spreadsheetDrawing" xmlns:a="http://schemas.openxmlformats.org/drawingml/2006/main">
  <xdr:twoCellAnchor>
    <xdr:from>
      <xdr:col>24</xdr:col>
      <xdr:colOff>69850</xdr:colOff>
      <xdr:row>16</xdr:row>
      <xdr:rowOff>6350</xdr:rowOff>
    </xdr:from>
    <xdr:to>
      <xdr:col>34</xdr:col>
      <xdr:colOff>552450</xdr:colOff>
      <xdr:row>40</xdr:row>
      <xdr:rowOff>171450</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0</xdr:colOff>
      <xdr:row>42</xdr:row>
      <xdr:rowOff>0</xdr:rowOff>
    </xdr:from>
    <xdr:to>
      <xdr:col>34</xdr:col>
      <xdr:colOff>482600</xdr:colOff>
      <xdr:row>66</xdr:row>
      <xdr:rowOff>165100</xdr:rowOff>
    </xdr:to>
    <xdr:graphicFrame macro="">
      <xdr:nvGraphicFramePr>
        <xdr:cNvPr id="3" name="Chart 2">
          <a:extLst>
            <a:ext uri="{FF2B5EF4-FFF2-40B4-BE49-F238E27FC236}">
              <a16:creationId xmlns:a16="http://schemas.microsoft.com/office/drawing/2014/main" id="{00000000-0008-0000-0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0</xdr:colOff>
      <xdr:row>68</xdr:row>
      <xdr:rowOff>0</xdr:rowOff>
    </xdr:from>
    <xdr:to>
      <xdr:col>34</xdr:col>
      <xdr:colOff>482600</xdr:colOff>
      <xdr:row>92</xdr:row>
      <xdr:rowOff>165100</xdr:rowOff>
    </xdr:to>
    <xdr:graphicFrame macro="">
      <xdr:nvGraphicFramePr>
        <xdr:cNvPr id="4" name="Chart 3">
          <a:extLst>
            <a:ext uri="{FF2B5EF4-FFF2-40B4-BE49-F238E27FC236}">
              <a16:creationId xmlns:a16="http://schemas.microsoft.com/office/drawing/2014/main" id="{00000000-0008-0000-0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268</xdr:col>
      <xdr:colOff>89647</xdr:colOff>
      <xdr:row>56</xdr:row>
      <xdr:rowOff>139224</xdr:rowOff>
    </xdr:from>
    <xdr:to>
      <xdr:col>283</xdr:col>
      <xdr:colOff>19695</xdr:colOff>
      <xdr:row>82</xdr:row>
      <xdr:rowOff>161739</xdr:rowOff>
    </xdr:to>
    <xdr:graphicFrame macro="">
      <xdr:nvGraphicFramePr>
        <xdr:cNvPr id="2" name="Chart 1">
          <a:extLst>
            <a:ext uri="{FF2B5EF4-FFF2-40B4-BE49-F238E27FC236}">
              <a16:creationId xmlns:a16="http://schemas.microsoft.com/office/drawing/2014/main" id="{00000000-0008-0000-0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268</xdr:col>
      <xdr:colOff>80816</xdr:colOff>
      <xdr:row>84</xdr:row>
      <xdr:rowOff>103910</xdr:rowOff>
    </xdr:from>
    <xdr:to>
      <xdr:col>283</xdr:col>
      <xdr:colOff>-1</xdr:colOff>
      <xdr:row>108</xdr:row>
      <xdr:rowOff>111125</xdr:rowOff>
    </xdr:to>
    <xdr:graphicFrame macro="">
      <xdr:nvGraphicFramePr>
        <xdr:cNvPr id="5" name="Chart 4">
          <a:extLst>
            <a:ext uri="{FF2B5EF4-FFF2-40B4-BE49-F238E27FC236}">
              <a16:creationId xmlns:a16="http://schemas.microsoft.com/office/drawing/2014/main" id="{00000000-0008-0000-03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268</xdr:col>
      <xdr:colOff>56282</xdr:colOff>
      <xdr:row>109</xdr:row>
      <xdr:rowOff>170296</xdr:rowOff>
    </xdr:from>
    <xdr:to>
      <xdr:col>283</xdr:col>
      <xdr:colOff>-1</xdr:colOff>
      <xdr:row>140</xdr:row>
      <xdr:rowOff>31750</xdr:rowOff>
    </xdr:to>
    <xdr:graphicFrame macro="">
      <xdr:nvGraphicFramePr>
        <xdr:cNvPr id="6" name="Chart 5">
          <a:extLst>
            <a:ext uri="{FF2B5EF4-FFF2-40B4-BE49-F238E27FC236}">
              <a16:creationId xmlns:a16="http://schemas.microsoft.com/office/drawing/2014/main" id="{00000000-0008-0000-03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39</xdr:col>
      <xdr:colOff>662213</xdr:colOff>
      <xdr:row>14</xdr:row>
      <xdr:rowOff>34471</xdr:rowOff>
    </xdr:from>
    <xdr:to>
      <xdr:col>46</xdr:col>
      <xdr:colOff>381000</xdr:colOff>
      <xdr:row>23</xdr:row>
      <xdr:rowOff>146034</xdr:rowOff>
    </xdr:to>
    <xdr:pic>
      <xdr:nvPicPr>
        <xdr:cNvPr id="2" name="Picture 1">
          <a:extLst>
            <a:ext uri="{FF2B5EF4-FFF2-40B4-BE49-F238E27FC236}">
              <a16:creationId xmlns:a16="http://schemas.microsoft.com/office/drawing/2014/main" id="{2D5D6254-203C-EFBC-A281-D134415F0EB2}"/>
            </a:ext>
          </a:extLst>
        </xdr:cNvPr>
        <xdr:cNvPicPr>
          <a:picLocks noChangeAspect="1"/>
        </xdr:cNvPicPr>
      </xdr:nvPicPr>
      <xdr:blipFill>
        <a:blip xmlns:r="http://schemas.openxmlformats.org/officeDocument/2006/relationships" r:embed="rId1"/>
        <a:stretch>
          <a:fillRect/>
        </a:stretch>
      </xdr:blipFill>
      <xdr:spPr>
        <a:xfrm>
          <a:off x="33390113" y="2625271"/>
          <a:ext cx="7033987" cy="1781613"/>
        </a:xfrm>
        <a:prstGeom prst="rect">
          <a:avLst/>
        </a:prstGeom>
      </xdr:spPr>
    </xdr:pic>
    <xdr:clientData/>
  </xdr:twoCellAnchor>
  <xdr:twoCellAnchor editAs="oneCell">
    <xdr:from>
      <xdr:col>38</xdr:col>
      <xdr:colOff>57150</xdr:colOff>
      <xdr:row>25</xdr:row>
      <xdr:rowOff>69850</xdr:rowOff>
    </xdr:from>
    <xdr:to>
      <xdr:col>41</xdr:col>
      <xdr:colOff>628650</xdr:colOff>
      <xdr:row>29</xdr:row>
      <xdr:rowOff>15240</xdr:rowOff>
    </xdr:to>
    <xdr:pic>
      <xdr:nvPicPr>
        <xdr:cNvPr id="3" name="Picture 2">
          <a:extLst>
            <a:ext uri="{FF2B5EF4-FFF2-40B4-BE49-F238E27FC236}">
              <a16:creationId xmlns:a16="http://schemas.microsoft.com/office/drawing/2014/main" id="{3DB52A6F-FBA6-B5A1-17C5-0276AEB3D910}"/>
            </a:ext>
          </a:extLst>
        </xdr:cNvPr>
        <xdr:cNvPicPr>
          <a:picLocks noChangeAspect="1"/>
        </xdr:cNvPicPr>
      </xdr:nvPicPr>
      <xdr:blipFill>
        <a:blip xmlns:r="http://schemas.openxmlformats.org/officeDocument/2006/relationships" r:embed="rId2"/>
        <a:stretch>
          <a:fillRect/>
        </a:stretch>
      </xdr:blipFill>
      <xdr:spPr>
        <a:xfrm>
          <a:off x="31115000" y="4699000"/>
          <a:ext cx="3600450" cy="681990"/>
        </a:xfrm>
        <a:prstGeom prst="rect">
          <a:avLst/>
        </a:prstGeom>
      </xdr:spPr>
    </xdr:pic>
    <xdr:clientData/>
  </xdr:twoCellAnchor>
  <xdr:twoCellAnchor editAs="oneCell">
    <xdr:from>
      <xdr:col>38</xdr:col>
      <xdr:colOff>57151</xdr:colOff>
      <xdr:row>30</xdr:row>
      <xdr:rowOff>50801</xdr:rowOff>
    </xdr:from>
    <xdr:to>
      <xdr:col>42</xdr:col>
      <xdr:colOff>552451</xdr:colOff>
      <xdr:row>34</xdr:row>
      <xdr:rowOff>2531</xdr:rowOff>
    </xdr:to>
    <xdr:pic>
      <xdr:nvPicPr>
        <xdr:cNvPr id="4" name="Picture 3">
          <a:extLst>
            <a:ext uri="{FF2B5EF4-FFF2-40B4-BE49-F238E27FC236}">
              <a16:creationId xmlns:a16="http://schemas.microsoft.com/office/drawing/2014/main" id="{C8AC6137-F4E6-55F7-9DB6-6F271E7185E8}"/>
            </a:ext>
          </a:extLst>
        </xdr:cNvPr>
        <xdr:cNvPicPr>
          <a:picLocks noChangeAspect="1"/>
        </xdr:cNvPicPr>
      </xdr:nvPicPr>
      <xdr:blipFill>
        <a:blip xmlns:r="http://schemas.openxmlformats.org/officeDocument/2006/relationships" r:embed="rId3"/>
        <a:stretch>
          <a:fillRect/>
        </a:stretch>
      </xdr:blipFill>
      <xdr:spPr>
        <a:xfrm>
          <a:off x="31115001" y="5600701"/>
          <a:ext cx="4451350" cy="701030"/>
        </a:xfrm>
        <a:prstGeom prst="rect">
          <a:avLst/>
        </a:prstGeom>
      </xdr:spPr>
    </xdr:pic>
    <xdr:clientData/>
  </xdr:twoCellAnchor>
  <xdr:twoCellAnchor editAs="oneCell">
    <xdr:from>
      <xdr:col>50</xdr:col>
      <xdr:colOff>82550</xdr:colOff>
      <xdr:row>30</xdr:row>
      <xdr:rowOff>31980</xdr:rowOff>
    </xdr:from>
    <xdr:to>
      <xdr:col>53</xdr:col>
      <xdr:colOff>552450</xdr:colOff>
      <xdr:row>33</xdr:row>
      <xdr:rowOff>152288</xdr:rowOff>
    </xdr:to>
    <xdr:pic>
      <xdr:nvPicPr>
        <xdr:cNvPr id="5" name="Picture 4">
          <a:extLst>
            <a:ext uri="{FF2B5EF4-FFF2-40B4-BE49-F238E27FC236}">
              <a16:creationId xmlns:a16="http://schemas.microsoft.com/office/drawing/2014/main" id="{0778A5AE-FC3A-528C-3621-DC0CCCF19976}"/>
            </a:ext>
          </a:extLst>
        </xdr:cNvPr>
        <xdr:cNvPicPr>
          <a:picLocks noChangeAspect="1"/>
        </xdr:cNvPicPr>
      </xdr:nvPicPr>
      <xdr:blipFill>
        <a:blip xmlns:r="http://schemas.openxmlformats.org/officeDocument/2006/relationships" r:embed="rId4"/>
        <a:stretch>
          <a:fillRect/>
        </a:stretch>
      </xdr:blipFill>
      <xdr:spPr>
        <a:xfrm>
          <a:off x="43300650" y="5581880"/>
          <a:ext cx="2413000" cy="679108"/>
        </a:xfrm>
        <a:prstGeom prst="rect">
          <a:avLst/>
        </a:prstGeom>
      </xdr:spPr>
    </xdr:pic>
    <xdr:clientData/>
  </xdr:twoCellAnchor>
  <xdr:twoCellAnchor editAs="oneCell">
    <xdr:from>
      <xdr:col>50</xdr:col>
      <xdr:colOff>158749</xdr:colOff>
      <xdr:row>38</xdr:row>
      <xdr:rowOff>104930</xdr:rowOff>
    </xdr:from>
    <xdr:to>
      <xdr:col>54</xdr:col>
      <xdr:colOff>95250</xdr:colOff>
      <xdr:row>40</xdr:row>
      <xdr:rowOff>69850</xdr:rowOff>
    </xdr:to>
    <xdr:pic>
      <xdr:nvPicPr>
        <xdr:cNvPr id="7" name="Picture 6">
          <a:extLst>
            <a:ext uri="{FF2B5EF4-FFF2-40B4-BE49-F238E27FC236}">
              <a16:creationId xmlns:a16="http://schemas.microsoft.com/office/drawing/2014/main" id="{9923CD29-3BE8-13DB-1484-7C458EEDE2D7}"/>
            </a:ext>
          </a:extLst>
        </xdr:cNvPr>
        <xdr:cNvPicPr>
          <a:picLocks noChangeAspect="1"/>
        </xdr:cNvPicPr>
      </xdr:nvPicPr>
      <xdr:blipFill rotWithShape="1">
        <a:blip xmlns:r="http://schemas.openxmlformats.org/officeDocument/2006/relationships" r:embed="rId5"/>
        <a:srcRect l="7328" b="16655"/>
        <a:stretch/>
      </xdr:blipFill>
      <xdr:spPr>
        <a:xfrm>
          <a:off x="43376849" y="7159780"/>
          <a:ext cx="2489201" cy="333220"/>
        </a:xfrm>
        <a:prstGeom prst="rect">
          <a:avLst/>
        </a:prstGeom>
      </xdr:spPr>
    </xdr:pic>
    <xdr:clientData/>
  </xdr:twoCellAnchor>
  <xdr:twoCellAnchor editAs="oneCell">
    <xdr:from>
      <xdr:col>40</xdr:col>
      <xdr:colOff>52296</xdr:colOff>
      <xdr:row>1</xdr:row>
      <xdr:rowOff>127000</xdr:rowOff>
    </xdr:from>
    <xdr:to>
      <xdr:col>45</xdr:col>
      <xdr:colOff>973373</xdr:colOff>
      <xdr:row>14</xdr:row>
      <xdr:rowOff>7471</xdr:rowOff>
    </xdr:to>
    <xdr:pic>
      <xdr:nvPicPr>
        <xdr:cNvPr id="8" name="Picture 7">
          <a:extLst>
            <a:ext uri="{FF2B5EF4-FFF2-40B4-BE49-F238E27FC236}">
              <a16:creationId xmlns:a16="http://schemas.microsoft.com/office/drawing/2014/main" id="{62E60E8B-D500-4E65-B8BF-33B87CF90433}"/>
            </a:ext>
          </a:extLst>
        </xdr:cNvPr>
        <xdr:cNvPicPr>
          <a:picLocks noChangeAspect="1"/>
        </xdr:cNvPicPr>
      </xdr:nvPicPr>
      <xdr:blipFill>
        <a:blip xmlns:r="http://schemas.openxmlformats.org/officeDocument/2006/relationships" r:embed="rId6"/>
        <a:stretch>
          <a:fillRect/>
        </a:stretch>
      </xdr:blipFill>
      <xdr:spPr>
        <a:xfrm>
          <a:off x="33886590" y="313765"/>
          <a:ext cx="6135548" cy="2323353"/>
        </a:xfrm>
        <a:prstGeom prst="rect">
          <a:avLst/>
        </a:prstGeom>
      </xdr:spPr>
    </xdr:pic>
    <xdr:clientData/>
  </xdr:twoCellAnchor>
  <xdr:twoCellAnchor>
    <xdr:from>
      <xdr:col>47</xdr:col>
      <xdr:colOff>880461</xdr:colOff>
      <xdr:row>0</xdr:row>
      <xdr:rowOff>0</xdr:rowOff>
    </xdr:from>
    <xdr:to>
      <xdr:col>57</xdr:col>
      <xdr:colOff>163285</xdr:colOff>
      <xdr:row>27</xdr:row>
      <xdr:rowOff>90714</xdr:rowOff>
    </xdr:to>
    <xdr:graphicFrame macro="">
      <xdr:nvGraphicFramePr>
        <xdr:cNvPr id="9" name="Chart 8">
          <a:extLst>
            <a:ext uri="{FF2B5EF4-FFF2-40B4-BE49-F238E27FC236}">
              <a16:creationId xmlns:a16="http://schemas.microsoft.com/office/drawing/2014/main" id="{0D05FFF8-B492-4028-982C-627B9D2CA1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561975</xdr:colOff>
      <xdr:row>0</xdr:row>
      <xdr:rowOff>0</xdr:rowOff>
    </xdr:from>
    <xdr:to>
      <xdr:col>18</xdr:col>
      <xdr:colOff>304800</xdr:colOff>
      <xdr:row>18</xdr:row>
      <xdr:rowOff>95251</xdr:rowOff>
    </xdr:to>
    <xdr:graphicFrame macro="">
      <xdr:nvGraphicFramePr>
        <xdr:cNvPr id="2" name="Chart 1">
          <a:extLst>
            <a:ext uri="{FF2B5EF4-FFF2-40B4-BE49-F238E27FC236}">
              <a16:creationId xmlns:a16="http://schemas.microsoft.com/office/drawing/2014/main" id="{6F5DEFF6-5AAE-488B-95DA-2EB9E79EB4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28</xdr:col>
      <xdr:colOff>1193800</xdr:colOff>
      <xdr:row>0</xdr:row>
      <xdr:rowOff>0</xdr:rowOff>
    </xdr:from>
    <xdr:to>
      <xdr:col>44</xdr:col>
      <xdr:colOff>79375</xdr:colOff>
      <xdr:row>18</xdr:row>
      <xdr:rowOff>95251</xdr:rowOff>
    </xdr:to>
    <xdr:graphicFrame macro="">
      <xdr:nvGraphicFramePr>
        <xdr:cNvPr id="3" name="Chart 2">
          <a:extLst>
            <a:ext uri="{FF2B5EF4-FFF2-40B4-BE49-F238E27FC236}">
              <a16:creationId xmlns:a16="http://schemas.microsoft.com/office/drawing/2014/main" id="{6FDDABC3-2D2D-4B5A-83CE-E633A4E5C4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15</xdr:col>
      <xdr:colOff>22411</xdr:colOff>
      <xdr:row>0</xdr:row>
      <xdr:rowOff>163285</xdr:rowOff>
    </xdr:from>
    <xdr:to>
      <xdr:col>30</xdr:col>
      <xdr:colOff>503464</xdr:colOff>
      <xdr:row>34</xdr:row>
      <xdr:rowOff>156882</xdr:rowOff>
    </xdr:to>
    <xdr:graphicFrame macro="">
      <xdr:nvGraphicFramePr>
        <xdr:cNvPr id="2" name="Chart 1">
          <a:extLst>
            <a:ext uri="{FF2B5EF4-FFF2-40B4-BE49-F238E27FC236}">
              <a16:creationId xmlns:a16="http://schemas.microsoft.com/office/drawing/2014/main" id="{4F8CA0FE-FAD5-4309-B7D9-1CD1C13607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14</xdr:col>
      <xdr:colOff>766082</xdr:colOff>
      <xdr:row>0</xdr:row>
      <xdr:rowOff>163285</xdr:rowOff>
    </xdr:from>
    <xdr:to>
      <xdr:col>30</xdr:col>
      <xdr:colOff>503465</xdr:colOff>
      <xdr:row>34</xdr:row>
      <xdr:rowOff>176892</xdr:rowOff>
    </xdr:to>
    <xdr:graphicFrame macro="">
      <xdr:nvGraphicFramePr>
        <xdr:cNvPr id="2" name="Chart 1">
          <a:extLst>
            <a:ext uri="{FF2B5EF4-FFF2-40B4-BE49-F238E27FC236}">
              <a16:creationId xmlns:a16="http://schemas.microsoft.com/office/drawing/2014/main" id="{1FB05CBF-CBC1-4648-879E-79CA1107FF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6351</xdr:colOff>
      <xdr:row>2</xdr:row>
      <xdr:rowOff>12700</xdr:rowOff>
    </xdr:from>
    <xdr:to>
      <xdr:col>2</xdr:col>
      <xdr:colOff>172428</xdr:colOff>
      <xdr:row>3</xdr:row>
      <xdr:rowOff>112002</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6351" y="381000"/>
          <a:ext cx="1409700" cy="283452"/>
        </a:xfrm>
        <a:prstGeom prst="rect">
          <a:avLst/>
        </a:prstGeom>
      </xdr:spPr>
    </xdr:pic>
    <xdr:clientData/>
  </xdr:twoCellAnchor>
  <xdr:twoCellAnchor editAs="oneCell">
    <xdr:from>
      <xdr:col>0</xdr:col>
      <xdr:colOff>31751</xdr:colOff>
      <xdr:row>3</xdr:row>
      <xdr:rowOff>139700</xdr:rowOff>
    </xdr:from>
    <xdr:to>
      <xdr:col>6</xdr:col>
      <xdr:colOff>229578</xdr:colOff>
      <xdr:row>7</xdr:row>
      <xdr:rowOff>176969</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a:stretch>
          <a:fillRect/>
        </a:stretch>
      </xdr:blipFill>
      <xdr:spPr>
        <a:xfrm>
          <a:off x="31751" y="692150"/>
          <a:ext cx="3879850" cy="773869"/>
        </a:xfrm>
        <a:prstGeom prst="rect">
          <a:avLst/>
        </a:prstGeom>
      </xdr:spPr>
    </xdr:pic>
    <xdr:clientData/>
  </xdr:twoCellAnchor>
  <xdr:twoCellAnchor editAs="oneCell">
    <xdr:from>
      <xdr:col>0</xdr:col>
      <xdr:colOff>0</xdr:colOff>
      <xdr:row>8</xdr:row>
      <xdr:rowOff>38100</xdr:rowOff>
    </xdr:from>
    <xdr:to>
      <xdr:col>2</xdr:col>
      <xdr:colOff>572477</xdr:colOff>
      <xdr:row>9</xdr:row>
      <xdr:rowOff>188873</xdr:rowOff>
    </xdr:to>
    <xdr:pic>
      <xdr:nvPicPr>
        <xdr:cNvPr id="4" name="Picture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3"/>
        <a:stretch>
          <a:fillRect/>
        </a:stretch>
      </xdr:blipFill>
      <xdr:spPr>
        <a:xfrm>
          <a:off x="0" y="1511300"/>
          <a:ext cx="1816100" cy="333457"/>
        </a:xfrm>
        <a:prstGeom prst="rect">
          <a:avLst/>
        </a:prstGeom>
      </xdr:spPr>
    </xdr:pic>
    <xdr:clientData/>
  </xdr:twoCellAnchor>
  <xdr:twoCellAnchor editAs="oneCell">
    <xdr:from>
      <xdr:col>0</xdr:col>
      <xdr:colOff>1</xdr:colOff>
      <xdr:row>9</xdr:row>
      <xdr:rowOff>177801</xdr:rowOff>
    </xdr:from>
    <xdr:to>
      <xdr:col>5</xdr:col>
      <xdr:colOff>563526</xdr:colOff>
      <xdr:row>32</xdr:row>
      <xdr:rowOff>63500</xdr:rowOff>
    </xdr:to>
    <xdr:pic>
      <xdr:nvPicPr>
        <xdr:cNvPr id="5" name="Picture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4"/>
        <a:stretch>
          <a:fillRect/>
        </a:stretch>
      </xdr:blipFill>
      <xdr:spPr>
        <a:xfrm>
          <a:off x="1" y="1848339"/>
          <a:ext cx="3640833" cy="4179276"/>
        </a:xfrm>
        <a:prstGeom prst="rect">
          <a:avLst/>
        </a:prstGeom>
      </xdr:spPr>
    </xdr:pic>
    <xdr:clientData/>
  </xdr:twoCellAnchor>
  <xdr:twoCellAnchor editAs="oneCell">
    <xdr:from>
      <xdr:col>0</xdr:col>
      <xdr:colOff>244231</xdr:colOff>
      <xdr:row>33</xdr:row>
      <xdr:rowOff>34194</xdr:rowOff>
    </xdr:from>
    <xdr:to>
      <xdr:col>5</xdr:col>
      <xdr:colOff>381001</xdr:colOff>
      <xdr:row>41</xdr:row>
      <xdr:rowOff>1106</xdr:rowOff>
    </xdr:to>
    <xdr:pic>
      <xdr:nvPicPr>
        <xdr:cNvPr id="6" name="Picture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5"/>
        <a:stretch>
          <a:fillRect/>
        </a:stretch>
      </xdr:blipFill>
      <xdr:spPr>
        <a:xfrm>
          <a:off x="244231" y="6159502"/>
          <a:ext cx="3214078" cy="1451835"/>
        </a:xfrm>
        <a:prstGeom prst="rect">
          <a:avLst/>
        </a:prstGeom>
      </xdr:spPr>
    </xdr:pic>
    <xdr:clientData/>
  </xdr:twoCellAnchor>
  <xdr:twoCellAnchor editAs="oneCell">
    <xdr:from>
      <xdr:col>6</xdr:col>
      <xdr:colOff>395165</xdr:colOff>
      <xdr:row>2</xdr:row>
      <xdr:rowOff>56172</xdr:rowOff>
    </xdr:from>
    <xdr:to>
      <xdr:col>13</xdr:col>
      <xdr:colOff>76228</xdr:colOff>
      <xdr:row>32</xdr:row>
      <xdr:rowOff>185615</xdr:rowOff>
    </xdr:to>
    <xdr:pic>
      <xdr:nvPicPr>
        <xdr:cNvPr id="7" name="Picture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6"/>
        <a:stretch>
          <a:fillRect/>
        </a:stretch>
      </xdr:blipFill>
      <xdr:spPr>
        <a:xfrm>
          <a:off x="4058627" y="427403"/>
          <a:ext cx="3955101" cy="5722327"/>
        </a:xfrm>
        <a:prstGeom prst="rect">
          <a:avLst/>
        </a:prstGeom>
      </xdr:spPr>
    </xdr:pic>
    <xdr:clientData/>
  </xdr:twoCellAnchor>
  <xdr:twoCellAnchor>
    <xdr:from>
      <xdr:col>13</xdr:col>
      <xdr:colOff>544634</xdr:colOff>
      <xdr:row>14</xdr:row>
      <xdr:rowOff>127974</xdr:rowOff>
    </xdr:from>
    <xdr:to>
      <xdr:col>21</xdr:col>
      <xdr:colOff>129442</xdr:colOff>
      <xdr:row>29</xdr:row>
      <xdr:rowOff>86943</xdr:rowOff>
    </xdr:to>
    <xdr:graphicFrame macro="">
      <xdr:nvGraphicFramePr>
        <xdr:cNvPr id="8" name="Chart 7">
          <a:extLst>
            <a:ext uri="{FF2B5EF4-FFF2-40B4-BE49-F238E27FC236}">
              <a16:creationId xmlns:a16="http://schemas.microsoft.com/office/drawing/2014/main" id="{00000000-0008-0000-07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3</xdr:row>
      <xdr:rowOff>19050</xdr:rowOff>
    </xdr:from>
    <xdr:to>
      <xdr:col>13</xdr:col>
      <xdr:colOff>567257</xdr:colOff>
      <xdr:row>23</xdr:row>
      <xdr:rowOff>78907</xdr:rowOff>
    </xdr:to>
    <xdr:pic>
      <xdr:nvPicPr>
        <xdr:cNvPr id="2" name="Picture 1">
          <a:extLst>
            <a:ext uri="{FF2B5EF4-FFF2-40B4-BE49-F238E27FC236}">
              <a16:creationId xmlns:a16="http://schemas.microsoft.com/office/drawing/2014/main" id="{4BD37277-3803-491C-A8F5-E3E2B1609E5A}"/>
            </a:ext>
          </a:extLst>
        </xdr:cNvPr>
        <xdr:cNvPicPr>
          <a:picLocks noChangeAspect="1"/>
        </xdr:cNvPicPr>
      </xdr:nvPicPr>
      <xdr:blipFill>
        <a:blip xmlns:r="http://schemas.openxmlformats.org/officeDocument/2006/relationships" r:embed="rId1"/>
        <a:stretch>
          <a:fillRect/>
        </a:stretch>
      </xdr:blipFill>
      <xdr:spPr>
        <a:xfrm>
          <a:off x="0" y="571500"/>
          <a:ext cx="8542857" cy="3742857"/>
        </a:xfrm>
        <a:prstGeom prst="rect">
          <a:avLst/>
        </a:prstGeom>
      </xdr:spPr>
    </xdr:pic>
    <xdr:clientData/>
  </xdr:twoCellAnchor>
  <xdr:twoCellAnchor editAs="oneCell">
    <xdr:from>
      <xdr:col>3</xdr:col>
      <xdr:colOff>514350</xdr:colOff>
      <xdr:row>23</xdr:row>
      <xdr:rowOff>88900</xdr:rowOff>
    </xdr:from>
    <xdr:to>
      <xdr:col>9</xdr:col>
      <xdr:colOff>218655</xdr:colOff>
      <xdr:row>30</xdr:row>
      <xdr:rowOff>56993</xdr:rowOff>
    </xdr:to>
    <xdr:pic>
      <xdr:nvPicPr>
        <xdr:cNvPr id="3" name="Picture 2">
          <a:extLst>
            <a:ext uri="{FF2B5EF4-FFF2-40B4-BE49-F238E27FC236}">
              <a16:creationId xmlns:a16="http://schemas.microsoft.com/office/drawing/2014/main" id="{06431591-5722-1420-1865-20167EC517AE}"/>
            </a:ext>
          </a:extLst>
        </xdr:cNvPr>
        <xdr:cNvPicPr>
          <a:picLocks noChangeAspect="1"/>
        </xdr:cNvPicPr>
      </xdr:nvPicPr>
      <xdr:blipFill>
        <a:blip xmlns:r="http://schemas.openxmlformats.org/officeDocument/2006/relationships" r:embed="rId2"/>
        <a:stretch>
          <a:fillRect/>
        </a:stretch>
      </xdr:blipFill>
      <xdr:spPr>
        <a:xfrm>
          <a:off x="2393950" y="4324350"/>
          <a:ext cx="3361905" cy="1257143"/>
        </a:xfrm>
        <a:prstGeom prst="rect">
          <a:avLst/>
        </a:prstGeom>
      </xdr:spPr>
    </xdr:pic>
    <xdr:clientData/>
  </xdr:twoCellAnchor>
  <xdr:twoCellAnchor editAs="oneCell">
    <xdr:from>
      <xdr:col>0</xdr:col>
      <xdr:colOff>38101</xdr:colOff>
      <xdr:row>31</xdr:row>
      <xdr:rowOff>0</xdr:rowOff>
    </xdr:from>
    <xdr:to>
      <xdr:col>13</xdr:col>
      <xdr:colOff>565151</xdr:colOff>
      <xdr:row>50</xdr:row>
      <xdr:rowOff>119900</xdr:rowOff>
    </xdr:to>
    <xdr:pic>
      <xdr:nvPicPr>
        <xdr:cNvPr id="4" name="Picture 3">
          <a:extLst>
            <a:ext uri="{FF2B5EF4-FFF2-40B4-BE49-F238E27FC236}">
              <a16:creationId xmlns:a16="http://schemas.microsoft.com/office/drawing/2014/main" id="{AC90CEE8-A8B1-4C94-954C-5251C7B1FB50}"/>
            </a:ext>
          </a:extLst>
        </xdr:cNvPr>
        <xdr:cNvPicPr>
          <a:picLocks noChangeAspect="1"/>
        </xdr:cNvPicPr>
      </xdr:nvPicPr>
      <xdr:blipFill>
        <a:blip xmlns:r="http://schemas.openxmlformats.org/officeDocument/2006/relationships" r:embed="rId3"/>
        <a:stretch>
          <a:fillRect/>
        </a:stretch>
      </xdr:blipFill>
      <xdr:spPr>
        <a:xfrm>
          <a:off x="38101" y="5708650"/>
          <a:ext cx="8502650" cy="3618750"/>
        </a:xfrm>
        <a:prstGeom prst="rect">
          <a:avLst/>
        </a:prstGeom>
      </xdr:spPr>
    </xdr:pic>
    <xdr:clientData/>
  </xdr:twoCellAnchor>
  <xdr:twoCellAnchor editAs="oneCell">
    <xdr:from>
      <xdr:col>0</xdr:col>
      <xdr:colOff>190500</xdr:colOff>
      <xdr:row>51</xdr:row>
      <xdr:rowOff>146050</xdr:rowOff>
    </xdr:from>
    <xdr:to>
      <xdr:col>14</xdr:col>
      <xdr:colOff>173167</xdr:colOff>
      <xdr:row>77</xdr:row>
      <xdr:rowOff>0</xdr:rowOff>
    </xdr:to>
    <xdr:pic>
      <xdr:nvPicPr>
        <xdr:cNvPr id="5" name="Picture 4">
          <a:extLst>
            <a:ext uri="{FF2B5EF4-FFF2-40B4-BE49-F238E27FC236}">
              <a16:creationId xmlns:a16="http://schemas.microsoft.com/office/drawing/2014/main" id="{939D665B-6F18-26A3-90BB-B48C67881932}"/>
            </a:ext>
          </a:extLst>
        </xdr:cNvPr>
        <xdr:cNvPicPr>
          <a:picLocks noChangeAspect="1"/>
        </xdr:cNvPicPr>
      </xdr:nvPicPr>
      <xdr:blipFill>
        <a:blip xmlns:r="http://schemas.openxmlformats.org/officeDocument/2006/relationships" r:embed="rId4"/>
        <a:stretch>
          <a:fillRect/>
        </a:stretch>
      </xdr:blipFill>
      <xdr:spPr>
        <a:xfrm>
          <a:off x="190500" y="9537700"/>
          <a:ext cx="8567867" cy="4641850"/>
        </a:xfrm>
        <a:prstGeom prst="rect">
          <a:avLst/>
        </a:prstGeom>
      </xdr:spPr>
    </xdr:pic>
    <xdr:clientData/>
  </xdr:twoCellAnchor>
  <xdr:twoCellAnchor editAs="oneCell">
    <xdr:from>
      <xdr:col>0</xdr:col>
      <xdr:colOff>330200</xdr:colOff>
      <xdr:row>78</xdr:row>
      <xdr:rowOff>88900</xdr:rowOff>
    </xdr:from>
    <xdr:to>
      <xdr:col>14</xdr:col>
      <xdr:colOff>32623</xdr:colOff>
      <xdr:row>111</xdr:row>
      <xdr:rowOff>36981</xdr:rowOff>
    </xdr:to>
    <xdr:pic>
      <xdr:nvPicPr>
        <xdr:cNvPr id="6" name="Picture 5">
          <a:extLst>
            <a:ext uri="{FF2B5EF4-FFF2-40B4-BE49-F238E27FC236}">
              <a16:creationId xmlns:a16="http://schemas.microsoft.com/office/drawing/2014/main" id="{F82B238A-B70F-BACD-58FF-255B4F1980B3}"/>
            </a:ext>
          </a:extLst>
        </xdr:cNvPr>
        <xdr:cNvPicPr>
          <a:picLocks noChangeAspect="1"/>
        </xdr:cNvPicPr>
      </xdr:nvPicPr>
      <xdr:blipFill>
        <a:blip xmlns:r="http://schemas.openxmlformats.org/officeDocument/2006/relationships" r:embed="rId5"/>
        <a:stretch>
          <a:fillRect/>
        </a:stretch>
      </xdr:blipFill>
      <xdr:spPr>
        <a:xfrm>
          <a:off x="330200" y="14452600"/>
          <a:ext cx="8287623" cy="6025031"/>
        </a:xfrm>
        <a:prstGeom prst="rect">
          <a:avLst/>
        </a:prstGeom>
      </xdr:spPr>
    </xdr:pic>
    <xdr:clientData/>
  </xdr:twoCellAnchor>
  <xdr:twoCellAnchor editAs="oneCell">
    <xdr:from>
      <xdr:col>17</xdr:col>
      <xdr:colOff>69850</xdr:colOff>
      <xdr:row>78</xdr:row>
      <xdr:rowOff>49434</xdr:rowOff>
    </xdr:from>
    <xdr:to>
      <xdr:col>28</xdr:col>
      <xdr:colOff>552450</xdr:colOff>
      <xdr:row>99</xdr:row>
      <xdr:rowOff>100851</xdr:rowOff>
    </xdr:to>
    <xdr:pic>
      <xdr:nvPicPr>
        <xdr:cNvPr id="7" name="Picture 6">
          <a:extLst>
            <a:ext uri="{FF2B5EF4-FFF2-40B4-BE49-F238E27FC236}">
              <a16:creationId xmlns:a16="http://schemas.microsoft.com/office/drawing/2014/main" id="{CB57E9B7-5567-3D3A-73C6-8F8AF3D5FE4B}"/>
            </a:ext>
          </a:extLst>
        </xdr:cNvPr>
        <xdr:cNvPicPr>
          <a:picLocks noChangeAspect="1"/>
        </xdr:cNvPicPr>
      </xdr:nvPicPr>
      <xdr:blipFill>
        <a:blip xmlns:r="http://schemas.openxmlformats.org/officeDocument/2006/relationships" r:embed="rId6"/>
        <a:stretch>
          <a:fillRect/>
        </a:stretch>
      </xdr:blipFill>
      <xdr:spPr>
        <a:xfrm>
          <a:off x="10483850" y="14413134"/>
          <a:ext cx="7188200" cy="3918567"/>
        </a:xfrm>
        <a:prstGeom prst="rect">
          <a:avLst/>
        </a:prstGeom>
      </xdr:spPr>
    </xdr:pic>
    <xdr:clientData/>
  </xdr:twoCellAnchor>
  <xdr:twoCellAnchor editAs="oneCell">
    <xdr:from>
      <xdr:col>14</xdr:col>
      <xdr:colOff>165100</xdr:colOff>
      <xdr:row>2</xdr:row>
      <xdr:rowOff>120650</xdr:rowOff>
    </xdr:from>
    <xdr:to>
      <xdr:col>31</xdr:col>
      <xdr:colOff>482600</xdr:colOff>
      <xdr:row>61</xdr:row>
      <xdr:rowOff>67552</xdr:rowOff>
    </xdr:to>
    <xdr:pic>
      <xdr:nvPicPr>
        <xdr:cNvPr id="8" name="Picture 7">
          <a:extLst>
            <a:ext uri="{FF2B5EF4-FFF2-40B4-BE49-F238E27FC236}">
              <a16:creationId xmlns:a16="http://schemas.microsoft.com/office/drawing/2014/main" id="{B9D423BE-0F4A-0AED-8ED2-A511D9EC8F26}"/>
            </a:ext>
          </a:extLst>
        </xdr:cNvPr>
        <xdr:cNvPicPr>
          <a:picLocks noChangeAspect="1"/>
        </xdr:cNvPicPr>
      </xdr:nvPicPr>
      <xdr:blipFill>
        <a:blip xmlns:r="http://schemas.openxmlformats.org/officeDocument/2006/relationships" r:embed="rId7"/>
        <a:stretch>
          <a:fillRect/>
        </a:stretch>
      </xdr:blipFill>
      <xdr:spPr>
        <a:xfrm>
          <a:off x="8750300" y="488950"/>
          <a:ext cx="10680700" cy="10811752"/>
        </a:xfrm>
        <a:prstGeom prst="rect">
          <a:avLst/>
        </a:prstGeom>
      </xdr:spPr>
    </xdr:pic>
    <xdr:clientData/>
  </xdr:twoCellAnchor>
  <xdr:twoCellAnchor editAs="oneCell">
    <xdr:from>
      <xdr:col>0</xdr:col>
      <xdr:colOff>215900</xdr:colOff>
      <xdr:row>112</xdr:row>
      <xdr:rowOff>101600</xdr:rowOff>
    </xdr:from>
    <xdr:to>
      <xdr:col>14</xdr:col>
      <xdr:colOff>285605</xdr:colOff>
      <xdr:row>176</xdr:row>
      <xdr:rowOff>57150</xdr:rowOff>
    </xdr:to>
    <xdr:pic>
      <xdr:nvPicPr>
        <xdr:cNvPr id="9" name="Picture 8">
          <a:extLst>
            <a:ext uri="{FF2B5EF4-FFF2-40B4-BE49-F238E27FC236}">
              <a16:creationId xmlns:a16="http://schemas.microsoft.com/office/drawing/2014/main" id="{32FD9E30-2A32-045F-983A-5987AA3E6D4E}"/>
            </a:ext>
          </a:extLst>
        </xdr:cNvPr>
        <xdr:cNvPicPr>
          <a:picLocks noChangeAspect="1"/>
        </xdr:cNvPicPr>
      </xdr:nvPicPr>
      <xdr:blipFill>
        <a:blip xmlns:r="http://schemas.openxmlformats.org/officeDocument/2006/relationships" r:embed="rId8"/>
        <a:stretch>
          <a:fillRect/>
        </a:stretch>
      </xdr:blipFill>
      <xdr:spPr>
        <a:xfrm>
          <a:off x="215900" y="20726400"/>
          <a:ext cx="8654905" cy="11741150"/>
        </a:xfrm>
        <a:prstGeom prst="rect">
          <a:avLst/>
        </a:prstGeom>
      </xdr:spPr>
    </xdr:pic>
    <xdr:clientData/>
  </xdr:twoCellAnchor>
  <xdr:twoCellAnchor editAs="oneCell">
    <xdr:from>
      <xdr:col>0</xdr:col>
      <xdr:colOff>374650</xdr:colOff>
      <xdr:row>177</xdr:row>
      <xdr:rowOff>44450</xdr:rowOff>
    </xdr:from>
    <xdr:to>
      <xdr:col>14</xdr:col>
      <xdr:colOff>78652</xdr:colOff>
      <xdr:row>236</xdr:row>
      <xdr:rowOff>101600</xdr:rowOff>
    </xdr:to>
    <xdr:pic>
      <xdr:nvPicPr>
        <xdr:cNvPr id="10" name="Picture 9">
          <a:extLst>
            <a:ext uri="{FF2B5EF4-FFF2-40B4-BE49-F238E27FC236}">
              <a16:creationId xmlns:a16="http://schemas.microsoft.com/office/drawing/2014/main" id="{912C22E9-DA13-52A0-11BE-F4CF38B62E8F}"/>
            </a:ext>
          </a:extLst>
        </xdr:cNvPr>
        <xdr:cNvPicPr>
          <a:picLocks noChangeAspect="1"/>
        </xdr:cNvPicPr>
      </xdr:nvPicPr>
      <xdr:blipFill>
        <a:blip xmlns:r="http://schemas.openxmlformats.org/officeDocument/2006/relationships" r:embed="rId9"/>
        <a:stretch>
          <a:fillRect/>
        </a:stretch>
      </xdr:blipFill>
      <xdr:spPr>
        <a:xfrm>
          <a:off x="374650" y="32639000"/>
          <a:ext cx="8289202" cy="10922000"/>
        </a:xfrm>
        <a:prstGeom prst="rect">
          <a:avLst/>
        </a:prstGeom>
      </xdr:spPr>
    </xdr:pic>
    <xdr:clientData/>
  </xdr:twoCellAnchor>
  <xdr:twoCellAnchor editAs="oneCell">
    <xdr:from>
      <xdr:col>9</xdr:col>
      <xdr:colOff>482600</xdr:colOff>
      <xdr:row>272</xdr:row>
      <xdr:rowOff>38100</xdr:rowOff>
    </xdr:from>
    <xdr:to>
      <xdr:col>30</xdr:col>
      <xdr:colOff>4809</xdr:colOff>
      <xdr:row>297</xdr:row>
      <xdr:rowOff>101017</xdr:rowOff>
    </xdr:to>
    <xdr:pic>
      <xdr:nvPicPr>
        <xdr:cNvPr id="11" name="Picture 10">
          <a:extLst>
            <a:ext uri="{FF2B5EF4-FFF2-40B4-BE49-F238E27FC236}">
              <a16:creationId xmlns:a16="http://schemas.microsoft.com/office/drawing/2014/main" id="{A8B91D57-3BD7-4A28-8FEC-8CDFE1F9E08C}"/>
            </a:ext>
          </a:extLst>
        </xdr:cNvPr>
        <xdr:cNvPicPr>
          <a:picLocks noChangeAspect="1"/>
        </xdr:cNvPicPr>
      </xdr:nvPicPr>
      <xdr:blipFill>
        <a:blip xmlns:r="http://schemas.openxmlformats.org/officeDocument/2006/relationships" r:embed="rId10"/>
        <a:stretch>
          <a:fillRect/>
        </a:stretch>
      </xdr:blipFill>
      <xdr:spPr>
        <a:xfrm>
          <a:off x="6578600" y="25266650"/>
          <a:ext cx="12323809" cy="466666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hyperlink" Target="https://web.mit.edu/drela/Public/web/aswing/"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9198CA-A97C-4AAA-9402-C486572FA6AA}">
  <dimension ref="A1:C17"/>
  <sheetViews>
    <sheetView workbookViewId="0">
      <selection activeCell="B32" sqref="B32"/>
    </sheetView>
  </sheetViews>
  <sheetFormatPr defaultRowHeight="15" x14ac:dyDescent="0.25"/>
  <cols>
    <col min="1" max="1" width="16.85546875" customWidth="1"/>
    <col min="2" max="2" width="14.140625" customWidth="1"/>
    <col min="3" max="3" width="72.85546875" bestFit="1" customWidth="1"/>
  </cols>
  <sheetData>
    <row r="1" spans="1:3" x14ac:dyDescent="0.25">
      <c r="A1" s="4" t="s">
        <v>602</v>
      </c>
      <c r="B1" s="4" t="s">
        <v>0</v>
      </c>
      <c r="C1" s="4" t="s">
        <v>414</v>
      </c>
    </row>
    <row r="2" spans="1:3" x14ac:dyDescent="0.25">
      <c r="A2" s="5">
        <v>20230327</v>
      </c>
      <c r="B2" t="s">
        <v>603</v>
      </c>
    </row>
    <row r="3" spans="1:3" x14ac:dyDescent="0.25">
      <c r="A3" s="5"/>
      <c r="C3" t="s">
        <v>604</v>
      </c>
    </row>
    <row r="4" spans="1:3" x14ac:dyDescent="0.25">
      <c r="A4" s="5">
        <v>20230410</v>
      </c>
      <c r="B4" t="s">
        <v>605</v>
      </c>
    </row>
    <row r="5" spans="1:3" x14ac:dyDescent="0.25">
      <c r="A5" s="5"/>
      <c r="C5" t="s">
        <v>754</v>
      </c>
    </row>
    <row r="6" spans="1:3" x14ac:dyDescent="0.25">
      <c r="A6" s="5"/>
      <c r="C6" t="s">
        <v>935</v>
      </c>
    </row>
    <row r="7" spans="1:3" x14ac:dyDescent="0.25">
      <c r="A7" s="5"/>
      <c r="C7" t="s">
        <v>606</v>
      </c>
    </row>
    <row r="8" spans="1:3" x14ac:dyDescent="0.25">
      <c r="A8" s="5"/>
      <c r="C8" t="s">
        <v>934</v>
      </c>
    </row>
    <row r="9" spans="1:3" x14ac:dyDescent="0.25">
      <c r="A9" s="5"/>
      <c r="C9" t="s">
        <v>936</v>
      </c>
    </row>
    <row r="10" spans="1:3" x14ac:dyDescent="0.25">
      <c r="A10" s="5"/>
      <c r="C10" t="s">
        <v>937</v>
      </c>
    </row>
    <row r="11" spans="1:3" x14ac:dyDescent="0.25">
      <c r="A11" s="5"/>
      <c r="C11" t="s">
        <v>933</v>
      </c>
    </row>
    <row r="12" spans="1:3" x14ac:dyDescent="0.25">
      <c r="A12" s="5">
        <v>20230420</v>
      </c>
      <c r="B12" t="s">
        <v>983</v>
      </c>
      <c r="C12" t="s">
        <v>985</v>
      </c>
    </row>
    <row r="13" spans="1:3" x14ac:dyDescent="0.25">
      <c r="A13" s="5"/>
      <c r="C13" t="s">
        <v>984</v>
      </c>
    </row>
    <row r="14" spans="1:3" x14ac:dyDescent="0.25">
      <c r="A14" s="5"/>
      <c r="C14" t="s">
        <v>986</v>
      </c>
    </row>
    <row r="15" spans="1:3" x14ac:dyDescent="0.25">
      <c r="A15" s="5"/>
      <c r="C15" t="s">
        <v>987</v>
      </c>
    </row>
    <row r="16" spans="1:3" x14ac:dyDescent="0.25">
      <c r="A16" s="5">
        <v>20230428</v>
      </c>
      <c r="B16" t="s">
        <v>1091</v>
      </c>
      <c r="C16" t="s">
        <v>1092</v>
      </c>
    </row>
    <row r="17" spans="3:3" x14ac:dyDescent="0.25">
      <c r="C17" t="s">
        <v>1093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78"/>
  <sheetViews>
    <sheetView topLeftCell="A41" zoomScale="115" zoomScaleNormal="115" workbookViewId="0">
      <selection activeCell="F49" sqref="F49"/>
    </sheetView>
  </sheetViews>
  <sheetFormatPr defaultRowHeight="15" x14ac:dyDescent="0.25"/>
  <cols>
    <col min="1" max="1" width="16.7109375" bestFit="1" customWidth="1"/>
    <col min="2" max="2" width="42.7109375" customWidth="1"/>
    <col min="3" max="3" width="19.42578125" customWidth="1"/>
    <col min="4" max="4" width="8.85546875" customWidth="1"/>
    <col min="5" max="5" width="14.42578125" bestFit="1" customWidth="1"/>
    <col min="6" max="6" width="8.140625" customWidth="1"/>
    <col min="10" max="10" width="10.28515625" bestFit="1" customWidth="1"/>
  </cols>
  <sheetData>
    <row r="1" spans="1:6" x14ac:dyDescent="0.25">
      <c r="A1" s="4" t="s">
        <v>507</v>
      </c>
      <c r="B1" s="31">
        <v>45044</v>
      </c>
    </row>
    <row r="2" spans="1:6" x14ac:dyDescent="0.25">
      <c r="A2" s="4"/>
      <c r="B2" s="31"/>
    </row>
    <row r="3" spans="1:6" x14ac:dyDescent="0.25">
      <c r="A3" s="4" t="s">
        <v>526</v>
      </c>
    </row>
    <row r="4" spans="1:6" x14ac:dyDescent="0.25">
      <c r="A4" s="4" t="s">
        <v>519</v>
      </c>
      <c r="B4" s="41" t="s">
        <v>1036</v>
      </c>
    </row>
    <row r="5" spans="1:6" x14ac:dyDescent="0.25">
      <c r="B5" s="41" t="s">
        <v>1034</v>
      </c>
    </row>
    <row r="6" spans="1:6" x14ac:dyDescent="0.25">
      <c r="B6" s="391" t="s">
        <v>1035</v>
      </c>
    </row>
    <row r="7" spans="1:6" ht="15.75" thickBot="1" x14ac:dyDescent="0.3"/>
    <row r="8" spans="1:6" ht="15.75" thickBot="1" x14ac:dyDescent="0.3">
      <c r="B8" s="373" t="s">
        <v>495</v>
      </c>
      <c r="C8" s="374" t="s">
        <v>496</v>
      </c>
      <c r="D8" s="402" t="s">
        <v>508</v>
      </c>
      <c r="E8" s="403" t="s">
        <v>496</v>
      </c>
      <c r="F8" s="397" t="s">
        <v>508</v>
      </c>
    </row>
    <row r="9" spans="1:6" x14ac:dyDescent="0.25">
      <c r="B9" s="383" t="s">
        <v>511</v>
      </c>
      <c r="C9" s="384">
        <v>18.746289999999998</v>
      </c>
      <c r="D9" s="392" t="s">
        <v>509</v>
      </c>
      <c r="E9" s="407">
        <f>C9*10.76391</f>
        <v>201.78337839389997</v>
      </c>
      <c r="F9" s="378" t="s">
        <v>524</v>
      </c>
    </row>
    <row r="10" spans="1:6" x14ac:dyDescent="0.25">
      <c r="B10" s="386" t="s">
        <v>512</v>
      </c>
      <c r="C10" s="387">
        <v>15.4</v>
      </c>
      <c r="D10" s="393" t="s">
        <v>510</v>
      </c>
      <c r="E10" s="407">
        <f>C10*3.28083</f>
        <v>50.524782000000002</v>
      </c>
      <c r="F10" s="378" t="s">
        <v>7</v>
      </c>
    </row>
    <row r="11" spans="1:6" x14ac:dyDescent="0.25">
      <c r="B11" s="386" t="s">
        <v>513</v>
      </c>
      <c r="C11" s="387">
        <v>1.28778576</v>
      </c>
      <c r="D11" s="393" t="s">
        <v>510</v>
      </c>
      <c r="E11" s="407">
        <f>C11*3.28083</f>
        <v>4.2250061549808002</v>
      </c>
      <c r="F11" s="378" t="s">
        <v>7</v>
      </c>
    </row>
    <row r="12" spans="1:6" ht="15.75" thickBot="1" x14ac:dyDescent="0.3">
      <c r="B12" s="399" t="s">
        <v>514</v>
      </c>
      <c r="C12" s="400" t="s">
        <v>1164</v>
      </c>
      <c r="D12" s="401" t="s">
        <v>510</v>
      </c>
      <c r="E12" s="353"/>
      <c r="F12" s="404" t="s">
        <v>7</v>
      </c>
    </row>
    <row r="13" spans="1:6" x14ac:dyDescent="0.25">
      <c r="B13" s="348" t="s">
        <v>497</v>
      </c>
      <c r="C13" s="376" t="s">
        <v>499</v>
      </c>
      <c r="D13" s="394"/>
      <c r="E13" s="382"/>
      <c r="F13" s="377"/>
    </row>
    <row r="14" spans="1:6" x14ac:dyDescent="0.25">
      <c r="B14" s="349" t="s">
        <v>498</v>
      </c>
      <c r="C14" s="141" t="s">
        <v>500</v>
      </c>
      <c r="D14" s="140"/>
      <c r="E14" s="349"/>
      <c r="F14" s="378"/>
    </row>
    <row r="15" spans="1:6" x14ac:dyDescent="0.25">
      <c r="B15" s="349"/>
      <c r="C15" s="141" t="s">
        <v>501</v>
      </c>
      <c r="D15" s="140"/>
      <c r="E15" s="349"/>
      <c r="F15" s="378"/>
    </row>
    <row r="16" spans="1:6" x14ac:dyDescent="0.25">
      <c r="B16" s="349"/>
      <c r="C16" s="141" t="s">
        <v>502</v>
      </c>
      <c r="D16" s="140"/>
      <c r="E16" s="349"/>
      <c r="F16" s="378"/>
    </row>
    <row r="17" spans="2:6" ht="15.75" thickBot="1" x14ac:dyDescent="0.3">
      <c r="B17" s="350" t="s">
        <v>503</v>
      </c>
      <c r="C17" s="380" t="s">
        <v>504</v>
      </c>
      <c r="D17" s="395"/>
      <c r="E17" s="379"/>
      <c r="F17" s="381"/>
    </row>
    <row r="18" spans="2:6" x14ac:dyDescent="0.25">
      <c r="B18" s="398" t="s">
        <v>505</v>
      </c>
      <c r="C18" s="155">
        <v>55</v>
      </c>
      <c r="D18" s="9" t="s">
        <v>525</v>
      </c>
      <c r="E18" s="398">
        <v>105</v>
      </c>
      <c r="F18" s="405" t="s">
        <v>523</v>
      </c>
    </row>
    <row r="19" spans="2:6" ht="15.75" thickBot="1" x14ac:dyDescent="0.3">
      <c r="B19" s="379" t="s">
        <v>506</v>
      </c>
      <c r="C19" s="380"/>
      <c r="D19" s="395"/>
      <c r="E19" s="379">
        <v>1000</v>
      </c>
      <c r="F19" s="381" t="s">
        <v>7</v>
      </c>
    </row>
    <row r="20" spans="2:6" ht="15.75" thickBot="1" x14ac:dyDescent="0.3"/>
    <row r="21" spans="2:6" ht="15.75" thickBot="1" x14ac:dyDescent="0.3">
      <c r="B21" s="373" t="s">
        <v>515</v>
      </c>
      <c r="C21" s="374" t="s">
        <v>496</v>
      </c>
      <c r="D21" s="375" t="s">
        <v>508</v>
      </c>
    </row>
    <row r="22" spans="2:6" x14ac:dyDescent="0.25">
      <c r="B22" s="349" t="s">
        <v>516</v>
      </c>
      <c r="C22" s="141">
        <v>0.6</v>
      </c>
      <c r="D22" s="378" t="s">
        <v>14</v>
      </c>
    </row>
    <row r="23" spans="2:6" x14ac:dyDescent="0.25">
      <c r="B23" s="349" t="s">
        <v>517</v>
      </c>
      <c r="C23" s="141">
        <v>0.8</v>
      </c>
      <c r="D23" s="378" t="s">
        <v>14</v>
      </c>
      <c r="E23" s="2"/>
    </row>
    <row r="24" spans="2:6" ht="15.75" thickBot="1" x14ac:dyDescent="0.3">
      <c r="B24" s="379" t="s">
        <v>518</v>
      </c>
      <c r="C24" s="380">
        <v>0.2</v>
      </c>
      <c r="D24" s="381" t="s">
        <v>14</v>
      </c>
      <c r="E24" s="2"/>
    </row>
    <row r="25" spans="2:6" ht="15.75" thickBot="1" x14ac:dyDescent="0.3">
      <c r="E25" s="2"/>
    </row>
    <row r="26" spans="2:6" ht="15.75" thickBot="1" x14ac:dyDescent="0.3">
      <c r="B26" s="373" t="s">
        <v>528</v>
      </c>
      <c r="C26" s="374" t="s">
        <v>496</v>
      </c>
      <c r="D26" s="375" t="s">
        <v>508</v>
      </c>
      <c r="E26" s="2"/>
    </row>
    <row r="27" spans="2:6" x14ac:dyDescent="0.25">
      <c r="B27" s="349" t="s">
        <v>555</v>
      </c>
      <c r="C27" s="141">
        <v>1.85</v>
      </c>
      <c r="D27" s="378" t="s">
        <v>14</v>
      </c>
      <c r="E27" s="2"/>
    </row>
    <row r="28" spans="2:6" x14ac:dyDescent="0.25">
      <c r="B28" s="349"/>
      <c r="C28" s="141">
        <v>-1.55</v>
      </c>
      <c r="D28" s="378" t="s">
        <v>14</v>
      </c>
      <c r="E28" s="2"/>
    </row>
    <row r="29" spans="2:6" x14ac:dyDescent="0.25">
      <c r="B29" s="349" t="s">
        <v>554</v>
      </c>
      <c r="C29" s="141">
        <v>2.25</v>
      </c>
      <c r="D29" s="378" t="s">
        <v>14</v>
      </c>
      <c r="E29" s="2"/>
    </row>
    <row r="30" spans="2:6" x14ac:dyDescent="0.25">
      <c r="B30" s="349"/>
      <c r="C30" s="141">
        <v>-1.65</v>
      </c>
      <c r="D30" s="378" t="s">
        <v>14</v>
      </c>
      <c r="E30" s="2"/>
    </row>
    <row r="31" spans="2:6" x14ac:dyDescent="0.25">
      <c r="B31" s="349" t="s">
        <v>553</v>
      </c>
      <c r="C31" s="141">
        <v>1.4</v>
      </c>
      <c r="D31" s="378" t="s">
        <v>14</v>
      </c>
      <c r="E31" s="2"/>
    </row>
    <row r="32" spans="2:6" ht="15.75" thickBot="1" x14ac:dyDescent="0.3">
      <c r="B32" s="379"/>
      <c r="C32" s="380">
        <v>-1.4</v>
      </c>
      <c r="D32" s="381" t="s">
        <v>14</v>
      </c>
      <c r="E32" s="2"/>
    </row>
    <row r="33" spans="1:10" x14ac:dyDescent="0.25">
      <c r="E33" s="2"/>
    </row>
    <row r="34" spans="1:10" x14ac:dyDescent="0.25">
      <c r="A34" s="4" t="s">
        <v>527</v>
      </c>
    </row>
    <row r="35" spans="1:10" x14ac:dyDescent="0.25">
      <c r="A35" s="4" t="s">
        <v>519</v>
      </c>
      <c r="B35" s="41"/>
    </row>
    <row r="36" spans="1:10" x14ac:dyDescent="0.25">
      <c r="B36" s="41"/>
      <c r="J36" s="560"/>
    </row>
    <row r="37" spans="1:10" ht="15.75" thickBot="1" x14ac:dyDescent="0.3">
      <c r="J37" s="814"/>
    </row>
    <row r="38" spans="1:10" ht="15.75" thickBot="1" x14ac:dyDescent="0.3">
      <c r="B38" s="403" t="s">
        <v>1035</v>
      </c>
      <c r="C38" s="396" t="s">
        <v>496</v>
      </c>
      <c r="D38" s="406" t="s">
        <v>508</v>
      </c>
      <c r="E38" s="403" t="s">
        <v>496</v>
      </c>
      <c r="F38" s="397" t="s">
        <v>508</v>
      </c>
      <c r="J38" s="814"/>
    </row>
    <row r="39" spans="1:10" ht="15.75" thickBot="1" x14ac:dyDescent="0.3">
      <c r="B39" s="720" t="s">
        <v>521</v>
      </c>
      <c r="C39" s="721">
        <v>2318</v>
      </c>
      <c r="D39" s="722" t="s">
        <v>522</v>
      </c>
      <c r="E39" s="723">
        <f>C39*2.20462</f>
        <v>5110.3091599999998</v>
      </c>
      <c r="F39" s="724" t="s">
        <v>17</v>
      </c>
      <c r="J39" s="814"/>
    </row>
    <row r="40" spans="1:10" x14ac:dyDescent="0.25">
      <c r="J40" s="814"/>
    </row>
    <row r="41" spans="1:10" x14ac:dyDescent="0.25">
      <c r="J41" s="560"/>
    </row>
    <row r="42" spans="1:10" x14ac:dyDescent="0.25">
      <c r="A42" s="4" t="s">
        <v>519</v>
      </c>
      <c r="B42" t="s">
        <v>601</v>
      </c>
      <c r="J42" s="813"/>
    </row>
    <row r="43" spans="1:10" x14ac:dyDescent="0.25">
      <c r="B43" t="s">
        <v>529</v>
      </c>
      <c r="J43" s="560"/>
    </row>
    <row r="44" spans="1:10" x14ac:dyDescent="0.25">
      <c r="J44" s="560"/>
    </row>
    <row r="45" spans="1:10" ht="15.75" thickBot="1" x14ac:dyDescent="0.3"/>
    <row r="46" spans="1:10" ht="15.75" thickBot="1" x14ac:dyDescent="0.3">
      <c r="B46" s="373" t="s">
        <v>495</v>
      </c>
      <c r="C46" s="374" t="s">
        <v>496</v>
      </c>
      <c r="D46" s="375" t="s">
        <v>508</v>
      </c>
    </row>
    <row r="47" spans="1:10" x14ac:dyDescent="0.25">
      <c r="B47" s="383" t="s">
        <v>530</v>
      </c>
      <c r="C47" s="384">
        <v>3.8</v>
      </c>
      <c r="D47" s="385" t="s">
        <v>421</v>
      </c>
    </row>
    <row r="48" spans="1:10" ht="15.75" thickBot="1" x14ac:dyDescent="0.3">
      <c r="B48" s="388" t="s">
        <v>531</v>
      </c>
      <c r="C48" s="389">
        <v>-1.7</v>
      </c>
      <c r="D48" s="390" t="s">
        <v>421</v>
      </c>
    </row>
    <row r="50" spans="2:8" x14ac:dyDescent="0.25">
      <c r="B50" s="41" t="s">
        <v>541</v>
      </c>
    </row>
    <row r="51" spans="2:8" x14ac:dyDescent="0.25">
      <c r="B51" t="s">
        <v>532</v>
      </c>
      <c r="C51" s="408">
        <v>1.55</v>
      </c>
      <c r="D51" s="387" t="s">
        <v>510</v>
      </c>
      <c r="E51" s="409">
        <f>C51*3.28083</f>
        <v>5.0852864999999996</v>
      </c>
      <c r="F51" s="141" t="s">
        <v>7</v>
      </c>
    </row>
    <row r="52" spans="2:8" x14ac:dyDescent="0.25">
      <c r="B52" t="s">
        <v>540</v>
      </c>
      <c r="C52" s="408">
        <f>C51*0.65</f>
        <v>1.0075000000000001</v>
      </c>
      <c r="D52" s="387" t="s">
        <v>510</v>
      </c>
      <c r="E52" s="409">
        <f>C52*3.28083</f>
        <v>3.3054362250000002</v>
      </c>
      <c r="F52" s="141" t="s">
        <v>7</v>
      </c>
    </row>
    <row r="53" spans="2:8" x14ac:dyDescent="0.25">
      <c r="B53" t="s">
        <v>533</v>
      </c>
      <c r="C53" s="408">
        <v>7.34</v>
      </c>
      <c r="D53" s="387" t="s">
        <v>510</v>
      </c>
      <c r="E53" s="409">
        <f>C53*3.28083</f>
        <v>24.0812922</v>
      </c>
      <c r="F53" s="141" t="s">
        <v>7</v>
      </c>
    </row>
    <row r="54" spans="2:8" x14ac:dyDescent="0.25">
      <c r="B54" t="s">
        <v>542</v>
      </c>
      <c r="C54" s="409">
        <f>(C51+C52)/2*C53</f>
        <v>9.3860250000000001</v>
      </c>
      <c r="D54" s="387" t="s">
        <v>509</v>
      </c>
      <c r="E54" s="410">
        <f>C54*10.76391</f>
        <v>101.03032835774999</v>
      </c>
      <c r="F54" s="141" t="s">
        <v>524</v>
      </c>
    </row>
    <row r="55" spans="2:8" x14ac:dyDescent="0.25">
      <c r="B55" t="s">
        <v>549</v>
      </c>
      <c r="C55" s="413">
        <f>C47*C39</f>
        <v>8808.4</v>
      </c>
      <c r="D55" s="412" t="s">
        <v>1097</v>
      </c>
      <c r="E55" s="413">
        <f>C47*E39</f>
        <v>19419.174808</v>
      </c>
      <c r="F55" s="141" t="s">
        <v>17</v>
      </c>
    </row>
    <row r="56" spans="2:8" x14ac:dyDescent="0.25">
      <c r="B56" t="s">
        <v>545</v>
      </c>
      <c r="C56" s="411">
        <v>1.44</v>
      </c>
      <c r="D56" s="387" t="s">
        <v>14</v>
      </c>
      <c r="E56" s="411">
        <f>C56</f>
        <v>1.44</v>
      </c>
      <c r="F56" s="387" t="s">
        <v>14</v>
      </c>
    </row>
    <row r="57" spans="2:8" x14ac:dyDescent="0.25">
      <c r="B57" t="s">
        <v>547</v>
      </c>
      <c r="C57" s="410">
        <f>C55/2/C54/C56</f>
        <v>325.8538329295119</v>
      </c>
      <c r="D57" s="141" t="s">
        <v>551</v>
      </c>
      <c r="E57" s="410">
        <f>E55/2/E54/E56</f>
        <v>66.740048658253428</v>
      </c>
      <c r="F57" s="141" t="s">
        <v>548</v>
      </c>
    </row>
    <row r="58" spans="2:8" x14ac:dyDescent="0.25">
      <c r="B58" t="s">
        <v>546</v>
      </c>
      <c r="C58" s="413">
        <f>E58*0.5144444</f>
        <v>72.184293720464893</v>
      </c>
      <c r="D58" s="387" t="s">
        <v>550</v>
      </c>
      <c r="E58" s="410">
        <f>SQRT(E57*295)</f>
        <v>140.31505391149147</v>
      </c>
      <c r="F58" s="141" t="s">
        <v>523</v>
      </c>
      <c r="H58" t="s">
        <v>1167</v>
      </c>
    </row>
    <row r="60" spans="2:8" x14ac:dyDescent="0.25">
      <c r="B60" t="s">
        <v>534</v>
      </c>
      <c r="C60" s="408">
        <v>0.65</v>
      </c>
      <c r="D60" s="387" t="s">
        <v>510</v>
      </c>
      <c r="E60" s="409">
        <f>C60*3.28083</f>
        <v>2.1325395</v>
      </c>
      <c r="F60" s="141" t="s">
        <v>7</v>
      </c>
    </row>
    <row r="61" spans="2:8" x14ac:dyDescent="0.25">
      <c r="B61" t="s">
        <v>543</v>
      </c>
      <c r="C61" s="408">
        <v>0.35</v>
      </c>
      <c r="D61" s="387" t="s">
        <v>510</v>
      </c>
      <c r="E61" s="409">
        <f>C61*3.28083</f>
        <v>1.1482904999999999</v>
      </c>
      <c r="F61" s="141" t="s">
        <v>7</v>
      </c>
    </row>
    <row r="62" spans="2:8" x14ac:dyDescent="0.25">
      <c r="B62" t="s">
        <v>535</v>
      </c>
      <c r="C62" s="408">
        <v>3</v>
      </c>
      <c r="D62" s="387" t="s">
        <v>510</v>
      </c>
      <c r="E62" s="409">
        <f>C62*3.28083</f>
        <v>9.8424899999999997</v>
      </c>
      <c r="F62" s="141" t="s">
        <v>7</v>
      </c>
    </row>
    <row r="63" spans="2:8" x14ac:dyDescent="0.25">
      <c r="B63" t="s">
        <v>544</v>
      </c>
      <c r="C63" s="409">
        <f>(C60+C61)/2*C62</f>
        <v>1.5</v>
      </c>
      <c r="D63" s="387" t="s">
        <v>509</v>
      </c>
      <c r="E63" s="410">
        <f>C63*10.76391</f>
        <v>16.145865000000001</v>
      </c>
      <c r="F63" s="141" t="s">
        <v>524</v>
      </c>
    </row>
    <row r="64" spans="2:8" x14ac:dyDescent="0.25">
      <c r="B64" t="s">
        <v>545</v>
      </c>
      <c r="C64" s="411">
        <v>2.25</v>
      </c>
      <c r="D64" s="387" t="s">
        <v>14</v>
      </c>
      <c r="E64" s="411">
        <f>C64</f>
        <v>2.25</v>
      </c>
      <c r="F64" s="387" t="s">
        <v>14</v>
      </c>
    </row>
    <row r="65" spans="2:6" x14ac:dyDescent="0.25">
      <c r="B65" t="s">
        <v>552</v>
      </c>
      <c r="C65" s="413">
        <f>C57*C63*C64</f>
        <v>1099.7566861371026</v>
      </c>
      <c r="D65" s="387" t="s">
        <v>522</v>
      </c>
      <c r="E65" s="413">
        <f>2*E57*E63*E64</f>
        <v>4849.0911707831601</v>
      </c>
      <c r="F65" s="141" t="s">
        <v>17</v>
      </c>
    </row>
    <row r="67" spans="2:6" x14ac:dyDescent="0.25">
      <c r="B67" t="s">
        <v>536</v>
      </c>
      <c r="C67" s="408">
        <v>2.5</v>
      </c>
      <c r="D67" s="387" t="s">
        <v>510</v>
      </c>
      <c r="E67" s="409">
        <f>C67*3.28083</f>
        <v>8.2020750000000007</v>
      </c>
      <c r="F67" s="141" t="s">
        <v>7</v>
      </c>
    </row>
    <row r="68" spans="2:6" x14ac:dyDescent="0.25">
      <c r="B68" t="s">
        <v>537</v>
      </c>
      <c r="C68" s="408">
        <v>0.5</v>
      </c>
      <c r="D68" s="387" t="s">
        <v>510</v>
      </c>
      <c r="E68" s="409">
        <f>C68*3.28083</f>
        <v>1.640415</v>
      </c>
      <c r="F68" s="141" t="s">
        <v>7</v>
      </c>
    </row>
    <row r="69" spans="2:6" x14ac:dyDescent="0.25">
      <c r="B69" t="s">
        <v>538</v>
      </c>
      <c r="C69" s="408">
        <f>3.9-2.5</f>
        <v>1.4</v>
      </c>
      <c r="D69" s="387" t="s">
        <v>510</v>
      </c>
      <c r="E69" s="409">
        <f>C69*3.28083</f>
        <v>4.5931619999999995</v>
      </c>
      <c r="F69" s="141" t="s">
        <v>7</v>
      </c>
    </row>
    <row r="70" spans="2:6" x14ac:dyDescent="0.25">
      <c r="B70" t="s">
        <v>539</v>
      </c>
      <c r="C70" s="409">
        <f>(C67+C68)/2*C69</f>
        <v>2.0999999999999996</v>
      </c>
      <c r="D70" s="387" t="s">
        <v>509</v>
      </c>
      <c r="E70" s="410">
        <f>C70*10.76391</f>
        <v>22.604210999999996</v>
      </c>
      <c r="F70" s="141" t="s">
        <v>524</v>
      </c>
    </row>
    <row r="71" spans="2:6" x14ac:dyDescent="0.25">
      <c r="B71" t="s">
        <v>545</v>
      </c>
      <c r="C71" s="411">
        <v>2</v>
      </c>
      <c r="D71" s="387" t="s">
        <v>14</v>
      </c>
      <c r="E71" s="411">
        <f>C71</f>
        <v>2</v>
      </c>
      <c r="F71" s="387" t="s">
        <v>14</v>
      </c>
    </row>
    <row r="72" spans="2:6" x14ac:dyDescent="0.25">
      <c r="B72" t="s">
        <v>556</v>
      </c>
      <c r="C72" s="413">
        <f>C57*C70*C71</f>
        <v>1368.5860983039497</v>
      </c>
      <c r="D72" s="387" t="s">
        <v>522</v>
      </c>
      <c r="E72" s="413">
        <f>E57*E70*E71</f>
        <v>3017.2122840428542</v>
      </c>
      <c r="F72" s="141" t="s">
        <v>17</v>
      </c>
    </row>
    <row r="78" spans="2:6" x14ac:dyDescent="0.25">
      <c r="B78" t="s">
        <v>1078</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D9FF58-B2CD-414D-A4DC-2F14ACF0A515}">
  <sheetPr>
    <tabColor rgb="FFFFFF00"/>
  </sheetPr>
  <dimension ref="A1:X136"/>
  <sheetViews>
    <sheetView zoomScale="70" zoomScaleNormal="70" workbookViewId="0">
      <selection activeCell="E6" sqref="E6:E8"/>
    </sheetView>
  </sheetViews>
  <sheetFormatPr defaultRowHeight="15" x14ac:dyDescent="0.25"/>
  <cols>
    <col min="1" max="1" width="40.5703125" style="5" customWidth="1"/>
    <col min="2" max="2" width="59.85546875" style="2" customWidth="1"/>
    <col min="3" max="3" width="14.140625" style="2" bestFit="1" customWidth="1"/>
    <col min="4" max="4" width="8.7109375" style="2" customWidth="1"/>
    <col min="5" max="5" width="19.7109375" style="2" customWidth="1"/>
    <col min="6" max="6" width="43.5703125" style="2" bestFit="1" customWidth="1"/>
    <col min="7" max="8" width="19" bestFit="1" customWidth="1"/>
    <col min="9" max="14" width="8.5703125" customWidth="1"/>
    <col min="15" max="15" width="4.42578125" customWidth="1"/>
    <col min="16" max="17" width="8.5703125" customWidth="1"/>
    <col min="18" max="18" width="6.140625" customWidth="1"/>
    <col min="20" max="20" width="14.42578125" customWidth="1"/>
    <col min="21" max="21" width="17.7109375" bestFit="1" customWidth="1"/>
    <col min="22" max="22" width="18.140625" bestFit="1" customWidth="1"/>
    <col min="23" max="23" width="21.42578125" bestFit="1" customWidth="1"/>
    <col min="24" max="24" width="15.140625" customWidth="1"/>
  </cols>
  <sheetData>
    <row r="1" spans="1:24" ht="15.75" thickBot="1" x14ac:dyDescent="0.3">
      <c r="A1" s="459"/>
      <c r="B1" s="124" t="s">
        <v>0</v>
      </c>
      <c r="C1" s="125" t="s">
        <v>1</v>
      </c>
      <c r="D1" s="125" t="s">
        <v>2</v>
      </c>
      <c r="E1" s="119" t="s">
        <v>3</v>
      </c>
      <c r="F1" s="120" t="s">
        <v>414</v>
      </c>
    </row>
    <row r="2" spans="1:24" ht="15.75" thickBot="1" x14ac:dyDescent="0.3">
      <c r="A2" s="460" t="s">
        <v>557</v>
      </c>
      <c r="B2" s="24" t="s">
        <v>1094</v>
      </c>
      <c r="C2" s="24" t="s">
        <v>569</v>
      </c>
      <c r="D2" s="121" t="s">
        <v>1097</v>
      </c>
      <c r="E2" s="414">
        <f>'Prosperity Reference'!C55/2</f>
        <v>4404.2</v>
      </c>
      <c r="F2" s="126" t="s">
        <v>591</v>
      </c>
      <c r="P2" s="80" t="s">
        <v>1080</v>
      </c>
    </row>
    <row r="3" spans="1:24" ht="15.75" thickBot="1" x14ac:dyDescent="0.3">
      <c r="A3" s="25"/>
      <c r="B3" s="2" t="s">
        <v>488</v>
      </c>
      <c r="C3" s="2" t="s">
        <v>490</v>
      </c>
      <c r="D3" s="2" t="s">
        <v>14</v>
      </c>
      <c r="E3" s="360">
        <v>10</v>
      </c>
      <c r="F3" s="127" t="s">
        <v>1095</v>
      </c>
      <c r="P3" s="821" t="str">
        <f>'Weight '!H10</f>
        <v xml:space="preserve">Sized Weight Summary - Composite Structure </v>
      </c>
      <c r="Q3" s="822">
        <f>'Weight '!I10</f>
        <v>0</v>
      </c>
      <c r="R3" s="822">
        <f>'Weight '!J10</f>
        <v>0</v>
      </c>
      <c r="S3" s="822">
        <f>'Weight '!K10</f>
        <v>0</v>
      </c>
      <c r="T3" s="822">
        <f>'Weight '!L10</f>
        <v>0</v>
      </c>
      <c r="U3" s="822">
        <f>'Weight '!M10</f>
        <v>0</v>
      </c>
      <c r="V3" s="822">
        <f>'Weight '!N10</f>
        <v>0</v>
      </c>
      <c r="W3" s="822">
        <f>'Weight '!O10</f>
        <v>0</v>
      </c>
      <c r="X3" s="823">
        <f>'Weight '!P10</f>
        <v>0</v>
      </c>
    </row>
    <row r="4" spans="1:24" ht="15.75" thickBot="1" x14ac:dyDescent="0.3">
      <c r="A4" s="463" t="s">
        <v>1138</v>
      </c>
      <c r="B4" s="29" t="s">
        <v>489</v>
      </c>
      <c r="C4" s="29" t="s">
        <v>491</v>
      </c>
      <c r="D4" s="29" t="s">
        <v>14</v>
      </c>
      <c r="E4" s="372">
        <v>-0.3</v>
      </c>
      <c r="F4" s="123" t="s">
        <v>1096</v>
      </c>
      <c r="P4" s="824" t="str">
        <f>'Weight '!H11</f>
        <v>Wing Skins</v>
      </c>
      <c r="Q4" s="825">
        <f>'Weight '!I11</f>
        <v>0</v>
      </c>
      <c r="R4" s="825">
        <f>'Weight '!J11</f>
        <v>0</v>
      </c>
      <c r="S4" s="825">
        <f>'Weight '!K11</f>
        <v>0</v>
      </c>
      <c r="T4" s="825">
        <f>'Weight '!L11</f>
        <v>0</v>
      </c>
      <c r="U4" s="825">
        <f>'Weight '!M11</f>
        <v>0</v>
      </c>
      <c r="V4" s="335">
        <f>'Weight '!N11*0.453592</f>
        <v>111.02066690120205</v>
      </c>
      <c r="W4" s="336"/>
      <c r="X4" s="336"/>
    </row>
    <row r="5" spans="1:24" x14ac:dyDescent="0.25">
      <c r="A5" s="273" t="s">
        <v>13</v>
      </c>
      <c r="B5" s="725" t="s">
        <v>9</v>
      </c>
      <c r="C5" s="24" t="s">
        <v>6</v>
      </c>
      <c r="D5" s="121" t="s">
        <v>510</v>
      </c>
      <c r="E5" s="361">
        <f>'Prosperity Reference'!C53</f>
        <v>7.34</v>
      </c>
      <c r="F5" s="126"/>
      <c r="P5" s="332"/>
      <c r="Q5" s="333" t="str">
        <f>'Weight '!I12</f>
        <v>Upper Wing Skin</v>
      </c>
      <c r="R5" s="333"/>
      <c r="S5" s="333"/>
      <c r="T5" s="333"/>
      <c r="U5" s="333"/>
      <c r="V5" s="337"/>
      <c r="W5" s="338">
        <f>'Weight '!O12*0.453592</f>
        <v>55.99303200234538</v>
      </c>
      <c r="X5" s="338"/>
    </row>
    <row r="6" spans="1:24" x14ac:dyDescent="0.25">
      <c r="B6" s="2" t="s">
        <v>587</v>
      </c>
      <c r="C6" s="2" t="s">
        <v>581</v>
      </c>
      <c r="D6" s="2" t="s">
        <v>14</v>
      </c>
      <c r="E6" s="363">
        <v>0.25</v>
      </c>
      <c r="F6" s="18" t="s">
        <v>753</v>
      </c>
      <c r="P6" s="332"/>
      <c r="Q6" s="333"/>
      <c r="R6" s="333" t="str">
        <f>'Weight '!J13</f>
        <v>Upper Wing Skin Laminate</v>
      </c>
      <c r="S6" s="333"/>
      <c r="T6" s="333"/>
      <c r="U6" s="333"/>
      <c r="V6" s="337"/>
      <c r="W6" s="338"/>
      <c r="X6" s="338">
        <f>'Weight '!P13*0.453592</f>
        <v>21.74193698946711</v>
      </c>
    </row>
    <row r="7" spans="1:24" x14ac:dyDescent="0.25">
      <c r="B7" s="2" t="s">
        <v>587</v>
      </c>
      <c r="C7" s="2" t="s">
        <v>582</v>
      </c>
      <c r="D7" s="2" t="s">
        <v>14</v>
      </c>
      <c r="E7" s="363">
        <v>0.5</v>
      </c>
      <c r="F7" s="18" t="s">
        <v>753</v>
      </c>
      <c r="P7" s="332"/>
      <c r="Q7" s="333"/>
      <c r="R7" s="333" t="str">
        <f>'Weight '!J14</f>
        <v>Upper Wing Skin Core</v>
      </c>
      <c r="S7" s="333"/>
      <c r="T7" s="333"/>
      <c r="U7" s="333"/>
      <c r="V7" s="337"/>
      <c r="W7" s="338"/>
      <c r="X7" s="338">
        <f>'Weight '!P14*0.453592</f>
        <v>34.251095012878302</v>
      </c>
    </row>
    <row r="8" spans="1:24" x14ac:dyDescent="0.25">
      <c r="B8" s="2" t="s">
        <v>587</v>
      </c>
      <c r="C8" s="2" t="s">
        <v>583</v>
      </c>
      <c r="D8" s="2" t="s">
        <v>14</v>
      </c>
      <c r="E8" s="363">
        <v>0.75</v>
      </c>
      <c r="F8" s="18" t="s">
        <v>753</v>
      </c>
      <c r="P8" s="332"/>
      <c r="Q8" s="333" t="str">
        <f>'Weight '!I15</f>
        <v>Lower Wing Skin</v>
      </c>
      <c r="R8" s="333"/>
      <c r="S8" s="333"/>
      <c r="T8" s="333"/>
      <c r="U8" s="333"/>
      <c r="V8" s="337"/>
      <c r="W8" s="338">
        <f>'Weight '!O15*0.453592</f>
        <v>55.027634898856668</v>
      </c>
      <c r="X8" s="338"/>
    </row>
    <row r="9" spans="1:24" x14ac:dyDescent="0.25">
      <c r="A9" s="143" t="s">
        <v>36</v>
      </c>
      <c r="B9" s="2" t="s">
        <v>8</v>
      </c>
      <c r="C9" s="2" t="s">
        <v>10</v>
      </c>
      <c r="D9" s="127" t="s">
        <v>510</v>
      </c>
      <c r="E9" s="362">
        <f>'Prosperity Reference'!C51</f>
        <v>1.55</v>
      </c>
      <c r="F9" s="18"/>
      <c r="P9" s="332"/>
      <c r="Q9" s="333"/>
      <c r="R9" s="333" t="str">
        <f>'Weight '!J16</f>
        <v>Lower Wing Skin Laminate</v>
      </c>
      <c r="S9" s="333"/>
      <c r="T9" s="333"/>
      <c r="U9" s="333"/>
      <c r="V9" s="337"/>
      <c r="W9" s="338"/>
      <c r="X9" s="338">
        <f>'Weight '!P16*0.453592</f>
        <v>21.367076006890091</v>
      </c>
    </row>
    <row r="10" spans="1:24" ht="15.75" thickBot="1" x14ac:dyDescent="0.3">
      <c r="A10" s="461" t="s">
        <v>144</v>
      </c>
      <c r="B10" s="7" t="s">
        <v>11</v>
      </c>
      <c r="C10" s="2" t="s">
        <v>12</v>
      </c>
      <c r="D10" s="127" t="s">
        <v>510</v>
      </c>
      <c r="E10" s="363">
        <f>'Prosperity Reference'!C52</f>
        <v>1.0075000000000001</v>
      </c>
      <c r="F10" s="18" t="s">
        <v>594</v>
      </c>
      <c r="P10" s="331"/>
      <c r="Q10" s="330"/>
      <c r="R10" s="330" t="str">
        <f>'Weight '!J17</f>
        <v>Lower Wing Skin Core</v>
      </c>
      <c r="S10" s="330"/>
      <c r="T10" s="330"/>
      <c r="U10" s="330"/>
      <c r="V10" s="337"/>
      <c r="W10" s="338"/>
      <c r="X10" s="338">
        <f>'Weight '!P17*0.453592</f>
        <v>33.660558891966581</v>
      </c>
    </row>
    <row r="11" spans="1:24" ht="15.75" thickBot="1" x14ac:dyDescent="0.3">
      <c r="A11" s="460" t="s">
        <v>578</v>
      </c>
      <c r="B11" s="24" t="s">
        <v>1077</v>
      </c>
      <c r="C11" s="24" t="s">
        <v>460</v>
      </c>
      <c r="D11" s="121" t="s">
        <v>14</v>
      </c>
      <c r="E11" s="364">
        <v>0.18</v>
      </c>
      <c r="F11" s="126" t="s">
        <v>565</v>
      </c>
      <c r="P11" s="826" t="str">
        <f>'Weight '!H18</f>
        <v>Spar</v>
      </c>
      <c r="Q11" s="827">
        <f>'Weight '!I18</f>
        <v>0</v>
      </c>
      <c r="R11" s="827">
        <f>'Weight '!J18</f>
        <v>0</v>
      </c>
      <c r="S11" s="827">
        <f>'Weight '!K18</f>
        <v>0</v>
      </c>
      <c r="T11" s="827">
        <f>'Weight '!L18</f>
        <v>0</v>
      </c>
      <c r="U11" s="827">
        <f>'Weight '!M18</f>
        <v>0</v>
      </c>
      <c r="V11" s="339">
        <f>'Weight '!N18*0.453592</f>
        <v>31.195484441895431</v>
      </c>
      <c r="W11" s="340"/>
      <c r="X11" s="340"/>
    </row>
    <row r="12" spans="1:24" x14ac:dyDescent="0.25">
      <c r="A12" s="143" t="s">
        <v>1139</v>
      </c>
      <c r="B12" s="7" t="s">
        <v>20</v>
      </c>
      <c r="C12" s="2" t="s">
        <v>461</v>
      </c>
      <c r="D12" s="462" t="s">
        <v>14</v>
      </c>
      <c r="E12" s="362">
        <v>0.25</v>
      </c>
      <c r="F12" s="18" t="s">
        <v>565</v>
      </c>
      <c r="P12" s="332"/>
      <c r="Q12" s="333" t="str">
        <f>'Weight '!I19</f>
        <v>Upper Cap</v>
      </c>
      <c r="R12" s="334"/>
      <c r="S12" s="333"/>
      <c r="T12" s="333"/>
      <c r="U12" s="333"/>
      <c r="V12" s="337"/>
      <c r="W12" s="338">
        <f>'Weight '!O19*0.453592</f>
        <v>10.629411900341928</v>
      </c>
      <c r="X12" s="338"/>
    </row>
    <row r="13" spans="1:24" ht="15.75" thickBot="1" x14ac:dyDescent="0.3">
      <c r="A13" s="463" t="s">
        <v>458</v>
      </c>
      <c r="B13" s="276" t="s">
        <v>1076</v>
      </c>
      <c r="C13" s="29" t="s">
        <v>448</v>
      </c>
      <c r="D13" s="464"/>
      <c r="E13" s="372" t="b">
        <v>1</v>
      </c>
      <c r="F13" s="30" t="s">
        <v>565</v>
      </c>
      <c r="P13" s="332"/>
      <c r="Q13" s="333" t="str">
        <f>'Weight '!I20</f>
        <v>Lower Cap</v>
      </c>
      <c r="R13" s="334"/>
      <c r="S13" s="333"/>
      <c r="T13" s="333"/>
      <c r="U13" s="333"/>
      <c r="V13" s="337"/>
      <c r="W13" s="338">
        <f>'Weight '!O20*0.453592</f>
        <v>10.629411900341928</v>
      </c>
      <c r="X13" s="338"/>
    </row>
    <row r="14" spans="1:24" x14ac:dyDescent="0.25">
      <c r="A14" s="460" t="s">
        <v>579</v>
      </c>
      <c r="B14" s="24" t="s">
        <v>19</v>
      </c>
      <c r="C14" s="24" t="s">
        <v>16</v>
      </c>
      <c r="D14" s="465" t="s">
        <v>14</v>
      </c>
      <c r="E14" s="366">
        <v>0.09</v>
      </c>
      <c r="F14" s="126" t="s">
        <v>565</v>
      </c>
      <c r="P14" s="332"/>
      <c r="Q14" s="333" t="str">
        <f>'Weight '!I21</f>
        <v>Web</v>
      </c>
      <c r="R14" s="333"/>
      <c r="S14" s="333"/>
      <c r="T14" s="333"/>
      <c r="U14" s="333"/>
      <c r="V14" s="337"/>
      <c r="W14" s="338">
        <f>'Weight '!O21*0.453592</f>
        <v>9.9366606412115743</v>
      </c>
      <c r="X14" s="340"/>
    </row>
    <row r="15" spans="1:24" ht="15.75" thickBot="1" x14ac:dyDescent="0.3">
      <c r="A15" s="28"/>
      <c r="B15" s="276" t="s">
        <v>21</v>
      </c>
      <c r="C15" s="29" t="s">
        <v>15</v>
      </c>
      <c r="D15" s="464" t="s">
        <v>14</v>
      </c>
      <c r="E15" s="367">
        <v>0.75</v>
      </c>
      <c r="F15" s="30" t="s">
        <v>565</v>
      </c>
      <c r="P15" s="332"/>
      <c r="Q15" s="333"/>
      <c r="R15" s="333" t="str">
        <f>'Weight '!J22</f>
        <v>Web Laminate</v>
      </c>
      <c r="S15" s="333"/>
      <c r="T15" s="333"/>
      <c r="U15" s="333"/>
      <c r="V15" s="337"/>
      <c r="W15" s="340"/>
      <c r="X15" s="338">
        <f>'Weight '!P22*0.453592</f>
        <v>8.1690764578603137</v>
      </c>
    </row>
    <row r="16" spans="1:24" ht="15.75" thickBot="1" x14ac:dyDescent="0.3">
      <c r="A16" s="460" t="s">
        <v>29</v>
      </c>
      <c r="B16" s="2" t="s">
        <v>25</v>
      </c>
      <c r="C16" s="2" t="s">
        <v>27</v>
      </c>
      <c r="D16" s="127" t="s">
        <v>14</v>
      </c>
      <c r="E16" s="360">
        <v>1.5</v>
      </c>
      <c r="F16" s="18" t="s">
        <v>562</v>
      </c>
      <c r="P16" s="332"/>
      <c r="Q16" s="333"/>
      <c r="R16" s="333" t="str">
        <f>'Weight '!J23</f>
        <v>Web Core</v>
      </c>
      <c r="S16" s="333"/>
      <c r="T16" s="333"/>
      <c r="U16" s="333"/>
      <c r="V16" s="337"/>
      <c r="W16" s="340"/>
      <c r="X16" s="338">
        <f>'Weight '!P23*0.453592</f>
        <v>1.7675841833512678</v>
      </c>
    </row>
    <row r="17" spans="1:24" ht="15.75" thickBot="1" x14ac:dyDescent="0.3">
      <c r="A17" s="28"/>
      <c r="B17" s="29" t="s">
        <v>447</v>
      </c>
      <c r="C17" s="29" t="s">
        <v>28</v>
      </c>
      <c r="D17" s="123" t="s">
        <v>14</v>
      </c>
      <c r="E17" s="727">
        <v>1.8</v>
      </c>
      <c r="F17" s="30" t="s">
        <v>564</v>
      </c>
      <c r="P17" s="828" t="str">
        <f>'Weight '!H24</f>
        <v>Aft Web</v>
      </c>
      <c r="Q17" s="829">
        <f>'Weight '!I24</f>
        <v>0</v>
      </c>
      <c r="R17" s="829">
        <f>'Weight '!J24</f>
        <v>0</v>
      </c>
      <c r="S17" s="829">
        <f>'Weight '!K24</f>
        <v>0</v>
      </c>
      <c r="T17" s="829">
        <f>'Weight '!L24</f>
        <v>0</v>
      </c>
      <c r="U17" s="829">
        <f>'Weight '!M24</f>
        <v>0</v>
      </c>
      <c r="V17" s="339">
        <f>'Weight '!N24*0.453592</f>
        <v>2.4260573745422547</v>
      </c>
      <c r="W17" s="340"/>
      <c r="X17" s="340"/>
    </row>
    <row r="18" spans="1:24" x14ac:dyDescent="0.25">
      <c r="A18" s="156" t="s">
        <v>62</v>
      </c>
      <c r="B18" s="2" t="s">
        <v>32</v>
      </c>
      <c r="C18" s="2" t="s">
        <v>43</v>
      </c>
      <c r="D18" s="127" t="s">
        <v>1005</v>
      </c>
      <c r="E18" s="678">
        <v>400</v>
      </c>
      <c r="F18" s="18" t="s">
        <v>494</v>
      </c>
      <c r="P18" s="466"/>
      <c r="Q18" s="467" t="str">
        <f>'Weight '!I25</f>
        <v>Upper Cap</v>
      </c>
      <c r="R18" s="468"/>
      <c r="S18" s="467"/>
      <c r="T18" s="467"/>
      <c r="U18" s="467"/>
      <c r="V18" s="341"/>
      <c r="W18" s="338">
        <f>'Weight '!O25*0.453592</f>
        <v>0.16392336218085815</v>
      </c>
      <c r="X18" s="338"/>
    </row>
    <row r="19" spans="1:24" x14ac:dyDescent="0.25">
      <c r="A19" s="143" t="s">
        <v>455</v>
      </c>
      <c r="B19" s="2" t="s">
        <v>33</v>
      </c>
      <c r="C19" s="2" t="s">
        <v>44</v>
      </c>
      <c r="D19" s="127" t="s">
        <v>1005</v>
      </c>
      <c r="E19" s="679">
        <v>400</v>
      </c>
      <c r="F19" s="18" t="s">
        <v>494</v>
      </c>
      <c r="P19" s="332"/>
      <c r="Q19" s="333" t="str">
        <f>'Weight '!I26</f>
        <v>Lower Cap</v>
      </c>
      <c r="R19" s="334"/>
      <c r="S19" s="333"/>
      <c r="T19" s="333"/>
      <c r="U19" s="440"/>
      <c r="V19" s="341"/>
      <c r="W19" s="338">
        <f>'Weight '!O26*0.453592</f>
        <v>0.16392336218085815</v>
      </c>
      <c r="X19" s="338"/>
    </row>
    <row r="20" spans="1:24" x14ac:dyDescent="0.25">
      <c r="A20" s="25"/>
      <c r="B20" s="2" t="s">
        <v>31</v>
      </c>
      <c r="C20" s="2" t="s">
        <v>37</v>
      </c>
      <c r="D20" s="127" t="s">
        <v>1074</v>
      </c>
      <c r="E20" s="679">
        <v>110</v>
      </c>
      <c r="F20" s="18" t="s">
        <v>494</v>
      </c>
      <c r="P20" s="332"/>
      <c r="Q20" s="333" t="str">
        <f>'Weight '!I27</f>
        <v>Web Laminate</v>
      </c>
      <c r="R20" s="334"/>
      <c r="S20" s="333"/>
      <c r="T20" s="333"/>
      <c r="U20" s="440"/>
      <c r="V20" s="341"/>
      <c r="W20" s="338">
        <f>'Weight '!O27*0.453592</f>
        <v>1.4360609898673842</v>
      </c>
      <c r="X20" s="338"/>
    </row>
    <row r="21" spans="1:24" ht="15.75" thickBot="1" x14ac:dyDescent="0.3">
      <c r="A21" s="143" t="s">
        <v>457</v>
      </c>
      <c r="B21" s="2" t="s">
        <v>454</v>
      </c>
      <c r="C21" s="2" t="s">
        <v>456</v>
      </c>
      <c r="D21" s="127" t="s">
        <v>1075</v>
      </c>
      <c r="E21" s="552">
        <v>3</v>
      </c>
      <c r="F21" s="18" t="s">
        <v>563</v>
      </c>
      <c r="P21" s="331"/>
      <c r="Q21" s="330" t="str">
        <f>'Weight '!I28</f>
        <v>Core</v>
      </c>
      <c r="R21" s="469"/>
      <c r="S21" s="330"/>
      <c r="T21" s="330"/>
      <c r="U21" s="330"/>
      <c r="V21" s="341"/>
      <c r="W21" s="338">
        <f>'Weight '!O28*0.453592</f>
        <v>0.66214966031315459</v>
      </c>
      <c r="X21" s="338"/>
    </row>
    <row r="22" spans="1:24" ht="15.75" thickBot="1" x14ac:dyDescent="0.3">
      <c r="A22" s="25"/>
      <c r="B22" s="2" t="s">
        <v>30</v>
      </c>
      <c r="C22" s="2" t="s">
        <v>38</v>
      </c>
      <c r="D22" s="123" t="s">
        <v>1003</v>
      </c>
      <c r="E22" s="680">
        <v>1700</v>
      </c>
      <c r="F22" s="18" t="s">
        <v>494</v>
      </c>
      <c r="P22" s="470" t="str">
        <f>'Weight '!H29</f>
        <v>Bond Allowance</v>
      </c>
      <c r="Q22" s="471"/>
      <c r="R22" s="471"/>
      <c r="S22" s="471"/>
      <c r="T22" s="471"/>
      <c r="U22" s="472"/>
      <c r="V22" s="473">
        <f>'Weight '!N29*0.453592</f>
        <v>7.2321104358819932</v>
      </c>
      <c r="W22" s="342"/>
      <c r="X22" s="342"/>
    </row>
    <row r="23" spans="1:24" ht="15.75" thickBot="1" x14ac:dyDescent="0.3">
      <c r="A23" s="460" t="s">
        <v>41</v>
      </c>
      <c r="B23" s="24" t="s">
        <v>212</v>
      </c>
      <c r="C23" s="24" t="s">
        <v>47</v>
      </c>
      <c r="D23" s="2" t="s">
        <v>1006</v>
      </c>
      <c r="E23" s="678">
        <v>400</v>
      </c>
      <c r="F23" s="121" t="s">
        <v>122</v>
      </c>
      <c r="P23" s="830" t="str">
        <f>'Weight '!H30</f>
        <v>Total - Right Wing</v>
      </c>
      <c r="Q23" s="831">
        <f>'Weight '!I30</f>
        <v>0</v>
      </c>
      <c r="R23" s="831">
        <f>'Weight '!J30</f>
        <v>0</v>
      </c>
      <c r="S23" s="831">
        <f>'Weight '!K30</f>
        <v>0</v>
      </c>
      <c r="T23" s="831">
        <f>'Weight '!L30</f>
        <v>0</v>
      </c>
      <c r="U23" s="832">
        <f>'Weight '!M30</f>
        <v>0</v>
      </c>
      <c r="V23" s="474">
        <f>'Weight '!N30*0.453592</f>
        <v>151.87431915352172</v>
      </c>
      <c r="W23" s="160" t="s">
        <v>1081</v>
      </c>
      <c r="X23" s="146"/>
    </row>
    <row r="24" spans="1:24" x14ac:dyDescent="0.25">
      <c r="A24" s="25"/>
      <c r="B24" s="2" t="s">
        <v>213</v>
      </c>
      <c r="C24" s="2" t="s">
        <v>48</v>
      </c>
      <c r="D24" s="127" t="s">
        <v>1074</v>
      </c>
      <c r="E24" s="679">
        <v>26</v>
      </c>
      <c r="F24" s="127" t="s">
        <v>122</v>
      </c>
    </row>
    <row r="25" spans="1:24" ht="15.75" thickBot="1" x14ac:dyDescent="0.3">
      <c r="A25" s="25"/>
      <c r="B25" s="2" t="s">
        <v>214</v>
      </c>
      <c r="C25" s="2" t="s">
        <v>46</v>
      </c>
      <c r="D25" s="127" t="s">
        <v>1074</v>
      </c>
      <c r="E25" s="679">
        <v>15</v>
      </c>
      <c r="F25" s="127" t="s">
        <v>122</v>
      </c>
      <c r="P25" s="80" t="s">
        <v>443</v>
      </c>
    </row>
    <row r="26" spans="1:24" x14ac:dyDescent="0.25">
      <c r="A26" s="25"/>
      <c r="B26" s="2" t="s">
        <v>216</v>
      </c>
      <c r="C26" s="2" t="s">
        <v>215</v>
      </c>
      <c r="D26" s="127" t="s">
        <v>1074</v>
      </c>
      <c r="E26" s="679">
        <v>53</v>
      </c>
      <c r="F26" s="127" t="s">
        <v>121</v>
      </c>
      <c r="P26" s="475"/>
      <c r="Q26" s="476"/>
      <c r="R26" s="476"/>
      <c r="S26" s="476"/>
      <c r="T26" s="477" t="s">
        <v>438</v>
      </c>
      <c r="U26" s="478" t="s">
        <v>1082</v>
      </c>
      <c r="V26" s="479">
        <f>'Laminate Zones'!F28*6.4516</f>
        <v>23.134940103437525</v>
      </c>
    </row>
    <row r="27" spans="1:24" x14ac:dyDescent="0.25">
      <c r="A27" s="25"/>
      <c r="B27" s="2" t="s">
        <v>49</v>
      </c>
      <c r="C27" s="2" t="s">
        <v>51</v>
      </c>
      <c r="D27" s="2" t="s">
        <v>1003</v>
      </c>
      <c r="E27" s="679">
        <v>1700</v>
      </c>
      <c r="F27" s="127" t="s">
        <v>121</v>
      </c>
      <c r="P27" s="480"/>
      <c r="Q27" s="481"/>
      <c r="R27" s="481"/>
      <c r="S27" s="481"/>
      <c r="T27" s="482" t="s">
        <v>437</v>
      </c>
      <c r="U27" s="483" t="s">
        <v>1082</v>
      </c>
      <c r="V27" s="484">
        <f>'Laminate Zones'!F41*6.4516</f>
        <v>23.134940103437525</v>
      </c>
    </row>
    <row r="28" spans="1:24" ht="15.75" thickBot="1" x14ac:dyDescent="0.3">
      <c r="A28" s="28"/>
      <c r="B28" s="29" t="s">
        <v>50</v>
      </c>
      <c r="C28" s="29" t="s">
        <v>52</v>
      </c>
      <c r="D28" s="123" t="s">
        <v>1075</v>
      </c>
      <c r="E28" s="680">
        <v>0.2</v>
      </c>
      <c r="F28" s="127" t="s">
        <v>121</v>
      </c>
      <c r="P28" s="485"/>
      <c r="Q28" s="486"/>
      <c r="R28" s="486"/>
      <c r="S28" s="486"/>
      <c r="T28" s="487" t="s">
        <v>446</v>
      </c>
      <c r="U28" s="488" t="s">
        <v>1004</v>
      </c>
      <c r="V28" s="489">
        <f>MIN(Sizing!DY60:DY160)*2.54</f>
        <v>17.255503143570319</v>
      </c>
    </row>
    <row r="29" spans="1:24" ht="15.75" thickBot="1" x14ac:dyDescent="0.3">
      <c r="A29" s="460" t="s">
        <v>61</v>
      </c>
      <c r="B29" s="24" t="s">
        <v>53</v>
      </c>
      <c r="C29" s="24" t="s">
        <v>54</v>
      </c>
      <c r="D29" s="2" t="s">
        <v>1006</v>
      </c>
      <c r="E29" s="678">
        <v>57</v>
      </c>
      <c r="F29" s="126" t="s">
        <v>105</v>
      </c>
    </row>
    <row r="30" spans="1:24" x14ac:dyDescent="0.25">
      <c r="A30" s="25"/>
      <c r="B30" s="2" t="s">
        <v>203</v>
      </c>
      <c r="C30" s="2" t="s">
        <v>204</v>
      </c>
      <c r="D30" s="2" t="s">
        <v>1006</v>
      </c>
      <c r="E30" s="679">
        <v>18</v>
      </c>
      <c r="F30" s="18" t="s">
        <v>105</v>
      </c>
      <c r="P30" s="806"/>
      <c r="Q30" s="508"/>
      <c r="R30" s="508"/>
      <c r="S30" s="508"/>
      <c r="T30" s="508"/>
      <c r="U30" s="807" t="s">
        <v>439</v>
      </c>
      <c r="V30" s="807" t="s">
        <v>441</v>
      </c>
      <c r="W30" s="808" t="s">
        <v>442</v>
      </c>
    </row>
    <row r="31" spans="1:24" ht="15.75" thickBot="1" x14ac:dyDescent="0.3">
      <c r="A31" s="25"/>
      <c r="B31" s="2" t="s">
        <v>55</v>
      </c>
      <c r="C31" s="2" t="s">
        <v>422</v>
      </c>
      <c r="D31" s="2" t="s">
        <v>1006</v>
      </c>
      <c r="E31" s="679">
        <v>0.8</v>
      </c>
      <c r="F31" s="18" t="s">
        <v>105</v>
      </c>
      <c r="P31" s="809" t="s">
        <v>444</v>
      </c>
      <c r="Q31" s="434"/>
      <c r="R31" s="434"/>
      <c r="S31" s="434"/>
      <c r="T31" s="434"/>
      <c r="U31" s="515" t="s">
        <v>440</v>
      </c>
      <c r="V31" s="515" t="s">
        <v>440</v>
      </c>
      <c r="W31" s="516" t="s">
        <v>1004</v>
      </c>
    </row>
    <row r="32" spans="1:24" x14ac:dyDescent="0.25">
      <c r="A32" s="25"/>
      <c r="B32" s="2" t="s">
        <v>56</v>
      </c>
      <c r="C32" s="2" t="s">
        <v>57</v>
      </c>
      <c r="D32" s="2" t="s">
        <v>1006</v>
      </c>
      <c r="E32" s="679">
        <v>0.7</v>
      </c>
      <c r="F32" s="18" t="s">
        <v>105</v>
      </c>
      <c r="P32" s="495">
        <v>0</v>
      </c>
      <c r="Q32" s="496"/>
      <c r="R32" s="496"/>
      <c r="S32" s="496"/>
      <c r="T32" s="497" t="s">
        <v>424</v>
      </c>
      <c r="U32" s="126">
        <f>'Laminate Zones'!F7</f>
        <v>3</v>
      </c>
      <c r="V32" s="126">
        <f>'Laminate Zones'!G7</f>
        <v>3</v>
      </c>
      <c r="W32" s="121">
        <f>'Laminate Zones'!H7*2.54</f>
        <v>5.08</v>
      </c>
    </row>
    <row r="33" spans="1:23" ht="15.75" thickBot="1" x14ac:dyDescent="0.3">
      <c r="A33" s="28"/>
      <c r="B33" s="29" t="s">
        <v>58</v>
      </c>
      <c r="C33" s="29" t="s">
        <v>59</v>
      </c>
      <c r="D33" s="29" t="s">
        <v>1003</v>
      </c>
      <c r="E33" s="680">
        <v>64</v>
      </c>
      <c r="F33" s="30" t="s">
        <v>105</v>
      </c>
      <c r="P33" s="498">
        <f>E5*E6</f>
        <v>1.835</v>
      </c>
      <c r="Q33" s="499"/>
      <c r="R33" s="499"/>
      <c r="S33" s="499"/>
      <c r="T33" s="500" t="s">
        <v>425</v>
      </c>
      <c r="U33" s="18">
        <f>'Laminate Zones'!F8</f>
        <v>3</v>
      </c>
      <c r="V33" s="18">
        <f>'Laminate Zones'!G8</f>
        <v>2</v>
      </c>
      <c r="W33" s="127">
        <f>'Laminate Zones'!H8*2.54</f>
        <v>6.35</v>
      </c>
    </row>
    <row r="34" spans="1:23" x14ac:dyDescent="0.25">
      <c r="A34" s="460" t="s">
        <v>63</v>
      </c>
      <c r="B34" s="24" t="s">
        <v>396</v>
      </c>
      <c r="C34" s="24" t="s">
        <v>34</v>
      </c>
      <c r="D34" s="24" t="s">
        <v>14</v>
      </c>
      <c r="E34" s="366">
        <v>1.25</v>
      </c>
      <c r="F34" s="126" t="s">
        <v>563</v>
      </c>
      <c r="P34" s="498">
        <f>E5*E7</f>
        <v>3.67</v>
      </c>
      <c r="Q34" s="499"/>
      <c r="R34" s="499"/>
      <c r="S34" s="499"/>
      <c r="T34" s="500" t="s">
        <v>426</v>
      </c>
      <c r="U34" s="18">
        <f>'Laminate Zones'!F9</f>
        <v>3</v>
      </c>
      <c r="V34" s="18">
        <f>'Laminate Zones'!G9</f>
        <v>2</v>
      </c>
      <c r="W34" s="127">
        <f>'Laminate Zones'!H9*2.54</f>
        <v>3.81</v>
      </c>
    </row>
    <row r="35" spans="1:23" ht="15.75" thickBot="1" x14ac:dyDescent="0.3">
      <c r="A35" s="128"/>
      <c r="B35" s="2" t="s">
        <v>35</v>
      </c>
      <c r="C35" s="2" t="s">
        <v>34</v>
      </c>
      <c r="D35" s="2" t="s">
        <v>14</v>
      </c>
      <c r="E35" s="360">
        <v>1.05</v>
      </c>
      <c r="F35" s="18" t="s">
        <v>563</v>
      </c>
      <c r="P35" s="501">
        <f>E8*E5</f>
        <v>5.5049999999999999</v>
      </c>
      <c r="Q35" s="502"/>
      <c r="R35" s="502"/>
      <c r="S35" s="502"/>
      <c r="T35" s="503" t="s">
        <v>427</v>
      </c>
      <c r="U35" s="30">
        <f>'Laminate Zones'!F10</f>
        <v>3</v>
      </c>
      <c r="V35" s="30">
        <f>'Laminate Zones'!G10</f>
        <v>2</v>
      </c>
      <c r="W35" s="123">
        <f>'Laminate Zones'!H10*2.54</f>
        <v>1.905</v>
      </c>
    </row>
    <row r="36" spans="1:23" x14ac:dyDescent="0.25">
      <c r="A36" s="128"/>
      <c r="B36" s="2" t="s">
        <v>164</v>
      </c>
      <c r="C36" s="2" t="s">
        <v>165</v>
      </c>
      <c r="D36" s="6" t="s">
        <v>14</v>
      </c>
      <c r="E36" s="365">
        <v>3</v>
      </c>
      <c r="F36" s="18" t="s">
        <v>563</v>
      </c>
      <c r="P36" s="504">
        <f>P32</f>
        <v>0</v>
      </c>
      <c r="Q36" s="476"/>
      <c r="R36" s="476"/>
      <c r="S36" s="476"/>
      <c r="T36" s="477" t="s">
        <v>428</v>
      </c>
      <c r="U36" s="126">
        <f>'Laminate Zones'!F21</f>
        <v>8</v>
      </c>
      <c r="V36" s="126">
        <f>'Laminate Zones'!G21</f>
        <v>8</v>
      </c>
      <c r="W36" s="121">
        <f>'Laminate Zones'!H21*2.54</f>
        <v>1.905</v>
      </c>
    </row>
    <row r="37" spans="1:23" x14ac:dyDescent="0.25">
      <c r="A37" s="128"/>
      <c r="B37" s="2" t="s">
        <v>167</v>
      </c>
      <c r="C37" s="2" t="s">
        <v>166</v>
      </c>
      <c r="D37" s="6" t="s">
        <v>14</v>
      </c>
      <c r="E37" s="365">
        <v>2</v>
      </c>
      <c r="F37" s="18" t="s">
        <v>563</v>
      </c>
      <c r="P37" s="505">
        <f>P33</f>
        <v>1.835</v>
      </c>
      <c r="Q37" s="481"/>
      <c r="R37" s="481"/>
      <c r="S37" s="481"/>
      <c r="T37" s="482" t="s">
        <v>429</v>
      </c>
      <c r="U37" s="18">
        <f>'Laminate Zones'!F22</f>
        <v>7</v>
      </c>
      <c r="V37" s="18">
        <f>'Laminate Zones'!G22</f>
        <v>7</v>
      </c>
      <c r="W37" s="127">
        <f>'Laminate Zones'!H22*2.54</f>
        <v>1.27</v>
      </c>
    </row>
    <row r="38" spans="1:23" ht="15.75" thickBot="1" x14ac:dyDescent="0.3">
      <c r="A38" s="28"/>
      <c r="B38" s="29" t="s">
        <v>219</v>
      </c>
      <c r="C38" s="29" t="s">
        <v>168</v>
      </c>
      <c r="D38" s="29" t="s">
        <v>1004</v>
      </c>
      <c r="E38" s="680">
        <v>0.63500000000000001</v>
      </c>
      <c r="F38" s="30" t="s">
        <v>563</v>
      </c>
      <c r="P38" s="505">
        <f>P34</f>
        <v>3.67</v>
      </c>
      <c r="Q38" s="481"/>
      <c r="R38" s="481"/>
      <c r="S38" s="481"/>
      <c r="T38" s="482" t="s">
        <v>430</v>
      </c>
      <c r="U38" s="18">
        <f>'Laminate Zones'!F23</f>
        <v>4</v>
      </c>
      <c r="V38" s="18">
        <f>'Laminate Zones'!G23</f>
        <v>4</v>
      </c>
      <c r="W38" s="127">
        <f>'Laminate Zones'!H23*2.54</f>
        <v>1.27</v>
      </c>
    </row>
    <row r="39" spans="1:23" ht="15.75" thickBot="1" x14ac:dyDescent="0.3">
      <c r="P39" s="506">
        <f>P35</f>
        <v>5.5049999999999999</v>
      </c>
      <c r="Q39" s="486"/>
      <c r="R39" s="486"/>
      <c r="S39" s="486"/>
      <c r="T39" s="487" t="s">
        <v>431</v>
      </c>
      <c r="U39" s="30">
        <f>'Laminate Zones'!F24</f>
        <v>3</v>
      </c>
      <c r="V39" s="30">
        <f>'Laminate Zones'!G24</f>
        <v>3</v>
      </c>
      <c r="W39" s="123">
        <f>'Laminate Zones'!H24*2.54</f>
        <v>0.63500000000000001</v>
      </c>
    </row>
    <row r="40" spans="1:23" x14ac:dyDescent="0.25">
      <c r="A40" s="507" t="s">
        <v>468</v>
      </c>
      <c r="B40" s="508"/>
      <c r="C40" s="509"/>
      <c r="D40" s="509"/>
      <c r="E40" s="510"/>
      <c r="F40" s="511"/>
      <c r="P40" s="512">
        <f>P32</f>
        <v>0</v>
      </c>
      <c r="Q40" s="513"/>
      <c r="R40" s="513"/>
      <c r="S40" s="513"/>
      <c r="T40" s="514" t="s">
        <v>432</v>
      </c>
      <c r="U40" s="18">
        <f>'Laminate Zones'!F54</f>
        <v>2</v>
      </c>
      <c r="V40" s="18">
        <f>'Laminate Zones'!G54</f>
        <v>2</v>
      </c>
      <c r="W40" s="127">
        <f>'Laminate Zones'!H54*2.54</f>
        <v>1.27</v>
      </c>
    </row>
    <row r="41" spans="1:23" x14ac:dyDescent="0.25">
      <c r="A41" s="341" t="s">
        <v>484</v>
      </c>
      <c r="B41" s="437"/>
      <c r="C41" s="437"/>
      <c r="D41" s="437"/>
      <c r="E41" s="515"/>
      <c r="F41" s="516"/>
      <c r="P41" s="512">
        <f>P33</f>
        <v>1.835</v>
      </c>
      <c r="Q41" s="513"/>
      <c r="R41" s="513"/>
      <c r="S41" s="513"/>
      <c r="T41" s="514" t="s">
        <v>433</v>
      </c>
      <c r="U41" s="18">
        <f>'Laminate Zones'!F55</f>
        <v>2</v>
      </c>
      <c r="V41" s="18">
        <f>'Laminate Zones'!G55</f>
        <v>2</v>
      </c>
      <c r="W41" s="127">
        <f>'Laminate Zones'!H55*2.54</f>
        <v>1.27</v>
      </c>
    </row>
    <row r="42" spans="1:23" x14ac:dyDescent="0.25">
      <c r="A42" s="341" t="s">
        <v>471</v>
      </c>
      <c r="B42" s="437"/>
      <c r="C42" s="437"/>
      <c r="D42" s="437"/>
      <c r="E42" s="437"/>
      <c r="F42" s="517"/>
      <c r="P42" s="512">
        <f>P34</f>
        <v>3.67</v>
      </c>
      <c r="Q42" s="513"/>
      <c r="R42" s="513"/>
      <c r="S42" s="513"/>
      <c r="T42" s="514" t="s">
        <v>434</v>
      </c>
      <c r="U42" s="18">
        <f>'Laminate Zones'!F56</f>
        <v>2</v>
      </c>
      <c r="V42" s="18">
        <f>'Laminate Zones'!G56</f>
        <v>2</v>
      </c>
      <c r="W42" s="127">
        <f>'Laminate Zones'!H56*2.54</f>
        <v>0.63500000000000001</v>
      </c>
    </row>
    <row r="43" spans="1:23" ht="15.75" thickBot="1" x14ac:dyDescent="0.3">
      <c r="A43" s="341" t="s">
        <v>472</v>
      </c>
      <c r="B43" s="437"/>
      <c r="C43" s="515"/>
      <c r="D43" s="515"/>
      <c r="E43" s="515"/>
      <c r="F43" s="516"/>
      <c r="P43" s="518">
        <f>P35</f>
        <v>5.5049999999999999</v>
      </c>
      <c r="Q43" s="519"/>
      <c r="R43" s="519"/>
      <c r="S43" s="519"/>
      <c r="T43" s="520" t="s">
        <v>435</v>
      </c>
      <c r="U43" s="30">
        <f>'Laminate Zones'!F57</f>
        <v>2</v>
      </c>
      <c r="V43" s="30">
        <f>'Laminate Zones'!G57</f>
        <v>2</v>
      </c>
      <c r="W43" s="123">
        <f>'Laminate Zones'!H57*2.54</f>
        <v>0.63500000000000001</v>
      </c>
    </row>
    <row r="44" spans="1:23" x14ac:dyDescent="0.25">
      <c r="A44" s="341" t="s">
        <v>1098</v>
      </c>
      <c r="B44" s="437"/>
      <c r="C44" s="437"/>
      <c r="D44" s="437"/>
      <c r="E44" s="521"/>
      <c r="F44" s="522"/>
    </row>
    <row r="45" spans="1:23" x14ac:dyDescent="0.25">
      <c r="A45" s="341" t="s">
        <v>485</v>
      </c>
      <c r="B45" s="437"/>
      <c r="C45" s="437"/>
      <c r="D45" s="437"/>
      <c r="E45" s="521"/>
      <c r="F45" s="522"/>
    </row>
    <row r="46" spans="1:23" x14ac:dyDescent="0.25">
      <c r="A46" s="523" t="s">
        <v>469</v>
      </c>
      <c r="B46" s="437"/>
      <c r="C46" s="437"/>
      <c r="D46" s="437"/>
      <c r="E46" s="521"/>
      <c r="F46" s="522"/>
      <c r="T46" s="524"/>
    </row>
    <row r="47" spans="1:23" x14ac:dyDescent="0.25">
      <c r="A47" s="341" t="s">
        <v>487</v>
      </c>
      <c r="B47" s="437"/>
      <c r="C47" s="437"/>
      <c r="D47" s="437"/>
      <c r="E47" s="521"/>
      <c r="F47" s="522"/>
    </row>
    <row r="48" spans="1:23" x14ac:dyDescent="0.25">
      <c r="A48" s="341" t="s">
        <v>470</v>
      </c>
      <c r="B48" s="437"/>
      <c r="C48" s="437"/>
      <c r="D48" s="437"/>
      <c r="E48" s="521"/>
      <c r="F48" s="522"/>
    </row>
    <row r="49" spans="1:16" x14ac:dyDescent="0.25">
      <c r="A49" s="341"/>
      <c r="B49" s="434"/>
      <c r="C49" s="437"/>
      <c r="D49" s="437"/>
      <c r="E49" s="521"/>
      <c r="F49" s="522"/>
      <c r="L49" s="2"/>
    </row>
    <row r="50" spans="1:16" x14ac:dyDescent="0.25">
      <c r="A50" s="525" t="s">
        <v>129</v>
      </c>
      <c r="B50" s="434"/>
      <c r="C50" s="437"/>
      <c r="D50" s="437"/>
      <c r="E50" s="437"/>
      <c r="F50" s="517"/>
    </row>
    <row r="51" spans="1:16" x14ac:dyDescent="0.25">
      <c r="A51" s="341" t="s">
        <v>1101</v>
      </c>
      <c r="B51" s="434"/>
      <c r="C51" s="437"/>
      <c r="D51" s="437"/>
      <c r="E51" s="437"/>
      <c r="F51" s="517"/>
    </row>
    <row r="52" spans="1:16" x14ac:dyDescent="0.25">
      <c r="A52" s="341"/>
      <c r="B52" s="434" t="s">
        <v>480</v>
      </c>
      <c r="C52" s="437"/>
      <c r="D52" s="437"/>
      <c r="E52" s="437"/>
      <c r="F52" s="517"/>
    </row>
    <row r="53" spans="1:16" x14ac:dyDescent="0.25">
      <c r="A53" s="341"/>
      <c r="B53" s="434" t="s">
        <v>482</v>
      </c>
      <c r="C53" s="437"/>
      <c r="D53" s="437"/>
      <c r="E53" s="333"/>
      <c r="F53" s="517"/>
    </row>
    <row r="54" spans="1:16" x14ac:dyDescent="0.25">
      <c r="A54" s="341" t="s">
        <v>473</v>
      </c>
      <c r="B54" s="434"/>
      <c r="C54" s="437"/>
      <c r="D54" s="437"/>
      <c r="E54" s="437"/>
      <c r="F54" s="517"/>
    </row>
    <row r="55" spans="1:16" x14ac:dyDescent="0.25">
      <c r="A55" s="341"/>
      <c r="B55" s="434" t="s">
        <v>474</v>
      </c>
      <c r="C55" s="437"/>
      <c r="D55" s="437"/>
      <c r="E55" s="437"/>
      <c r="F55" s="517"/>
    </row>
    <row r="56" spans="1:16" x14ac:dyDescent="0.25">
      <c r="A56" s="341"/>
      <c r="B56" s="434" t="s">
        <v>481</v>
      </c>
      <c r="C56" s="437"/>
      <c r="D56" s="437"/>
      <c r="E56" s="437"/>
      <c r="F56" s="517"/>
    </row>
    <row r="57" spans="1:16" x14ac:dyDescent="0.25">
      <c r="A57" s="341" t="s">
        <v>476</v>
      </c>
      <c r="B57" s="434"/>
      <c r="C57" s="437"/>
      <c r="D57" s="437"/>
      <c r="E57" s="437"/>
      <c r="F57" s="517"/>
    </row>
    <row r="58" spans="1:16" x14ac:dyDescent="0.25">
      <c r="A58" s="341"/>
      <c r="B58" s="434" t="s">
        <v>596</v>
      </c>
      <c r="C58" s="437"/>
      <c r="D58" s="437"/>
      <c r="E58" s="437"/>
      <c r="F58" s="517"/>
    </row>
    <row r="59" spans="1:16" x14ac:dyDescent="0.25">
      <c r="A59" s="341"/>
      <c r="B59" s="434" t="s">
        <v>479</v>
      </c>
      <c r="C59" s="437"/>
      <c r="D59" s="437"/>
      <c r="E59" s="437"/>
      <c r="F59" s="517"/>
    </row>
    <row r="60" spans="1:16" x14ac:dyDescent="0.25">
      <c r="A60" s="341"/>
      <c r="B60" s="434" t="s">
        <v>477</v>
      </c>
      <c r="C60" s="437"/>
      <c r="D60" s="437"/>
      <c r="E60" s="437"/>
      <c r="F60" s="517"/>
    </row>
    <row r="61" spans="1:16" x14ac:dyDescent="0.25">
      <c r="A61" s="341"/>
      <c r="B61" s="434" t="s">
        <v>478</v>
      </c>
      <c r="C61" s="437"/>
      <c r="D61" s="437"/>
      <c r="E61" s="437"/>
      <c r="F61" s="517"/>
      <c r="P61" s="4"/>
    </row>
    <row r="62" spans="1:16" x14ac:dyDescent="0.25">
      <c r="A62" s="526" t="s">
        <v>1114</v>
      </c>
      <c r="B62" s="434"/>
      <c r="C62" s="437"/>
      <c r="D62" s="437"/>
      <c r="E62" s="437"/>
      <c r="F62" s="517"/>
    </row>
    <row r="63" spans="1:16" x14ac:dyDescent="0.25">
      <c r="A63" s="333"/>
      <c r="B63" s="437"/>
      <c r="C63" s="437"/>
      <c r="D63" s="437"/>
      <c r="E63" s="437"/>
      <c r="F63" s="517"/>
      <c r="H63" s="4" t="s">
        <v>22</v>
      </c>
    </row>
    <row r="64" spans="1:16" ht="15.75" thickBot="1" x14ac:dyDescent="0.3">
      <c r="A64" s="341" t="s">
        <v>465</v>
      </c>
      <c r="B64" s="434"/>
      <c r="C64" s="437"/>
      <c r="D64" s="437"/>
      <c r="E64" s="437"/>
      <c r="F64" s="517"/>
      <c r="H64" s="2"/>
      <c r="I64" s="2" t="s">
        <v>888</v>
      </c>
      <c r="J64" s="2" t="s">
        <v>1079</v>
      </c>
    </row>
    <row r="65" spans="1:10" x14ac:dyDescent="0.25">
      <c r="A65" s="341" t="s">
        <v>475</v>
      </c>
      <c r="B65" s="434"/>
      <c r="C65" s="437"/>
      <c r="D65" s="437"/>
      <c r="E65" s="437"/>
      <c r="F65" s="517"/>
      <c r="H65" s="527" t="s">
        <v>23</v>
      </c>
      <c r="I65" s="528">
        <v>0</v>
      </c>
      <c r="J65" s="529">
        <v>0</v>
      </c>
    </row>
    <row r="66" spans="1:10" ht="15.75" thickBot="1" x14ac:dyDescent="0.3">
      <c r="A66" s="341" t="s">
        <v>1099</v>
      </c>
      <c r="B66" s="434"/>
      <c r="C66" s="437"/>
      <c r="D66" s="437"/>
      <c r="E66" s="437"/>
      <c r="F66" s="517"/>
      <c r="H66" s="530" t="s">
        <v>24</v>
      </c>
      <c r="I66" s="122">
        <f>I65+$E$9</f>
        <v>1.55</v>
      </c>
      <c r="J66" s="132">
        <f>J65</f>
        <v>0</v>
      </c>
    </row>
    <row r="67" spans="1:10" x14ac:dyDescent="0.25">
      <c r="A67" s="341" t="s">
        <v>462</v>
      </c>
      <c r="B67" s="434"/>
      <c r="C67" s="437"/>
      <c r="D67" s="437"/>
      <c r="E67" s="437"/>
      <c r="F67" s="517"/>
      <c r="H67" s="531" t="s">
        <v>119</v>
      </c>
      <c r="I67" s="130">
        <f>I65+E9*0.25-E10*0.25</f>
        <v>0.135625</v>
      </c>
      <c r="J67" s="133">
        <f>E5</f>
        <v>7.34</v>
      </c>
    </row>
    <row r="68" spans="1:10" ht="15.75" thickBot="1" x14ac:dyDescent="0.3">
      <c r="A68" s="341"/>
      <c r="B68" s="434" t="s">
        <v>463</v>
      </c>
      <c r="C68" s="437"/>
      <c r="D68" s="437"/>
      <c r="E68" s="437"/>
      <c r="F68" s="517"/>
      <c r="H68" s="532" t="s">
        <v>120</v>
      </c>
      <c r="I68" s="8">
        <f>I67+E10</f>
        <v>1.1431249999999999</v>
      </c>
      <c r="J68" s="134">
        <f>J67</f>
        <v>7.34</v>
      </c>
    </row>
    <row r="69" spans="1:10" ht="15.75" thickBot="1" x14ac:dyDescent="0.3">
      <c r="A69" s="341"/>
      <c r="B69" s="434" t="s">
        <v>464</v>
      </c>
      <c r="C69" s="437"/>
      <c r="D69" s="437"/>
      <c r="E69" s="437"/>
      <c r="F69" s="517"/>
      <c r="H69" s="533" t="s">
        <v>143</v>
      </c>
      <c r="I69" s="534">
        <f>I65+0.25*E9</f>
        <v>0.38750000000000001</v>
      </c>
      <c r="J69" s="196">
        <f>J65</f>
        <v>0</v>
      </c>
    </row>
    <row r="70" spans="1:10" x14ac:dyDescent="0.25">
      <c r="A70" s="341" t="s">
        <v>466</v>
      </c>
      <c r="B70" s="434"/>
      <c r="C70" s="437"/>
      <c r="D70" s="437"/>
      <c r="E70" s="437"/>
      <c r="F70" s="517"/>
      <c r="H70" s="128" t="s">
        <v>123</v>
      </c>
      <c r="I70" s="8">
        <f>I65+E12*E9</f>
        <v>0.38750000000000001</v>
      </c>
      <c r="J70" s="134">
        <f>J65</f>
        <v>0</v>
      </c>
    </row>
    <row r="71" spans="1:10" ht="15.75" thickBot="1" x14ac:dyDescent="0.3">
      <c r="A71" s="341"/>
      <c r="B71" s="434" t="s">
        <v>467</v>
      </c>
      <c r="C71" s="437"/>
      <c r="D71" s="437"/>
      <c r="E71" s="437"/>
      <c r="F71" s="517"/>
      <c r="H71" s="131" t="s">
        <v>124</v>
      </c>
      <c r="I71" s="122">
        <f>I67+E10*E12</f>
        <v>0.38750000000000001</v>
      </c>
      <c r="J71" s="132">
        <f>J67</f>
        <v>7.34</v>
      </c>
    </row>
    <row r="72" spans="1:10" x14ac:dyDescent="0.25">
      <c r="A72" s="341"/>
      <c r="B72" s="434" t="s">
        <v>597</v>
      </c>
      <c r="C72" s="437"/>
      <c r="D72" s="437"/>
      <c r="E72" s="437"/>
      <c r="F72" s="517"/>
      <c r="H72" s="129" t="s">
        <v>125</v>
      </c>
      <c r="I72" s="130">
        <f>I65+E9*E15</f>
        <v>1.1625000000000001</v>
      </c>
      <c r="J72" s="133">
        <f>J65</f>
        <v>0</v>
      </c>
    </row>
    <row r="73" spans="1:10" ht="15.75" thickBot="1" x14ac:dyDescent="0.3">
      <c r="A73" s="333"/>
      <c r="B73" s="437"/>
      <c r="C73" s="437"/>
      <c r="D73" s="437"/>
      <c r="E73" s="437"/>
      <c r="F73" s="517"/>
      <c r="H73" s="131" t="s">
        <v>126</v>
      </c>
      <c r="I73" s="122">
        <f>I67+E10*E15</f>
        <v>0.89124999999999999</v>
      </c>
      <c r="J73" s="132">
        <f>J67</f>
        <v>7.34</v>
      </c>
    </row>
    <row r="74" spans="1:10" ht="15.75" thickBot="1" x14ac:dyDescent="0.3">
      <c r="A74" s="331"/>
      <c r="B74" s="535"/>
      <c r="C74" s="535"/>
      <c r="D74" s="535"/>
      <c r="E74" s="535"/>
      <c r="F74" s="536"/>
    </row>
    <row r="75" spans="1:10" x14ac:dyDescent="0.25">
      <c r="A75" s="799" t="s">
        <v>1110</v>
      </c>
      <c r="B75" s="509"/>
      <c r="C75" s="509"/>
      <c r="D75" s="509"/>
      <c r="E75" s="509"/>
      <c r="F75" s="800"/>
    </row>
    <row r="76" spans="1:10" x14ac:dyDescent="0.25">
      <c r="A76" s="332" t="s">
        <v>1111</v>
      </c>
      <c r="B76" s="437"/>
      <c r="C76" s="437"/>
      <c r="D76" s="437"/>
      <c r="E76" s="437"/>
      <c r="F76" s="517"/>
    </row>
    <row r="77" spans="1:10" x14ac:dyDescent="0.25">
      <c r="A77" s="332" t="s">
        <v>1112</v>
      </c>
      <c r="B77" s="437"/>
      <c r="C77" s="437"/>
      <c r="D77" s="437"/>
      <c r="E77" s="437"/>
      <c r="F77" s="517"/>
    </row>
    <row r="78" spans="1:10" x14ac:dyDescent="0.25">
      <c r="A78" s="801" t="s">
        <v>1113</v>
      </c>
      <c r="B78" s="437"/>
      <c r="C78" s="437"/>
      <c r="D78" s="437"/>
      <c r="E78" s="437"/>
      <c r="F78" s="517"/>
    </row>
    <row r="79" spans="1:10" x14ac:dyDescent="0.25">
      <c r="A79" s="801"/>
      <c r="B79" s="437"/>
      <c r="C79" s="437"/>
      <c r="D79" s="437"/>
      <c r="E79" s="437"/>
      <c r="F79" s="517"/>
    </row>
    <row r="80" spans="1:10" x14ac:dyDescent="0.25">
      <c r="A80" s="332" t="s">
        <v>1115</v>
      </c>
      <c r="B80" s="437"/>
      <c r="C80" s="434"/>
      <c r="D80" s="434"/>
      <c r="E80" s="434"/>
      <c r="F80" s="802"/>
    </row>
    <row r="81" spans="1:6" x14ac:dyDescent="0.25">
      <c r="A81" s="332" t="s">
        <v>1116</v>
      </c>
      <c r="B81" s="437"/>
      <c r="C81" s="434"/>
      <c r="D81" s="434"/>
      <c r="E81" s="434"/>
      <c r="F81" s="802"/>
    </row>
    <row r="82" spans="1:6" x14ac:dyDescent="0.25">
      <c r="A82" s="332" t="s">
        <v>1140</v>
      </c>
      <c r="B82" s="437"/>
      <c r="C82" s="434"/>
      <c r="D82" s="434"/>
      <c r="E82" s="434"/>
      <c r="F82" s="802"/>
    </row>
    <row r="83" spans="1:6" x14ac:dyDescent="0.25">
      <c r="A83" s="332"/>
      <c r="B83" s="437"/>
      <c r="C83" s="434"/>
      <c r="D83" s="434"/>
      <c r="E83" s="434"/>
      <c r="F83" s="802"/>
    </row>
    <row r="84" spans="1:6" x14ac:dyDescent="0.25">
      <c r="A84" s="803" t="s">
        <v>1121</v>
      </c>
      <c r="B84" s="437"/>
      <c r="C84" s="434"/>
      <c r="D84" s="434"/>
      <c r="E84" s="434"/>
      <c r="F84" s="802"/>
    </row>
    <row r="85" spans="1:6" x14ac:dyDescent="0.25">
      <c r="A85" s="332" t="s">
        <v>1120</v>
      </c>
      <c r="B85" s="437"/>
      <c r="C85" s="434"/>
      <c r="D85" s="434"/>
      <c r="E85" s="434"/>
      <c r="F85" s="802"/>
    </row>
    <row r="86" spans="1:6" x14ac:dyDescent="0.25">
      <c r="A86" s="332" t="s">
        <v>1122</v>
      </c>
      <c r="B86" s="437"/>
      <c r="C86" s="434"/>
      <c r="D86" s="434"/>
      <c r="E86" s="434"/>
      <c r="F86" s="802"/>
    </row>
    <row r="87" spans="1:6" x14ac:dyDescent="0.25">
      <c r="A87" s="341" t="s">
        <v>473</v>
      </c>
      <c r="B87" s="437"/>
      <c r="C87" s="434"/>
      <c r="D87" s="434"/>
      <c r="E87" s="434"/>
      <c r="F87" s="802"/>
    </row>
    <row r="88" spans="1:6" x14ac:dyDescent="0.25">
      <c r="A88" s="332"/>
      <c r="B88" s="437"/>
      <c r="C88" s="434"/>
      <c r="D88" s="434"/>
      <c r="E88" s="434"/>
      <c r="F88" s="802"/>
    </row>
    <row r="89" spans="1:6" x14ac:dyDescent="0.25">
      <c r="A89" s="804" t="s">
        <v>1123</v>
      </c>
      <c r="B89" s="437"/>
      <c r="C89" s="434"/>
      <c r="D89" s="434"/>
      <c r="E89" s="434"/>
      <c r="F89" s="802"/>
    </row>
    <row r="90" spans="1:6" x14ac:dyDescent="0.25">
      <c r="A90" s="804" t="s">
        <v>1131</v>
      </c>
      <c r="B90" s="437"/>
      <c r="C90" s="434"/>
      <c r="D90" s="434"/>
      <c r="E90" s="434"/>
      <c r="F90" s="802"/>
    </row>
    <row r="91" spans="1:6" x14ac:dyDescent="0.25">
      <c r="A91" s="332" t="s">
        <v>1124</v>
      </c>
      <c r="B91" s="437"/>
      <c r="C91" s="434"/>
      <c r="D91" s="434"/>
      <c r="E91" s="434"/>
      <c r="F91" s="802"/>
    </row>
    <row r="92" spans="1:6" x14ac:dyDescent="0.25">
      <c r="A92" s="332" t="s">
        <v>1125</v>
      </c>
      <c r="B92" s="437"/>
      <c r="C92" s="437"/>
      <c r="D92" s="434"/>
      <c r="E92" s="434"/>
      <c r="F92" s="802"/>
    </row>
    <row r="93" spans="1:6" x14ac:dyDescent="0.25">
      <c r="A93" s="332" t="s">
        <v>1126</v>
      </c>
      <c r="B93" s="437"/>
      <c r="C93" s="437"/>
      <c r="D93" s="434"/>
      <c r="E93" s="434"/>
      <c r="F93" s="802"/>
    </row>
    <row r="94" spans="1:6" x14ac:dyDescent="0.25">
      <c r="A94" s="332"/>
      <c r="B94" s="437"/>
      <c r="C94" s="437"/>
      <c r="D94" s="434"/>
      <c r="E94" s="434"/>
      <c r="F94" s="802"/>
    </row>
    <row r="95" spans="1:6" x14ac:dyDescent="0.25">
      <c r="A95" s="805" t="s">
        <v>1127</v>
      </c>
      <c r="B95" s="437"/>
      <c r="C95" s="437"/>
      <c r="D95" s="434"/>
      <c r="E95" s="434"/>
      <c r="F95" s="802"/>
    </row>
    <row r="96" spans="1:6" x14ac:dyDescent="0.25">
      <c r="A96" s="332" t="s">
        <v>944</v>
      </c>
      <c r="B96" s="437"/>
      <c r="C96" s="437"/>
      <c r="D96" s="434"/>
      <c r="E96" s="434"/>
      <c r="F96" s="802"/>
    </row>
    <row r="97" spans="1:6" x14ac:dyDescent="0.25">
      <c r="A97" s="332" t="s">
        <v>880</v>
      </c>
      <c r="B97" s="437"/>
      <c r="C97" s="437"/>
      <c r="D97" s="434"/>
      <c r="E97" s="434"/>
      <c r="F97" s="802"/>
    </row>
    <row r="98" spans="1:6" x14ac:dyDescent="0.25">
      <c r="A98" s="332" t="s">
        <v>1128</v>
      </c>
      <c r="B98" s="437"/>
      <c r="C98" s="437"/>
      <c r="D98" s="434"/>
      <c r="E98" s="434"/>
      <c r="F98" s="802"/>
    </row>
    <row r="99" spans="1:6" x14ac:dyDescent="0.25">
      <c r="A99" s="332" t="s">
        <v>1129</v>
      </c>
      <c r="B99" s="437"/>
      <c r="C99" s="437"/>
      <c r="D99" s="434"/>
      <c r="E99" s="434"/>
      <c r="F99" s="802"/>
    </row>
    <row r="100" spans="1:6" x14ac:dyDescent="0.25">
      <c r="A100" s="332"/>
      <c r="B100" s="437"/>
      <c r="C100" s="437"/>
      <c r="D100" s="434"/>
      <c r="E100" s="434"/>
      <c r="F100" s="802"/>
    </row>
    <row r="101" spans="1:6" x14ac:dyDescent="0.25">
      <c r="A101" s="332" t="s">
        <v>1132</v>
      </c>
      <c r="B101" s="437"/>
      <c r="C101" s="437"/>
      <c r="D101" s="434"/>
      <c r="E101" s="434"/>
      <c r="F101" s="802"/>
    </row>
    <row r="102" spans="1:6" x14ac:dyDescent="0.25">
      <c r="A102" s="332"/>
      <c r="B102" s="437"/>
      <c r="C102" s="437"/>
      <c r="D102" s="437"/>
      <c r="E102" s="434"/>
      <c r="F102" s="802"/>
    </row>
    <row r="103" spans="1:6" x14ac:dyDescent="0.25">
      <c r="A103" s="804" t="s">
        <v>1141</v>
      </c>
      <c r="B103" s="437"/>
      <c r="C103" s="437"/>
      <c r="D103" s="434"/>
      <c r="E103" s="434"/>
      <c r="F103" s="802"/>
    </row>
    <row r="104" spans="1:6" x14ac:dyDescent="0.25">
      <c r="A104" s="804" t="s">
        <v>1130</v>
      </c>
      <c r="B104" s="437"/>
      <c r="C104" s="437"/>
      <c r="D104" s="434"/>
      <c r="E104" s="434"/>
      <c r="F104" s="802"/>
    </row>
    <row r="105" spans="1:6" x14ac:dyDescent="0.25">
      <c r="A105" s="332" t="s">
        <v>1126</v>
      </c>
      <c r="B105" s="437"/>
      <c r="C105" s="434"/>
      <c r="D105" s="434"/>
      <c r="E105" s="434"/>
      <c r="F105" s="802"/>
    </row>
    <row r="106" spans="1:6" x14ac:dyDescent="0.25">
      <c r="A106" s="332"/>
      <c r="B106" s="437"/>
      <c r="C106" s="434"/>
      <c r="D106" s="434"/>
      <c r="E106" s="434"/>
      <c r="F106" s="802"/>
    </row>
    <row r="107" spans="1:6" x14ac:dyDescent="0.25">
      <c r="A107" s="805" t="s">
        <v>1127</v>
      </c>
      <c r="B107" s="437"/>
      <c r="C107" s="434"/>
      <c r="D107" s="434"/>
      <c r="E107" s="434"/>
      <c r="F107" s="802"/>
    </row>
    <row r="108" spans="1:6" x14ac:dyDescent="0.25">
      <c r="A108" s="332" t="s">
        <v>1134</v>
      </c>
      <c r="B108" s="437"/>
      <c r="C108" s="434"/>
      <c r="D108" s="434"/>
      <c r="E108" s="434"/>
      <c r="F108" s="802"/>
    </row>
    <row r="109" spans="1:6" x14ac:dyDescent="0.25">
      <c r="A109" s="332" t="s">
        <v>1135</v>
      </c>
      <c r="B109" s="437"/>
      <c r="C109" s="434"/>
      <c r="D109" s="434"/>
      <c r="E109" s="437"/>
      <c r="F109" s="802"/>
    </row>
    <row r="110" spans="1:6" x14ac:dyDescent="0.25">
      <c r="A110" s="332" t="s">
        <v>1136</v>
      </c>
      <c r="B110" s="437"/>
      <c r="C110" s="434"/>
      <c r="D110" s="434"/>
      <c r="E110" s="437"/>
      <c r="F110" s="802"/>
    </row>
    <row r="111" spans="1:6" x14ac:dyDescent="0.25">
      <c r="A111" s="332" t="s">
        <v>1137</v>
      </c>
      <c r="B111" s="437"/>
      <c r="C111" s="434"/>
      <c r="D111" s="434"/>
      <c r="E111" s="437"/>
      <c r="F111" s="802"/>
    </row>
    <row r="112" spans="1:6" x14ac:dyDescent="0.25">
      <c r="A112" s="805" t="s">
        <v>1143</v>
      </c>
      <c r="B112" s="437"/>
      <c r="C112" s="434"/>
      <c r="D112" s="434"/>
      <c r="E112" s="437"/>
      <c r="F112" s="802"/>
    </row>
    <row r="113" spans="1:6" x14ac:dyDescent="0.25">
      <c r="A113" s="805" t="s">
        <v>1142</v>
      </c>
      <c r="B113" s="437"/>
      <c r="C113" s="434"/>
      <c r="D113" s="434"/>
      <c r="E113" s="437"/>
      <c r="F113" s="802"/>
    </row>
    <row r="114" spans="1:6" x14ac:dyDescent="0.25">
      <c r="A114" s="805" t="s">
        <v>1144</v>
      </c>
      <c r="B114" s="437"/>
      <c r="C114" s="434"/>
      <c r="D114" s="434"/>
      <c r="E114" s="437"/>
      <c r="F114" s="802"/>
    </row>
    <row r="115" spans="1:6" x14ac:dyDescent="0.25">
      <c r="A115" s="332"/>
      <c r="B115" s="437"/>
      <c r="C115" s="434"/>
      <c r="D115" s="434"/>
      <c r="E115" s="437"/>
      <c r="F115" s="802"/>
    </row>
    <row r="116" spans="1:6" x14ac:dyDescent="0.25">
      <c r="A116" s="804" t="s">
        <v>1151</v>
      </c>
      <c r="B116" s="437"/>
      <c r="C116" s="434"/>
      <c r="D116" s="434"/>
      <c r="E116" s="437"/>
      <c r="F116" s="802"/>
    </row>
    <row r="117" spans="1:6" x14ac:dyDescent="0.25">
      <c r="A117" s="804" t="s">
        <v>1145</v>
      </c>
      <c r="B117" s="437"/>
      <c r="C117" s="434"/>
      <c r="D117" s="434"/>
      <c r="E117" s="437"/>
      <c r="F117" s="802"/>
    </row>
    <row r="118" spans="1:6" x14ac:dyDescent="0.25">
      <c r="A118" s="332" t="s">
        <v>1154</v>
      </c>
      <c r="B118" s="437"/>
      <c r="C118" s="434"/>
      <c r="D118" s="434"/>
      <c r="E118" s="437"/>
      <c r="F118" s="802"/>
    </row>
    <row r="119" spans="1:6" x14ac:dyDescent="0.25">
      <c r="A119" s="332" t="s">
        <v>1146</v>
      </c>
      <c r="B119" s="437"/>
      <c r="C119" s="437"/>
      <c r="D119" s="437"/>
      <c r="E119" s="437"/>
      <c r="F119" s="517"/>
    </row>
    <row r="120" spans="1:6" x14ac:dyDescent="0.25">
      <c r="A120" s="332"/>
      <c r="B120" s="437"/>
      <c r="C120" s="437"/>
      <c r="D120" s="437"/>
      <c r="E120" s="437"/>
      <c r="F120" s="517"/>
    </row>
    <row r="121" spans="1:6" x14ac:dyDescent="0.25">
      <c r="A121" s="805" t="s">
        <v>1155</v>
      </c>
      <c r="B121" s="437"/>
      <c r="C121" s="437"/>
      <c r="D121" s="437"/>
      <c r="E121" s="437"/>
      <c r="F121" s="517"/>
    </row>
    <row r="122" spans="1:6" x14ac:dyDescent="0.25">
      <c r="A122" s="332" t="s">
        <v>1160</v>
      </c>
      <c r="B122" s="437"/>
      <c r="C122" s="437"/>
      <c r="D122" s="437"/>
      <c r="E122" s="437"/>
      <c r="F122" s="517"/>
    </row>
    <row r="123" spans="1:6" x14ac:dyDescent="0.25">
      <c r="A123" s="332" t="s">
        <v>1152</v>
      </c>
      <c r="B123" s="437"/>
      <c r="C123" s="437"/>
      <c r="D123" s="437"/>
      <c r="E123" s="437"/>
      <c r="F123" s="517"/>
    </row>
    <row r="124" spans="1:6" x14ac:dyDescent="0.25">
      <c r="A124" s="332"/>
      <c r="B124" s="437"/>
      <c r="C124" s="437"/>
      <c r="D124" s="437"/>
      <c r="E124" s="437"/>
      <c r="F124" s="517"/>
    </row>
    <row r="125" spans="1:6" x14ac:dyDescent="0.25">
      <c r="A125" s="332" t="s">
        <v>1147</v>
      </c>
      <c r="B125" s="437"/>
      <c r="C125" s="437"/>
      <c r="D125" s="437"/>
      <c r="E125" s="437"/>
      <c r="F125" s="517"/>
    </row>
    <row r="126" spans="1:6" x14ac:dyDescent="0.25">
      <c r="A126" s="332" t="s">
        <v>1153</v>
      </c>
      <c r="B126" s="437"/>
      <c r="C126" s="437"/>
      <c r="D126" s="437"/>
      <c r="E126" s="437"/>
      <c r="F126" s="517"/>
    </row>
    <row r="127" spans="1:6" x14ac:dyDescent="0.25">
      <c r="A127" s="332"/>
      <c r="B127" s="437"/>
      <c r="C127" s="437"/>
      <c r="D127" s="437"/>
      <c r="E127" s="437"/>
      <c r="F127" s="517"/>
    </row>
    <row r="128" spans="1:6" x14ac:dyDescent="0.25">
      <c r="A128" s="332" t="s">
        <v>1148</v>
      </c>
      <c r="B128" s="437"/>
      <c r="C128" s="437"/>
      <c r="D128" s="437"/>
      <c r="E128" s="437"/>
      <c r="F128" s="517"/>
    </row>
    <row r="129" spans="1:6" x14ac:dyDescent="0.25">
      <c r="A129" s="332" t="s">
        <v>1149</v>
      </c>
      <c r="B129" s="437"/>
      <c r="C129" s="437"/>
      <c r="D129" s="437"/>
      <c r="E129" s="437"/>
      <c r="F129" s="517"/>
    </row>
    <row r="130" spans="1:6" x14ac:dyDescent="0.25">
      <c r="A130" s="332" t="s">
        <v>1150</v>
      </c>
      <c r="B130" s="437"/>
      <c r="C130" s="437"/>
      <c r="D130" s="437"/>
      <c r="E130" s="437"/>
      <c r="F130" s="517"/>
    </row>
    <row r="131" spans="1:6" x14ac:dyDescent="0.25">
      <c r="A131" s="332"/>
      <c r="B131" s="437"/>
      <c r="C131" s="437"/>
      <c r="D131" s="437"/>
      <c r="E131" s="437"/>
      <c r="F131" s="517"/>
    </row>
    <row r="132" spans="1:6" x14ac:dyDescent="0.25">
      <c r="A132" s="804" t="s">
        <v>1156</v>
      </c>
      <c r="B132" s="437"/>
      <c r="C132" s="437"/>
      <c r="D132" s="437"/>
      <c r="E132" s="437"/>
      <c r="F132" s="517"/>
    </row>
    <row r="133" spans="1:6" x14ac:dyDescent="0.25">
      <c r="A133" s="332" t="s">
        <v>1157</v>
      </c>
      <c r="B133" s="437"/>
      <c r="C133" s="437"/>
      <c r="D133" s="437"/>
      <c r="E133" s="437"/>
      <c r="F133" s="517"/>
    </row>
    <row r="134" spans="1:6" x14ac:dyDescent="0.25">
      <c r="A134" s="332" t="s">
        <v>1158</v>
      </c>
      <c r="B134" s="437"/>
      <c r="C134" s="437"/>
      <c r="D134" s="437"/>
      <c r="E134" s="437"/>
      <c r="F134" s="517"/>
    </row>
    <row r="135" spans="1:6" x14ac:dyDescent="0.25">
      <c r="A135" s="332" t="s">
        <v>1161</v>
      </c>
      <c r="B135" s="437"/>
      <c r="C135" s="437"/>
      <c r="D135" s="437"/>
      <c r="E135" s="437"/>
      <c r="F135" s="517"/>
    </row>
    <row r="136" spans="1:6" ht="15.75" thickBot="1" x14ac:dyDescent="0.3">
      <c r="A136" s="331" t="s">
        <v>1159</v>
      </c>
      <c r="B136" s="535"/>
      <c r="C136" s="535"/>
      <c r="D136" s="535"/>
      <c r="E136" s="535"/>
      <c r="F136" s="536"/>
    </row>
  </sheetData>
  <mergeCells count="5">
    <mergeCell ref="P3:X3"/>
    <mergeCell ref="P4:U4"/>
    <mergeCell ref="P11:U11"/>
    <mergeCell ref="P17:U17"/>
    <mergeCell ref="P23:U23"/>
  </mergeCells>
  <conditionalFormatting sqref="U32:U43">
    <cfRule type="colorScale" priority="5">
      <colorScale>
        <cfvo type="min"/>
        <cfvo type="percentile" val="50"/>
        <cfvo type="max"/>
        <color rgb="FF63BE7B"/>
        <color rgb="FFFFEB84"/>
        <color rgb="FFF8696B"/>
      </colorScale>
    </cfRule>
  </conditionalFormatting>
  <conditionalFormatting sqref="U56:U67">
    <cfRule type="colorScale" priority="2">
      <colorScale>
        <cfvo type="min"/>
        <cfvo type="percentile" val="50"/>
        <cfvo type="max"/>
        <color rgb="FF63BE7B"/>
        <color rgb="FFFFEB84"/>
        <color rgb="FFF8696B"/>
      </colorScale>
    </cfRule>
  </conditionalFormatting>
  <conditionalFormatting sqref="V28">
    <cfRule type="cellIs" dxfId="1" priority="1" operator="lessThan">
      <formula>1</formula>
    </cfRule>
  </conditionalFormatting>
  <conditionalFormatting sqref="V32:V43">
    <cfRule type="colorScale" priority="6">
      <colorScale>
        <cfvo type="min"/>
        <cfvo type="percentile" val="50"/>
        <cfvo type="max"/>
        <color rgb="FF63BE7B"/>
        <color rgb="FFFFEB84"/>
        <color rgb="FFF8696B"/>
      </colorScale>
    </cfRule>
  </conditionalFormatting>
  <conditionalFormatting sqref="V56:V67">
    <cfRule type="colorScale" priority="3">
      <colorScale>
        <cfvo type="min"/>
        <cfvo type="percentile" val="50"/>
        <cfvo type="max"/>
        <color rgb="FF63BE7B"/>
        <color rgb="FFFFEB84"/>
        <color rgb="FFF8696B"/>
      </colorScale>
    </cfRule>
  </conditionalFormatting>
  <conditionalFormatting sqref="W32:W43">
    <cfRule type="colorScale" priority="7">
      <colorScale>
        <cfvo type="min"/>
        <cfvo type="percentile" val="50"/>
        <cfvo type="max"/>
        <color rgb="FF63BE7B"/>
        <color rgb="FFFFEB84"/>
        <color rgb="FFF8696B"/>
      </colorScale>
    </cfRule>
  </conditionalFormatting>
  <conditionalFormatting sqref="W56:W67">
    <cfRule type="colorScale" priority="4">
      <colorScale>
        <cfvo type="min"/>
        <cfvo type="percentile" val="50"/>
        <cfvo type="max"/>
        <color rgb="FF63BE7B"/>
        <color rgb="FFFFEB84"/>
        <color rgb="FFF8696B"/>
      </colorScale>
    </cfRule>
  </conditionalFormatting>
  <dataValidations count="1">
    <dataValidation type="list" allowBlank="1" showInputMessage="1" showErrorMessage="1" sqref="E13" xr:uid="{FCE48EE7-D557-4F84-B7EE-DF22BC543A6B}">
      <formula1>"FALSE,TRUE"</formula1>
    </dataValidation>
  </dataValidations>
  <hyperlinks>
    <hyperlink ref="A78" r:id="rId1" xr:uid="{B12522DF-6389-49DF-9623-E2742E93AF29}"/>
  </hyperlinks>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66FF"/>
  </sheetPr>
  <dimension ref="A1:X115"/>
  <sheetViews>
    <sheetView zoomScaleNormal="100" workbookViewId="0">
      <selection activeCell="E18" sqref="E18:E19"/>
    </sheetView>
  </sheetViews>
  <sheetFormatPr defaultRowHeight="15" x14ac:dyDescent="0.25"/>
  <cols>
    <col min="1" max="1" width="53.5703125" style="5" customWidth="1"/>
    <col min="2" max="2" width="79.85546875" style="2" customWidth="1"/>
    <col min="3" max="3" width="14.140625" style="2" bestFit="1" customWidth="1"/>
    <col min="4" max="4" width="8.7109375" style="2" customWidth="1"/>
    <col min="5" max="5" width="14.5703125" style="2" customWidth="1"/>
    <col min="6" max="6" width="55.7109375" style="2" customWidth="1"/>
    <col min="7" max="8" width="19" bestFit="1" customWidth="1"/>
    <col min="9" max="14" width="8.5703125" customWidth="1"/>
    <col min="15" max="15" width="4.42578125" customWidth="1"/>
    <col min="16" max="17" width="8.5703125" customWidth="1"/>
    <col min="18" max="18" width="6.140625" customWidth="1"/>
    <col min="20" max="20" width="14.42578125" customWidth="1"/>
    <col min="21" max="21" width="17.7109375" bestFit="1" customWidth="1"/>
    <col min="22" max="22" width="18.140625" bestFit="1" customWidth="1"/>
    <col min="23" max="23" width="21.42578125" bestFit="1" customWidth="1"/>
    <col min="24" max="24" width="15.140625" customWidth="1"/>
  </cols>
  <sheetData>
    <row r="1" spans="1:24" ht="15.75" thickBot="1" x14ac:dyDescent="0.3">
      <c r="A1" s="459"/>
      <c r="B1" s="124" t="s">
        <v>0</v>
      </c>
      <c r="C1" s="125" t="s">
        <v>1</v>
      </c>
      <c r="D1" s="125" t="s">
        <v>2</v>
      </c>
      <c r="E1" s="119" t="s">
        <v>3</v>
      </c>
      <c r="F1" s="120" t="s">
        <v>414</v>
      </c>
    </row>
    <row r="2" spans="1:24" ht="15.75" thickBot="1" x14ac:dyDescent="0.3">
      <c r="A2" s="460" t="s">
        <v>557</v>
      </c>
      <c r="B2" s="24" t="s">
        <v>558</v>
      </c>
      <c r="C2" s="24" t="s">
        <v>569</v>
      </c>
      <c r="D2" s="121" t="s">
        <v>17</v>
      </c>
      <c r="E2" s="728">
        <f>Inputs!E2*2.20462</f>
        <v>9709.5874039999981</v>
      </c>
      <c r="F2" s="126" t="s">
        <v>591</v>
      </c>
      <c r="P2" s="80" t="s">
        <v>598</v>
      </c>
    </row>
    <row r="3" spans="1:24" ht="15.75" thickBot="1" x14ac:dyDescent="0.3">
      <c r="A3" s="25"/>
      <c r="B3" s="2" t="s">
        <v>488</v>
      </c>
      <c r="C3" s="2" t="s">
        <v>490</v>
      </c>
      <c r="D3" s="2" t="s">
        <v>14</v>
      </c>
      <c r="E3" s="679">
        <f>Inputs!E3</f>
        <v>10</v>
      </c>
      <c r="F3" s="127" t="s">
        <v>592</v>
      </c>
      <c r="P3" s="821" t="str">
        <f>'Weight '!H10</f>
        <v xml:space="preserve">Sized Weight Summary - Composite Structure </v>
      </c>
      <c r="Q3" s="822">
        <f>'Weight '!I10</f>
        <v>0</v>
      </c>
      <c r="R3" s="822">
        <f>'Weight '!J10</f>
        <v>0</v>
      </c>
      <c r="S3" s="822">
        <f>'Weight '!K10</f>
        <v>0</v>
      </c>
      <c r="T3" s="822">
        <f>'Weight '!L10</f>
        <v>0</v>
      </c>
      <c r="U3" s="822">
        <f>'Weight '!M10</f>
        <v>0</v>
      </c>
      <c r="V3" s="822">
        <f>'Weight '!N10</f>
        <v>0</v>
      </c>
      <c r="W3" s="822">
        <f>'Weight '!O10</f>
        <v>0</v>
      </c>
      <c r="X3" s="823">
        <f>'Weight '!P10</f>
        <v>0</v>
      </c>
    </row>
    <row r="4" spans="1:24" ht="15.75" thickBot="1" x14ac:dyDescent="0.3">
      <c r="A4" s="28"/>
      <c r="B4" s="29" t="s">
        <v>489</v>
      </c>
      <c r="C4" s="29" t="s">
        <v>491</v>
      </c>
      <c r="D4" s="29" t="s">
        <v>14</v>
      </c>
      <c r="E4" s="679">
        <f>Inputs!E4</f>
        <v>-0.3</v>
      </c>
      <c r="F4" s="123" t="s">
        <v>593</v>
      </c>
      <c r="P4" s="824" t="str">
        <f>'Weight '!H11</f>
        <v>Wing Skins</v>
      </c>
      <c r="Q4" s="825">
        <f>'Weight '!I11</f>
        <v>0</v>
      </c>
      <c r="R4" s="825">
        <f>'Weight '!J11</f>
        <v>0</v>
      </c>
      <c r="S4" s="825">
        <f>'Weight '!K11</f>
        <v>0</v>
      </c>
      <c r="T4" s="825">
        <f>'Weight '!L11</f>
        <v>0</v>
      </c>
      <c r="U4" s="825">
        <f>'Weight '!M11</f>
        <v>0</v>
      </c>
      <c r="V4" s="335">
        <f>'Weight '!N11</f>
        <v>244.75887339547887</v>
      </c>
      <c r="W4" s="336"/>
      <c r="X4" s="336"/>
    </row>
    <row r="5" spans="1:24" x14ac:dyDescent="0.25">
      <c r="A5" s="273" t="s">
        <v>13</v>
      </c>
      <c r="B5" s="24" t="s">
        <v>9</v>
      </c>
      <c r="C5" s="24" t="s">
        <v>6</v>
      </c>
      <c r="D5" s="121" t="s">
        <v>7</v>
      </c>
      <c r="E5" s="729">
        <f>Inputs!E5*3.28084</f>
        <v>24.081365599999998</v>
      </c>
      <c r="F5" s="126"/>
      <c r="P5" s="332"/>
      <c r="Q5" s="333" t="str">
        <f>'Weight '!I12</f>
        <v>Upper Wing Skin</v>
      </c>
      <c r="R5" s="333"/>
      <c r="S5" s="333"/>
      <c r="T5" s="333"/>
      <c r="U5" s="333"/>
      <c r="V5" s="337"/>
      <c r="W5" s="338">
        <f>'Weight '!O12</f>
        <v>123.44360571250238</v>
      </c>
      <c r="X5" s="338"/>
    </row>
    <row r="6" spans="1:24" x14ac:dyDescent="0.25">
      <c r="B6" s="2" t="s">
        <v>587</v>
      </c>
      <c r="C6" s="2" t="s">
        <v>581</v>
      </c>
      <c r="D6" s="2" t="s">
        <v>14</v>
      </c>
      <c r="E6" s="730">
        <f>Inputs!E6</f>
        <v>0.25</v>
      </c>
      <c r="F6" s="18" t="s">
        <v>753</v>
      </c>
      <c r="P6" s="332"/>
      <c r="Q6" s="333"/>
      <c r="R6" s="333" t="str">
        <f>'Weight '!J13</f>
        <v>Upper Wing Skin Laminate</v>
      </c>
      <c r="S6" s="333"/>
      <c r="T6" s="333"/>
      <c r="U6" s="333"/>
      <c r="V6" s="337"/>
      <c r="W6" s="338"/>
      <c r="X6" s="338">
        <f>'Weight '!P13</f>
        <v>47.932805229076152</v>
      </c>
    </row>
    <row r="7" spans="1:24" x14ac:dyDescent="0.25">
      <c r="B7" s="2" t="s">
        <v>587</v>
      </c>
      <c r="C7" s="2" t="s">
        <v>582</v>
      </c>
      <c r="D7" s="2" t="s">
        <v>14</v>
      </c>
      <c r="E7" s="730">
        <f>Inputs!E7</f>
        <v>0.5</v>
      </c>
      <c r="F7" s="18" t="s">
        <v>753</v>
      </c>
      <c r="P7" s="332"/>
      <c r="Q7" s="333"/>
      <c r="R7" s="333" t="str">
        <f>'Weight '!J14</f>
        <v>Upper Wing Skin Core</v>
      </c>
      <c r="S7" s="333"/>
      <c r="T7" s="333"/>
      <c r="U7" s="333"/>
      <c r="V7" s="337"/>
      <c r="W7" s="338"/>
      <c r="X7" s="338">
        <f>'Weight '!P14</f>
        <v>75.510800483426308</v>
      </c>
    </row>
    <row r="8" spans="1:24" x14ac:dyDescent="0.25">
      <c r="B8" s="2" t="s">
        <v>587</v>
      </c>
      <c r="C8" s="2" t="s">
        <v>583</v>
      </c>
      <c r="D8" s="2" t="s">
        <v>14</v>
      </c>
      <c r="E8" s="730">
        <f>Inputs!E8</f>
        <v>0.75</v>
      </c>
      <c r="F8" s="18" t="s">
        <v>753</v>
      </c>
      <c r="P8" s="332"/>
      <c r="Q8" s="333" t="str">
        <f>'Weight '!I15</f>
        <v>Lower Wing Skin</v>
      </c>
      <c r="R8" s="333"/>
      <c r="S8" s="333"/>
      <c r="T8" s="333"/>
      <c r="U8" s="333"/>
      <c r="V8" s="337"/>
      <c r="W8" s="338">
        <f>'Weight '!O15</f>
        <v>121.31526768297648</v>
      </c>
      <c r="X8" s="338"/>
    </row>
    <row r="9" spans="1:24" x14ac:dyDescent="0.25">
      <c r="A9" s="143" t="s">
        <v>36</v>
      </c>
      <c r="B9" s="2" t="s">
        <v>8</v>
      </c>
      <c r="C9" s="2" t="s">
        <v>10</v>
      </c>
      <c r="D9" s="127" t="s">
        <v>7</v>
      </c>
      <c r="E9" s="552">
        <f>Inputs!E9*3.28084</f>
        <v>5.0853020000000004</v>
      </c>
      <c r="F9" s="18"/>
      <c r="P9" s="332"/>
      <c r="Q9" s="333"/>
      <c r="R9" s="333" t="str">
        <f>'Weight '!J16</f>
        <v>Lower Wing Skin Laminate</v>
      </c>
      <c r="S9" s="333"/>
      <c r="T9" s="333"/>
      <c r="U9" s="333"/>
      <c r="V9" s="337"/>
      <c r="W9" s="338"/>
      <c r="X9" s="338">
        <f>'Weight '!P16</f>
        <v>47.106377552712772</v>
      </c>
    </row>
    <row r="10" spans="1:24" ht="15.75" thickBot="1" x14ac:dyDescent="0.3">
      <c r="A10" s="461" t="s">
        <v>144</v>
      </c>
      <c r="B10" s="7" t="s">
        <v>11</v>
      </c>
      <c r="C10" s="2" t="s">
        <v>12</v>
      </c>
      <c r="D10" s="127" t="s">
        <v>7</v>
      </c>
      <c r="E10" s="730">
        <f>Inputs!E10*3.28084</f>
        <v>3.3054463000000003</v>
      </c>
      <c r="F10" s="18" t="s">
        <v>594</v>
      </c>
      <c r="P10" s="331"/>
      <c r="Q10" s="330"/>
      <c r="R10" s="330" t="str">
        <f>'Weight '!J17</f>
        <v>Lower Wing Skin Core</v>
      </c>
      <c r="S10" s="330"/>
      <c r="T10" s="330"/>
      <c r="U10" s="330"/>
      <c r="V10" s="337"/>
      <c r="W10" s="338"/>
      <c r="X10" s="338">
        <f>'Weight '!P17</f>
        <v>74.208890130263725</v>
      </c>
    </row>
    <row r="11" spans="1:24" ht="15.75" thickBot="1" x14ac:dyDescent="0.3">
      <c r="A11" s="460" t="s">
        <v>578</v>
      </c>
      <c r="B11" s="24" t="s">
        <v>18</v>
      </c>
      <c r="C11" s="24" t="s">
        <v>460</v>
      </c>
      <c r="D11" s="24" t="s">
        <v>14</v>
      </c>
      <c r="E11" s="731">
        <f>Inputs!E11</f>
        <v>0.18</v>
      </c>
      <c r="F11" s="121" t="s">
        <v>565</v>
      </c>
      <c r="P11" s="826" t="str">
        <f>'Weight '!H18</f>
        <v>Spar</v>
      </c>
      <c r="Q11" s="827">
        <f>'Weight '!I18</f>
        <v>0</v>
      </c>
      <c r="R11" s="827">
        <f>'Weight '!J18</f>
        <v>0</v>
      </c>
      <c r="S11" s="827">
        <f>'Weight '!K18</f>
        <v>0</v>
      </c>
      <c r="T11" s="827">
        <f>'Weight '!L18</f>
        <v>0</v>
      </c>
      <c r="U11" s="827">
        <f>'Weight '!M18</f>
        <v>0</v>
      </c>
      <c r="V11" s="339">
        <f>'Weight '!N18</f>
        <v>68.774326800065765</v>
      </c>
      <c r="W11" s="340"/>
      <c r="X11" s="340"/>
    </row>
    <row r="12" spans="1:24" x14ac:dyDescent="0.25">
      <c r="A12" s="143" t="s">
        <v>584</v>
      </c>
      <c r="B12" s="7" t="s">
        <v>20</v>
      </c>
      <c r="C12" s="2" t="s">
        <v>461</v>
      </c>
      <c r="D12" s="6" t="s">
        <v>14</v>
      </c>
      <c r="E12" s="730">
        <f>Inputs!E12</f>
        <v>0.25</v>
      </c>
      <c r="F12" s="127" t="s">
        <v>565</v>
      </c>
      <c r="P12" s="332"/>
      <c r="Q12" s="333" t="str">
        <f>'Weight '!I19</f>
        <v>Upper Cap</v>
      </c>
      <c r="R12" s="334"/>
      <c r="S12" s="333"/>
      <c r="T12" s="333"/>
      <c r="U12" s="333"/>
      <c r="V12" s="337"/>
      <c r="W12" s="338">
        <f>'Weight '!O19</f>
        <v>23.43386104768587</v>
      </c>
      <c r="X12" s="338"/>
    </row>
    <row r="13" spans="1:24" ht="15.75" thickBot="1" x14ac:dyDescent="0.3">
      <c r="A13" s="463" t="s">
        <v>458</v>
      </c>
      <c r="B13" s="276" t="s">
        <v>449</v>
      </c>
      <c r="C13" s="29" t="s">
        <v>448</v>
      </c>
      <c r="D13" s="277"/>
      <c r="E13" s="732" t="b">
        <f>Inputs!E13</f>
        <v>1</v>
      </c>
      <c r="F13" s="123" t="s">
        <v>565</v>
      </c>
      <c r="P13" s="332"/>
      <c r="Q13" s="333" t="str">
        <f>'Weight '!I20</f>
        <v>Lower Cap</v>
      </c>
      <c r="R13" s="334"/>
      <c r="S13" s="333"/>
      <c r="T13" s="333"/>
      <c r="U13" s="333"/>
      <c r="V13" s="337"/>
      <c r="W13" s="338">
        <f>'Weight '!O20</f>
        <v>23.43386104768587</v>
      </c>
      <c r="X13" s="338"/>
    </row>
    <row r="14" spans="1:24" x14ac:dyDescent="0.25">
      <c r="A14" s="460" t="s">
        <v>579</v>
      </c>
      <c r="B14" s="24" t="s">
        <v>19</v>
      </c>
      <c r="C14" s="24" t="s">
        <v>16</v>
      </c>
      <c r="D14" s="681" t="s">
        <v>14</v>
      </c>
      <c r="E14" s="731">
        <f>Inputs!E14</f>
        <v>0.09</v>
      </c>
      <c r="F14" s="121" t="s">
        <v>565</v>
      </c>
      <c r="P14" s="332"/>
      <c r="Q14" s="333" t="str">
        <f>'Weight '!I21</f>
        <v>Web</v>
      </c>
      <c r="R14" s="333"/>
      <c r="S14" s="333"/>
      <c r="T14" s="333"/>
      <c r="U14" s="333"/>
      <c r="V14" s="337"/>
      <c r="W14" s="338">
        <f>'Weight '!O21</f>
        <v>21.906604704694029</v>
      </c>
      <c r="X14" s="340"/>
    </row>
    <row r="15" spans="1:24" ht="15.75" thickBot="1" x14ac:dyDescent="0.3">
      <c r="A15" s="28"/>
      <c r="B15" s="276" t="s">
        <v>21</v>
      </c>
      <c r="C15" s="29" t="s">
        <v>15</v>
      </c>
      <c r="D15" s="277" t="s">
        <v>14</v>
      </c>
      <c r="E15" s="732">
        <f>Inputs!E15</f>
        <v>0.75</v>
      </c>
      <c r="F15" s="123" t="s">
        <v>565</v>
      </c>
      <c r="P15" s="332"/>
      <c r="Q15" s="333"/>
      <c r="R15" s="333" t="str">
        <f>'Weight '!J22</f>
        <v>Web Laminate</v>
      </c>
      <c r="S15" s="333"/>
      <c r="T15" s="333"/>
      <c r="U15" s="333"/>
      <c r="V15" s="337"/>
      <c r="W15" s="340"/>
      <c r="X15" s="338">
        <f>'Weight '!P22</f>
        <v>18.009745449347243</v>
      </c>
    </row>
    <row r="16" spans="1:24" ht="15.75" thickBot="1" x14ac:dyDescent="0.3">
      <c r="A16" s="460" t="s">
        <v>29</v>
      </c>
      <c r="B16" s="2" t="s">
        <v>25</v>
      </c>
      <c r="C16" s="2" t="s">
        <v>27</v>
      </c>
      <c r="D16" s="2" t="s">
        <v>14</v>
      </c>
      <c r="E16" s="730">
        <f>Inputs!E16</f>
        <v>1.5</v>
      </c>
      <c r="F16" s="127" t="s">
        <v>562</v>
      </c>
      <c r="P16" s="332"/>
      <c r="Q16" s="333"/>
      <c r="R16" s="333" t="str">
        <f>'Weight '!J23</f>
        <v>Web Core</v>
      </c>
      <c r="S16" s="333"/>
      <c r="T16" s="333"/>
      <c r="U16" s="333"/>
      <c r="V16" s="337"/>
      <c r="W16" s="340"/>
      <c r="X16" s="338">
        <f>'Weight '!P23</f>
        <v>3.8968592553468047</v>
      </c>
    </row>
    <row r="17" spans="1:24" ht="15.75" thickBot="1" x14ac:dyDescent="0.3">
      <c r="A17" s="28"/>
      <c r="B17" s="29" t="s">
        <v>447</v>
      </c>
      <c r="C17" s="29" t="s">
        <v>28</v>
      </c>
      <c r="D17" s="29" t="s">
        <v>14</v>
      </c>
      <c r="E17" s="732">
        <f>Inputs!E17</f>
        <v>1.8</v>
      </c>
      <c r="F17" s="123" t="s">
        <v>564</v>
      </c>
      <c r="P17" s="828" t="str">
        <f>'Weight '!H24</f>
        <v>Aft Web</v>
      </c>
      <c r="Q17" s="829">
        <f>'Weight '!I24</f>
        <v>0</v>
      </c>
      <c r="R17" s="829">
        <f>'Weight '!J24</f>
        <v>0</v>
      </c>
      <c r="S17" s="829">
        <f>'Weight '!K24</f>
        <v>0</v>
      </c>
      <c r="T17" s="829">
        <f>'Weight '!L24</f>
        <v>0</v>
      </c>
      <c r="U17" s="829">
        <f>'Weight '!M24</f>
        <v>0</v>
      </c>
      <c r="V17" s="339">
        <f>'Weight '!N24</f>
        <v>5.3485453326827956</v>
      </c>
      <c r="W17" s="340"/>
      <c r="X17" s="340"/>
    </row>
    <row r="18" spans="1:24" x14ac:dyDescent="0.25">
      <c r="A18" s="156" t="s">
        <v>62</v>
      </c>
      <c r="B18" s="2" t="s">
        <v>32</v>
      </c>
      <c r="C18" s="2" t="s">
        <v>43</v>
      </c>
      <c r="D18" s="127" t="s">
        <v>5</v>
      </c>
      <c r="E18" s="733">
        <f>Inputs!E18*145.038</f>
        <v>58015.200000000004</v>
      </c>
      <c r="F18" s="18" t="s">
        <v>494</v>
      </c>
      <c r="P18" s="466"/>
      <c r="Q18" s="467" t="str">
        <f>'Weight '!I25</f>
        <v>Upper Cap</v>
      </c>
      <c r="R18" s="468"/>
      <c r="S18" s="467"/>
      <c r="T18" s="467"/>
      <c r="U18" s="467"/>
      <c r="V18" s="341"/>
      <c r="W18" s="338">
        <f>'Weight '!O25</f>
        <v>0.36138944730254979</v>
      </c>
      <c r="X18" s="338"/>
    </row>
    <row r="19" spans="1:24" x14ac:dyDescent="0.25">
      <c r="A19" s="143" t="s">
        <v>455</v>
      </c>
      <c r="B19" s="2" t="s">
        <v>33</v>
      </c>
      <c r="C19" s="2" t="s">
        <v>44</v>
      </c>
      <c r="D19" s="127" t="s">
        <v>5</v>
      </c>
      <c r="E19" s="733">
        <f>Inputs!E19*145.038</f>
        <v>58015.200000000004</v>
      </c>
      <c r="F19" s="18" t="s">
        <v>494</v>
      </c>
      <c r="P19" s="332"/>
      <c r="Q19" s="333" t="str">
        <f>'Weight '!I26</f>
        <v>Lower Cap</v>
      </c>
      <c r="R19" s="334"/>
      <c r="S19" s="333"/>
      <c r="T19" s="333"/>
      <c r="U19" s="440"/>
      <c r="V19" s="341"/>
      <c r="W19" s="338">
        <f>'Weight '!O26</f>
        <v>0.36138944730254979</v>
      </c>
      <c r="X19" s="338"/>
    </row>
    <row r="20" spans="1:24" x14ac:dyDescent="0.25">
      <c r="A20" s="25"/>
      <c r="B20" s="2" t="s">
        <v>31</v>
      </c>
      <c r="C20" s="2" t="s">
        <v>37</v>
      </c>
      <c r="D20" s="127" t="s">
        <v>5</v>
      </c>
      <c r="E20" s="733">
        <f>Inputs!E20*145.038*1000</f>
        <v>15954180</v>
      </c>
      <c r="F20" s="18" t="s">
        <v>494</v>
      </c>
      <c r="P20" s="332"/>
      <c r="Q20" s="333" t="str">
        <f>'Weight '!I27</f>
        <v>Web Laminate</v>
      </c>
      <c r="R20" s="334"/>
      <c r="S20" s="333"/>
      <c r="T20" s="333"/>
      <c r="U20" s="440"/>
      <c r="V20" s="341"/>
      <c r="W20" s="338">
        <f>'Weight '!O27</f>
        <v>3.1659751271349235</v>
      </c>
      <c r="X20" s="338"/>
    </row>
    <row r="21" spans="1:24" ht="15.75" thickBot="1" x14ac:dyDescent="0.3">
      <c r="A21" s="143" t="s">
        <v>457</v>
      </c>
      <c r="B21" s="2" t="s">
        <v>454</v>
      </c>
      <c r="C21" s="2" t="s">
        <v>456</v>
      </c>
      <c r="D21" s="127" t="s">
        <v>4</v>
      </c>
      <c r="E21" s="734">
        <f>Inputs!E21/25.4</f>
        <v>0.11811023622047245</v>
      </c>
      <c r="F21" s="18" t="s">
        <v>563</v>
      </c>
      <c r="P21" s="331"/>
      <c r="Q21" s="330" t="str">
        <f>'Weight '!I28</f>
        <v>Core</v>
      </c>
      <c r="R21" s="469"/>
      <c r="S21" s="330"/>
      <c r="T21" s="330"/>
      <c r="U21" s="330"/>
      <c r="V21" s="341"/>
      <c r="W21" s="338">
        <f>'Weight '!O28</f>
        <v>1.4597913109427736</v>
      </c>
      <c r="X21" s="338"/>
    </row>
    <row r="22" spans="1:24" ht="15.75" thickBot="1" x14ac:dyDescent="0.3">
      <c r="A22" s="25"/>
      <c r="B22" s="2" t="s">
        <v>30</v>
      </c>
      <c r="C22" s="2" t="s">
        <v>38</v>
      </c>
      <c r="D22" s="127" t="s">
        <v>39</v>
      </c>
      <c r="E22" s="735">
        <f>Inputs!E22/27679.9</f>
        <v>6.141640685118082E-2</v>
      </c>
      <c r="F22" s="18" t="s">
        <v>494</v>
      </c>
      <c r="P22" s="470" t="str">
        <f>'Weight '!H29</f>
        <v>Bond Allowance</v>
      </c>
      <c r="Q22" s="471"/>
      <c r="R22" s="471"/>
      <c r="S22" s="471"/>
      <c r="T22" s="471"/>
      <c r="U22" s="472"/>
      <c r="V22" s="473">
        <f>'Weight '!N29</f>
        <v>15.944087276411386</v>
      </c>
      <c r="W22" s="342"/>
      <c r="X22" s="342"/>
    </row>
    <row r="23" spans="1:24" ht="15.75" thickBot="1" x14ac:dyDescent="0.3">
      <c r="A23" s="460" t="s">
        <v>41</v>
      </c>
      <c r="B23" s="24" t="s">
        <v>212</v>
      </c>
      <c r="C23" s="24" t="s">
        <v>47</v>
      </c>
      <c r="D23" s="24" t="s">
        <v>5</v>
      </c>
      <c r="E23" s="736">
        <f>Inputs!E23*145.038</f>
        <v>58015.200000000004</v>
      </c>
      <c r="F23" s="121" t="s">
        <v>122</v>
      </c>
      <c r="P23" s="830" t="str">
        <f>'Weight '!H30</f>
        <v>Total - Right Wing</v>
      </c>
      <c r="Q23" s="831">
        <f>'Weight '!I30</f>
        <v>0</v>
      </c>
      <c r="R23" s="831">
        <f>'Weight '!J30</f>
        <v>0</v>
      </c>
      <c r="S23" s="831">
        <f>'Weight '!K30</f>
        <v>0</v>
      </c>
      <c r="T23" s="831">
        <f>'Weight '!L30</f>
        <v>0</v>
      </c>
      <c r="U23" s="832">
        <f>'Weight '!M30</f>
        <v>0</v>
      </c>
      <c r="V23" s="474">
        <f>'Weight '!N30</f>
        <v>334.82583280463882</v>
      </c>
      <c r="W23" s="160" t="str">
        <f>'Weight '!O30</f>
        <v>[lb]</v>
      </c>
      <c r="X23" s="146"/>
    </row>
    <row r="24" spans="1:24" x14ac:dyDescent="0.25">
      <c r="A24" s="25"/>
      <c r="B24" s="2" t="s">
        <v>213</v>
      </c>
      <c r="C24" s="2" t="s">
        <v>48</v>
      </c>
      <c r="D24" s="2" t="s">
        <v>5</v>
      </c>
      <c r="E24" s="733">
        <f>Inputs!E24*145.038*1000</f>
        <v>3770988.0000000005</v>
      </c>
      <c r="F24" s="127" t="s">
        <v>122</v>
      </c>
    </row>
    <row r="25" spans="1:24" ht="15.75" thickBot="1" x14ac:dyDescent="0.3">
      <c r="A25" s="25"/>
      <c r="B25" s="2" t="s">
        <v>214</v>
      </c>
      <c r="C25" s="2" t="s">
        <v>46</v>
      </c>
      <c r="D25" s="2" t="s">
        <v>5</v>
      </c>
      <c r="E25" s="733">
        <f>Inputs!E25*145.038*1000</f>
        <v>2175570</v>
      </c>
      <c r="F25" s="127" t="s">
        <v>122</v>
      </c>
      <c r="P25" s="80" t="s">
        <v>443</v>
      </c>
    </row>
    <row r="26" spans="1:24" x14ac:dyDescent="0.25">
      <c r="A26" s="25"/>
      <c r="B26" s="2" t="s">
        <v>216</v>
      </c>
      <c r="C26" s="2" t="s">
        <v>215</v>
      </c>
      <c r="D26" s="2" t="s">
        <v>5</v>
      </c>
      <c r="E26" s="733">
        <f>Inputs!E26*145.038*1000</f>
        <v>7687014.0000000009</v>
      </c>
      <c r="F26" s="127" t="s">
        <v>121</v>
      </c>
      <c r="P26" s="475"/>
      <c r="Q26" s="476"/>
      <c r="R26" s="476"/>
      <c r="S26" s="476"/>
      <c r="T26" s="477" t="s">
        <v>438</v>
      </c>
      <c r="U26" s="478" t="s">
        <v>436</v>
      </c>
      <c r="V26" s="479">
        <f>'Laminate Zones'!F28</f>
        <v>3.5859228878785925</v>
      </c>
    </row>
    <row r="27" spans="1:24" x14ac:dyDescent="0.25">
      <c r="A27" s="25"/>
      <c r="B27" s="2" t="s">
        <v>49</v>
      </c>
      <c r="C27" s="2" t="s">
        <v>51</v>
      </c>
      <c r="D27" s="2" t="s">
        <v>39</v>
      </c>
      <c r="E27" s="735">
        <f>Inputs!E27/27679.9</f>
        <v>6.141640685118082E-2</v>
      </c>
      <c r="F27" s="127" t="s">
        <v>121</v>
      </c>
      <c r="P27" s="480"/>
      <c r="Q27" s="481"/>
      <c r="R27" s="481"/>
      <c r="S27" s="481"/>
      <c r="T27" s="482" t="s">
        <v>437</v>
      </c>
      <c r="U27" s="483" t="s">
        <v>436</v>
      </c>
      <c r="V27" s="484">
        <f>'Laminate Zones'!F41</f>
        <v>3.5859228878785925</v>
      </c>
    </row>
    <row r="28" spans="1:24" ht="15.75" thickBot="1" x14ac:dyDescent="0.3">
      <c r="A28" s="28"/>
      <c r="B28" s="29" t="s">
        <v>50</v>
      </c>
      <c r="C28" s="29" t="s">
        <v>52</v>
      </c>
      <c r="D28" s="29" t="s">
        <v>4</v>
      </c>
      <c r="E28" s="679">
        <f>Inputs!E28/25.4</f>
        <v>7.8740157480314977E-3</v>
      </c>
      <c r="F28" s="127" t="s">
        <v>121</v>
      </c>
      <c r="P28" s="485"/>
      <c r="Q28" s="486"/>
      <c r="R28" s="486"/>
      <c r="S28" s="486"/>
      <c r="T28" s="487" t="s">
        <v>446</v>
      </c>
      <c r="U28" s="488" t="s">
        <v>4</v>
      </c>
      <c r="V28" s="489">
        <f>MIN(Sizing!DY60:DY160)</f>
        <v>6.7935051746339843</v>
      </c>
    </row>
    <row r="29" spans="1:24" ht="15.75" thickBot="1" x14ac:dyDescent="0.3">
      <c r="A29" s="460" t="s">
        <v>61</v>
      </c>
      <c r="B29" s="24" t="s">
        <v>53</v>
      </c>
      <c r="C29" s="24" t="s">
        <v>54</v>
      </c>
      <c r="D29" s="24" t="s">
        <v>5</v>
      </c>
      <c r="E29" s="736">
        <f>Inputs!E29*145.038</f>
        <v>8267.1660000000011</v>
      </c>
      <c r="F29" s="121" t="s">
        <v>105</v>
      </c>
    </row>
    <row r="30" spans="1:24" x14ac:dyDescent="0.25">
      <c r="A30" s="25"/>
      <c r="B30" s="2" t="s">
        <v>203</v>
      </c>
      <c r="C30" s="2" t="s">
        <v>204</v>
      </c>
      <c r="D30" s="2" t="s">
        <v>5</v>
      </c>
      <c r="E30" s="733">
        <f>Inputs!E30*145.038</f>
        <v>2610.6840000000002</v>
      </c>
      <c r="F30" s="127" t="s">
        <v>105</v>
      </c>
      <c r="P30" s="158"/>
      <c r="Q30" s="490"/>
      <c r="R30" s="490"/>
      <c r="S30" s="490"/>
      <c r="T30" s="490"/>
      <c r="U30" s="491" t="s">
        <v>439</v>
      </c>
      <c r="V30" s="491" t="s">
        <v>441</v>
      </c>
      <c r="W30" s="492" t="s">
        <v>442</v>
      </c>
    </row>
    <row r="31" spans="1:24" ht="15.75" thickBot="1" x14ac:dyDescent="0.3">
      <c r="A31" s="25"/>
      <c r="B31" s="2" t="s">
        <v>55</v>
      </c>
      <c r="C31" s="2" t="s">
        <v>422</v>
      </c>
      <c r="D31" s="2" t="s">
        <v>5</v>
      </c>
      <c r="E31" s="733">
        <f>Inputs!E31*145.038</f>
        <v>116.03040000000001</v>
      </c>
      <c r="F31" s="127" t="s">
        <v>105</v>
      </c>
      <c r="P31" s="493" t="s">
        <v>444</v>
      </c>
      <c r="U31" s="14" t="s">
        <v>440</v>
      </c>
      <c r="V31" s="14" t="s">
        <v>440</v>
      </c>
      <c r="W31" s="494" t="s">
        <v>4</v>
      </c>
    </row>
    <row r="32" spans="1:24" x14ac:dyDescent="0.25">
      <c r="A32" s="25"/>
      <c r="B32" s="2" t="s">
        <v>56</v>
      </c>
      <c r="C32" s="2" t="s">
        <v>57</v>
      </c>
      <c r="D32" s="2" t="s">
        <v>5</v>
      </c>
      <c r="E32" s="733">
        <f>Inputs!E32*145.038</f>
        <v>101.5266</v>
      </c>
      <c r="F32" s="127" t="s">
        <v>105</v>
      </c>
      <c r="P32" s="495">
        <v>0</v>
      </c>
      <c r="Q32" s="496"/>
      <c r="R32" s="496"/>
      <c r="S32" s="496"/>
      <c r="T32" s="497" t="s">
        <v>424</v>
      </c>
      <c r="U32" s="126">
        <f>'Laminate Zones'!F7</f>
        <v>3</v>
      </c>
      <c r="V32" s="126">
        <f>'Laminate Zones'!G7</f>
        <v>3</v>
      </c>
      <c r="W32" s="121">
        <f>'Laminate Zones'!H7</f>
        <v>2</v>
      </c>
    </row>
    <row r="33" spans="1:23" ht="15.75" thickBot="1" x14ac:dyDescent="0.3">
      <c r="A33" s="28"/>
      <c r="B33" s="29" t="s">
        <v>58</v>
      </c>
      <c r="C33" s="29" t="s">
        <v>59</v>
      </c>
      <c r="D33" s="29" t="s">
        <v>39</v>
      </c>
      <c r="E33" s="680">
        <f>Inputs!E33/27679.9</f>
        <v>2.312147081456219E-3</v>
      </c>
      <c r="F33" s="123" t="s">
        <v>105</v>
      </c>
      <c r="P33" s="498">
        <f>E5*E6</f>
        <v>6.0203413999999995</v>
      </c>
      <c r="Q33" s="499"/>
      <c r="R33" s="499"/>
      <c r="S33" s="499"/>
      <c r="T33" s="500" t="s">
        <v>425</v>
      </c>
      <c r="U33" s="18">
        <f>'Laminate Zones'!F8</f>
        <v>3</v>
      </c>
      <c r="V33" s="18">
        <f>'Laminate Zones'!G8</f>
        <v>2</v>
      </c>
      <c r="W33" s="127">
        <f>'Laminate Zones'!H8</f>
        <v>2.5</v>
      </c>
    </row>
    <row r="34" spans="1:23" x14ac:dyDescent="0.25">
      <c r="A34" s="460" t="s">
        <v>63</v>
      </c>
      <c r="B34" s="24" t="s">
        <v>396</v>
      </c>
      <c r="C34" s="24" t="s">
        <v>34</v>
      </c>
      <c r="D34" s="24" t="s">
        <v>14</v>
      </c>
      <c r="E34" s="737">
        <f>Inputs!E34</f>
        <v>1.25</v>
      </c>
      <c r="F34" s="121" t="s">
        <v>563</v>
      </c>
      <c r="P34" s="498">
        <f>E5*E7</f>
        <v>12.040682799999999</v>
      </c>
      <c r="Q34" s="499"/>
      <c r="R34" s="499"/>
      <c r="S34" s="499"/>
      <c r="T34" s="500" t="s">
        <v>426</v>
      </c>
      <c r="U34" s="18">
        <f>'Laminate Zones'!F9</f>
        <v>3</v>
      </c>
      <c r="V34" s="18">
        <f>'Laminate Zones'!G9</f>
        <v>2</v>
      </c>
      <c r="W34" s="127">
        <f>'Laminate Zones'!H9</f>
        <v>1.5</v>
      </c>
    </row>
    <row r="35" spans="1:23" ht="15.75" thickBot="1" x14ac:dyDescent="0.3">
      <c r="A35" s="128"/>
      <c r="B35" s="2" t="s">
        <v>35</v>
      </c>
      <c r="C35" s="2" t="s">
        <v>34</v>
      </c>
      <c r="D35" s="2" t="s">
        <v>14</v>
      </c>
      <c r="E35" s="552">
        <f>Inputs!E35</f>
        <v>1.05</v>
      </c>
      <c r="F35" s="127" t="s">
        <v>563</v>
      </c>
      <c r="P35" s="501">
        <f>E8*E5</f>
        <v>18.061024199999999</v>
      </c>
      <c r="Q35" s="502"/>
      <c r="R35" s="502"/>
      <c r="S35" s="502"/>
      <c r="T35" s="503" t="s">
        <v>427</v>
      </c>
      <c r="U35" s="30">
        <f>'Laminate Zones'!F10</f>
        <v>3</v>
      </c>
      <c r="V35" s="30">
        <f>'Laminate Zones'!G10</f>
        <v>2</v>
      </c>
      <c r="W35" s="123">
        <f>'Laminate Zones'!H10</f>
        <v>0.75</v>
      </c>
    </row>
    <row r="36" spans="1:23" x14ac:dyDescent="0.25">
      <c r="A36" s="128"/>
      <c r="B36" s="2" t="s">
        <v>164</v>
      </c>
      <c r="C36" s="2" t="s">
        <v>165</v>
      </c>
      <c r="D36" s="6" t="s">
        <v>14</v>
      </c>
      <c r="E36" s="552">
        <f>Inputs!E36</f>
        <v>3</v>
      </c>
      <c r="F36" s="127" t="s">
        <v>563</v>
      </c>
      <c r="P36" s="504">
        <f>P32</f>
        <v>0</v>
      </c>
      <c r="Q36" s="476"/>
      <c r="R36" s="476"/>
      <c r="S36" s="476"/>
      <c r="T36" s="477" t="s">
        <v>428</v>
      </c>
      <c r="U36" s="126">
        <f>'Laminate Zones'!F21</f>
        <v>8</v>
      </c>
      <c r="V36" s="126">
        <f>'Laminate Zones'!G21</f>
        <v>8</v>
      </c>
      <c r="W36" s="121">
        <f>'Laminate Zones'!H21</f>
        <v>0.75</v>
      </c>
    </row>
    <row r="37" spans="1:23" x14ac:dyDescent="0.25">
      <c r="A37" s="128"/>
      <c r="B37" s="2" t="s">
        <v>167</v>
      </c>
      <c r="C37" s="2" t="s">
        <v>166</v>
      </c>
      <c r="D37" s="6" t="s">
        <v>14</v>
      </c>
      <c r="E37" s="552">
        <f>Inputs!E37</f>
        <v>2</v>
      </c>
      <c r="F37" s="127" t="s">
        <v>563</v>
      </c>
      <c r="P37" s="505">
        <f>P33</f>
        <v>6.0203413999999995</v>
      </c>
      <c r="Q37" s="481"/>
      <c r="R37" s="481"/>
      <c r="S37" s="481"/>
      <c r="T37" s="482" t="s">
        <v>429</v>
      </c>
      <c r="U37" s="18">
        <f>'Laminate Zones'!F22</f>
        <v>7</v>
      </c>
      <c r="V37" s="18">
        <f>'Laminate Zones'!G22</f>
        <v>7</v>
      </c>
      <c r="W37" s="127">
        <f>'Laminate Zones'!H22</f>
        <v>0.5</v>
      </c>
    </row>
    <row r="38" spans="1:23" ht="15.75" thickBot="1" x14ac:dyDescent="0.3">
      <c r="A38" s="28"/>
      <c r="B38" s="29" t="s">
        <v>219</v>
      </c>
      <c r="C38" s="29" t="s">
        <v>168</v>
      </c>
      <c r="D38" s="29" t="s">
        <v>4</v>
      </c>
      <c r="E38" s="680">
        <f>Inputs!E38/2.54</f>
        <v>0.25</v>
      </c>
      <c r="F38" s="123" t="s">
        <v>563</v>
      </c>
      <c r="P38" s="505">
        <f>P34</f>
        <v>12.040682799999999</v>
      </c>
      <c r="Q38" s="481"/>
      <c r="R38" s="481"/>
      <c r="S38" s="481"/>
      <c r="T38" s="482" t="s">
        <v>430</v>
      </c>
      <c r="U38" s="18">
        <f>'Laminate Zones'!F23</f>
        <v>4</v>
      </c>
      <c r="V38" s="18">
        <f>'Laminate Zones'!G23</f>
        <v>4</v>
      </c>
      <c r="W38" s="127">
        <f>'Laminate Zones'!H23</f>
        <v>0.5</v>
      </c>
    </row>
    <row r="39" spans="1:23" ht="15.75" thickBot="1" x14ac:dyDescent="0.3">
      <c r="P39" s="506">
        <f>P35</f>
        <v>18.061024199999999</v>
      </c>
      <c r="Q39" s="486"/>
      <c r="R39" s="486"/>
      <c r="S39" s="486"/>
      <c r="T39" s="487" t="s">
        <v>431</v>
      </c>
      <c r="U39" s="30">
        <f>'Laminate Zones'!F24</f>
        <v>3</v>
      </c>
      <c r="V39" s="30">
        <f>'Laminate Zones'!G24</f>
        <v>3</v>
      </c>
      <c r="W39" s="123">
        <f>'Laminate Zones'!H24</f>
        <v>0.25</v>
      </c>
    </row>
    <row r="40" spans="1:23" x14ac:dyDescent="0.25">
      <c r="A40"/>
      <c r="B40"/>
      <c r="C40"/>
      <c r="D40"/>
      <c r="E40"/>
      <c r="F40"/>
      <c r="P40" s="512">
        <f>P32</f>
        <v>0</v>
      </c>
      <c r="Q40" s="513"/>
      <c r="R40" s="513"/>
      <c r="S40" s="513"/>
      <c r="T40" s="514" t="s">
        <v>432</v>
      </c>
      <c r="U40" s="18">
        <f>'Laminate Zones'!F54</f>
        <v>2</v>
      </c>
      <c r="V40" s="18">
        <f>'Laminate Zones'!G54</f>
        <v>2</v>
      </c>
      <c r="W40" s="127">
        <f>'Laminate Zones'!H54</f>
        <v>0.5</v>
      </c>
    </row>
    <row r="41" spans="1:23" x14ac:dyDescent="0.25">
      <c r="A41"/>
      <c r="B41"/>
      <c r="C41"/>
      <c r="D41"/>
      <c r="E41"/>
      <c r="F41"/>
      <c r="P41" s="512">
        <f>P33</f>
        <v>6.0203413999999995</v>
      </c>
      <c r="Q41" s="513"/>
      <c r="R41" s="513"/>
      <c r="S41" s="513"/>
      <c r="T41" s="514" t="s">
        <v>433</v>
      </c>
      <c r="U41" s="18">
        <f>'Laminate Zones'!F55</f>
        <v>2</v>
      </c>
      <c r="V41" s="18">
        <f>'Laminate Zones'!G55</f>
        <v>2</v>
      </c>
      <c r="W41" s="127">
        <f>'Laminate Zones'!H55</f>
        <v>0.5</v>
      </c>
    </row>
    <row r="42" spans="1:23" x14ac:dyDescent="0.25">
      <c r="A42"/>
      <c r="B42"/>
      <c r="C42"/>
      <c r="D42"/>
      <c r="E42"/>
      <c r="F42"/>
      <c r="P42" s="512">
        <f>P34</f>
        <v>12.040682799999999</v>
      </c>
      <c r="Q42" s="513"/>
      <c r="R42" s="513"/>
      <c r="S42" s="513"/>
      <c r="T42" s="514" t="s">
        <v>434</v>
      </c>
      <c r="U42" s="18">
        <f>'Laminate Zones'!F56</f>
        <v>2</v>
      </c>
      <c r="V42" s="18">
        <f>'Laminate Zones'!G56</f>
        <v>2</v>
      </c>
      <c r="W42" s="127">
        <f>'Laminate Zones'!H56</f>
        <v>0.25</v>
      </c>
    </row>
    <row r="43" spans="1:23" ht="15.75" thickBot="1" x14ac:dyDescent="0.3">
      <c r="A43"/>
      <c r="B43"/>
      <c r="C43"/>
      <c r="D43"/>
      <c r="E43"/>
      <c r="F43"/>
      <c r="P43" s="518">
        <f>P35</f>
        <v>18.061024199999999</v>
      </c>
      <c r="Q43" s="519"/>
      <c r="R43" s="519"/>
      <c r="S43" s="519"/>
      <c r="T43" s="520" t="s">
        <v>435</v>
      </c>
      <c r="U43" s="30">
        <f>'Laminate Zones'!F57</f>
        <v>2</v>
      </c>
      <c r="V43" s="30">
        <f>'Laminate Zones'!G57</f>
        <v>2</v>
      </c>
      <c r="W43" s="123">
        <f>'Laminate Zones'!H57</f>
        <v>0.25</v>
      </c>
    </row>
    <row r="44" spans="1:23" x14ac:dyDescent="0.25">
      <c r="A44"/>
      <c r="B44"/>
      <c r="C44"/>
      <c r="D44"/>
      <c r="E44"/>
      <c r="F44"/>
    </row>
    <row r="45" spans="1:23" x14ac:dyDescent="0.25">
      <c r="A45"/>
      <c r="B45"/>
      <c r="C45"/>
      <c r="D45"/>
      <c r="E45"/>
      <c r="F45"/>
    </row>
    <row r="46" spans="1:23" x14ac:dyDescent="0.25">
      <c r="A46"/>
      <c r="B46"/>
      <c r="C46"/>
      <c r="D46"/>
      <c r="E46"/>
      <c r="F46"/>
      <c r="T46" s="524"/>
    </row>
    <row r="47" spans="1:23" x14ac:dyDescent="0.25">
      <c r="A47"/>
      <c r="B47"/>
      <c r="C47"/>
      <c r="D47"/>
      <c r="E47"/>
      <c r="F47"/>
    </row>
    <row r="48" spans="1:23" x14ac:dyDescent="0.25">
      <c r="A48"/>
      <c r="B48"/>
      <c r="C48"/>
      <c r="D48"/>
      <c r="E48"/>
      <c r="F48"/>
    </row>
    <row r="49" spans="1:12" x14ac:dyDescent="0.25">
      <c r="A49"/>
      <c r="B49"/>
      <c r="C49"/>
      <c r="D49"/>
      <c r="E49"/>
      <c r="F49"/>
      <c r="L49" s="2"/>
    </row>
    <row r="50" spans="1:12" x14ac:dyDescent="0.25">
      <c r="A50"/>
      <c r="B50"/>
      <c r="C50"/>
      <c r="D50"/>
      <c r="E50"/>
      <c r="F50"/>
    </row>
    <row r="51" spans="1:12" x14ac:dyDescent="0.25">
      <c r="A51"/>
      <c r="B51"/>
      <c r="C51"/>
      <c r="D51"/>
      <c r="E51"/>
      <c r="F51"/>
    </row>
    <row r="52" spans="1:12" x14ac:dyDescent="0.25">
      <c r="A52"/>
      <c r="B52"/>
      <c r="C52"/>
      <c r="D52"/>
      <c r="E52"/>
      <c r="F52"/>
    </row>
    <row r="53" spans="1:12" x14ac:dyDescent="0.25">
      <c r="A53"/>
      <c r="B53"/>
      <c r="C53"/>
      <c r="D53"/>
      <c r="E53"/>
      <c r="F53"/>
    </row>
    <row r="54" spans="1:12" x14ac:dyDescent="0.25">
      <c r="A54"/>
      <c r="B54"/>
      <c r="C54"/>
      <c r="D54"/>
      <c r="E54"/>
      <c r="F54"/>
    </row>
    <row r="55" spans="1:12" x14ac:dyDescent="0.25">
      <c r="A55"/>
      <c r="B55"/>
      <c r="C55"/>
      <c r="D55"/>
      <c r="E55"/>
      <c r="F55"/>
    </row>
    <row r="56" spans="1:12" x14ac:dyDescent="0.25">
      <c r="A56"/>
      <c r="B56"/>
      <c r="C56"/>
      <c r="D56"/>
      <c r="E56"/>
      <c r="F56"/>
    </row>
    <row r="57" spans="1:12" x14ac:dyDescent="0.25">
      <c r="A57"/>
      <c r="B57"/>
      <c r="C57"/>
      <c r="D57"/>
      <c r="E57"/>
      <c r="F57"/>
    </row>
    <row r="58" spans="1:12" x14ac:dyDescent="0.25">
      <c r="A58"/>
      <c r="B58"/>
      <c r="C58"/>
      <c r="D58"/>
      <c r="E58"/>
      <c r="F58"/>
    </row>
    <row r="59" spans="1:12" x14ac:dyDescent="0.25">
      <c r="A59"/>
      <c r="B59"/>
      <c r="C59"/>
      <c r="D59"/>
      <c r="E59"/>
      <c r="F59"/>
    </row>
    <row r="60" spans="1:12" x14ac:dyDescent="0.25">
      <c r="A60"/>
      <c r="B60"/>
      <c r="C60"/>
      <c r="D60"/>
      <c r="E60"/>
      <c r="F60"/>
    </row>
    <row r="61" spans="1:12" x14ac:dyDescent="0.25">
      <c r="A61"/>
      <c r="B61"/>
      <c r="C61"/>
      <c r="D61"/>
      <c r="E61"/>
      <c r="F61"/>
    </row>
    <row r="62" spans="1:12" x14ac:dyDescent="0.25">
      <c r="A62"/>
      <c r="B62"/>
      <c r="C62"/>
      <c r="D62"/>
      <c r="E62"/>
      <c r="F62"/>
    </row>
    <row r="63" spans="1:12" x14ac:dyDescent="0.25">
      <c r="A63"/>
      <c r="B63"/>
      <c r="C63"/>
      <c r="D63"/>
      <c r="E63"/>
      <c r="F63"/>
      <c r="H63" s="4" t="s">
        <v>22</v>
      </c>
    </row>
    <row r="64" spans="1:12" ht="15.75" thickBot="1" x14ac:dyDescent="0.3">
      <c r="A64"/>
      <c r="B64"/>
      <c r="C64"/>
      <c r="D64"/>
      <c r="E64"/>
      <c r="F64"/>
      <c r="H64" s="2"/>
      <c r="I64" s="2" t="s">
        <v>127</v>
      </c>
      <c r="J64" s="2" t="s">
        <v>128</v>
      </c>
    </row>
    <row r="65" spans="1:10" x14ac:dyDescent="0.25">
      <c r="A65"/>
      <c r="B65"/>
      <c r="C65"/>
      <c r="D65"/>
      <c r="E65"/>
      <c r="F65"/>
      <c r="H65" s="527" t="s">
        <v>23</v>
      </c>
      <c r="I65" s="528">
        <v>0</v>
      </c>
      <c r="J65" s="529">
        <v>0</v>
      </c>
    </row>
    <row r="66" spans="1:10" ht="15.75" thickBot="1" x14ac:dyDescent="0.3">
      <c r="A66"/>
      <c r="B66"/>
      <c r="C66"/>
      <c r="D66"/>
      <c r="E66"/>
      <c r="F66"/>
      <c r="H66" s="530" t="s">
        <v>24</v>
      </c>
      <c r="I66" s="122">
        <f>I65+$E$9</f>
        <v>5.0853020000000004</v>
      </c>
      <c r="J66" s="132">
        <f>J65</f>
        <v>0</v>
      </c>
    </row>
    <row r="67" spans="1:10" x14ac:dyDescent="0.25">
      <c r="A67"/>
      <c r="B67"/>
      <c r="C67"/>
      <c r="D67"/>
      <c r="E67"/>
      <c r="F67"/>
      <c r="H67" s="531" t="s">
        <v>119</v>
      </c>
      <c r="I67" s="130">
        <f>I65+E9*0.25-E10*0.25</f>
        <v>0.44496392500000004</v>
      </c>
      <c r="J67" s="133">
        <f>E5</f>
        <v>24.081365599999998</v>
      </c>
    </row>
    <row r="68" spans="1:10" ht="15.75" thickBot="1" x14ac:dyDescent="0.3">
      <c r="A68"/>
      <c r="B68"/>
      <c r="C68"/>
      <c r="D68"/>
      <c r="E68"/>
      <c r="F68"/>
      <c r="H68" s="532" t="s">
        <v>120</v>
      </c>
      <c r="I68" s="8">
        <f>I67+E10</f>
        <v>3.7504102250000004</v>
      </c>
      <c r="J68" s="134">
        <f>J67</f>
        <v>24.081365599999998</v>
      </c>
    </row>
    <row r="69" spans="1:10" ht="15.75" thickBot="1" x14ac:dyDescent="0.3">
      <c r="A69"/>
      <c r="B69"/>
      <c r="C69"/>
      <c r="D69"/>
      <c r="E69"/>
      <c r="F69"/>
      <c r="H69" s="533" t="s">
        <v>143</v>
      </c>
      <c r="I69" s="534">
        <f>I65+0.25*E9</f>
        <v>1.2713255000000001</v>
      </c>
      <c r="J69" s="196">
        <f>J65</f>
        <v>0</v>
      </c>
    </row>
    <row r="70" spans="1:10" x14ac:dyDescent="0.25">
      <c r="A70"/>
      <c r="B70"/>
      <c r="C70"/>
      <c r="D70"/>
      <c r="E70"/>
      <c r="F70"/>
      <c r="H70" s="128" t="s">
        <v>123</v>
      </c>
      <c r="I70" s="8">
        <f>I65+E12*E9</f>
        <v>1.2713255000000001</v>
      </c>
      <c r="J70" s="134">
        <f>J65</f>
        <v>0</v>
      </c>
    </row>
    <row r="71" spans="1:10" ht="15.75" thickBot="1" x14ac:dyDescent="0.3">
      <c r="A71"/>
      <c r="B71"/>
      <c r="C71"/>
      <c r="D71"/>
      <c r="E71"/>
      <c r="F71"/>
      <c r="H71" s="131" t="s">
        <v>124</v>
      </c>
      <c r="I71" s="122">
        <f>I67+E10*E12</f>
        <v>1.2713255000000001</v>
      </c>
      <c r="J71" s="132">
        <f>J67</f>
        <v>24.081365599999998</v>
      </c>
    </row>
    <row r="72" spans="1:10" x14ac:dyDescent="0.25">
      <c r="A72"/>
      <c r="B72"/>
      <c r="C72"/>
      <c r="D72"/>
      <c r="E72"/>
      <c r="F72"/>
      <c r="H72" s="129" t="s">
        <v>125</v>
      </c>
      <c r="I72" s="130">
        <f>I65+E9*E15</f>
        <v>3.8139765000000003</v>
      </c>
      <c r="J72" s="133">
        <f>J65</f>
        <v>0</v>
      </c>
    </row>
    <row r="73" spans="1:10" ht="15.75" thickBot="1" x14ac:dyDescent="0.3">
      <c r="A73"/>
      <c r="B73"/>
      <c r="C73"/>
      <c r="D73"/>
      <c r="E73"/>
      <c r="F73"/>
      <c r="H73" s="131" t="s">
        <v>126</v>
      </c>
      <c r="I73" s="122">
        <f>I67+E10*E15</f>
        <v>2.9240486500000005</v>
      </c>
      <c r="J73" s="132">
        <f>J67</f>
        <v>24.081365599999998</v>
      </c>
    </row>
    <row r="74" spans="1:10" x14ac:dyDescent="0.25">
      <c r="A74"/>
      <c r="B74"/>
      <c r="C74"/>
      <c r="D74"/>
      <c r="E74"/>
      <c r="F74"/>
    </row>
    <row r="75" spans="1:10" x14ac:dyDescent="0.25">
      <c r="A75"/>
      <c r="B75"/>
      <c r="C75"/>
      <c r="D75"/>
      <c r="E75"/>
      <c r="F75"/>
    </row>
    <row r="76" spans="1:10" x14ac:dyDescent="0.25">
      <c r="A76"/>
      <c r="B76"/>
      <c r="C76"/>
      <c r="D76"/>
      <c r="E76"/>
      <c r="F76"/>
    </row>
    <row r="77" spans="1:10" x14ac:dyDescent="0.25">
      <c r="A77"/>
      <c r="B77"/>
      <c r="C77"/>
      <c r="D77"/>
      <c r="E77"/>
      <c r="F77"/>
    </row>
    <row r="78" spans="1:10" x14ac:dyDescent="0.25">
      <c r="A78"/>
      <c r="B78"/>
      <c r="C78"/>
      <c r="D78"/>
      <c r="E78"/>
      <c r="F78"/>
    </row>
    <row r="79" spans="1:10" x14ac:dyDescent="0.25">
      <c r="C79"/>
      <c r="D79"/>
      <c r="E79"/>
      <c r="F79"/>
    </row>
    <row r="80" spans="1:10" x14ac:dyDescent="0.25">
      <c r="C80"/>
      <c r="D80"/>
      <c r="E80"/>
      <c r="F80"/>
    </row>
    <row r="81" spans="3:6" x14ac:dyDescent="0.25">
      <c r="C81"/>
      <c r="D81"/>
      <c r="E81"/>
      <c r="F81"/>
    </row>
    <row r="82" spans="3:6" x14ac:dyDescent="0.25">
      <c r="C82"/>
      <c r="D82"/>
      <c r="E82"/>
      <c r="F82"/>
    </row>
    <row r="83" spans="3:6" x14ac:dyDescent="0.25">
      <c r="C83"/>
      <c r="D83"/>
      <c r="E83"/>
      <c r="F83"/>
    </row>
    <row r="84" spans="3:6" x14ac:dyDescent="0.25">
      <c r="C84"/>
      <c r="D84"/>
      <c r="E84"/>
      <c r="F84"/>
    </row>
    <row r="85" spans="3:6" x14ac:dyDescent="0.25">
      <c r="C85"/>
      <c r="D85"/>
      <c r="E85"/>
      <c r="F85"/>
    </row>
    <row r="86" spans="3:6" x14ac:dyDescent="0.25">
      <c r="C86"/>
      <c r="D86"/>
      <c r="E86"/>
      <c r="F86"/>
    </row>
    <row r="87" spans="3:6" x14ac:dyDescent="0.25">
      <c r="C87"/>
      <c r="D87"/>
      <c r="E87"/>
      <c r="F87"/>
    </row>
    <row r="88" spans="3:6" x14ac:dyDescent="0.25">
      <c r="C88"/>
      <c r="D88"/>
      <c r="E88"/>
      <c r="F88"/>
    </row>
    <row r="89" spans="3:6" x14ac:dyDescent="0.25">
      <c r="C89"/>
      <c r="D89"/>
      <c r="E89"/>
      <c r="F89"/>
    </row>
    <row r="90" spans="3:6" x14ac:dyDescent="0.25">
      <c r="D90"/>
      <c r="E90"/>
      <c r="F90"/>
    </row>
    <row r="91" spans="3:6" x14ac:dyDescent="0.25">
      <c r="D91"/>
      <c r="E91"/>
      <c r="F91"/>
    </row>
    <row r="92" spans="3:6" x14ac:dyDescent="0.25">
      <c r="D92"/>
      <c r="E92"/>
      <c r="F92"/>
    </row>
    <row r="93" spans="3:6" x14ac:dyDescent="0.25">
      <c r="D93"/>
      <c r="E93"/>
      <c r="F93"/>
    </row>
    <row r="94" spans="3:6" x14ac:dyDescent="0.25">
      <c r="D94"/>
      <c r="E94"/>
      <c r="F94"/>
    </row>
    <row r="95" spans="3:6" x14ac:dyDescent="0.25">
      <c r="D95"/>
      <c r="E95"/>
      <c r="F95"/>
    </row>
    <row r="96" spans="3:6" x14ac:dyDescent="0.25">
      <c r="D96"/>
      <c r="E96"/>
      <c r="F96"/>
    </row>
    <row r="97" spans="3:6" x14ac:dyDescent="0.25">
      <c r="D97"/>
      <c r="E97"/>
      <c r="F97"/>
    </row>
    <row r="98" spans="3:6" x14ac:dyDescent="0.25">
      <c r="D98"/>
      <c r="E98"/>
      <c r="F98"/>
    </row>
    <row r="99" spans="3:6" x14ac:dyDescent="0.25">
      <c r="D99"/>
      <c r="E99"/>
      <c r="F99"/>
    </row>
    <row r="100" spans="3:6" x14ac:dyDescent="0.25">
      <c r="E100"/>
      <c r="F100"/>
    </row>
    <row r="101" spans="3:6" x14ac:dyDescent="0.25">
      <c r="D101"/>
      <c r="E101"/>
      <c r="F101"/>
    </row>
    <row r="102" spans="3:6" x14ac:dyDescent="0.25">
      <c r="D102"/>
      <c r="E102"/>
      <c r="F102"/>
    </row>
    <row r="103" spans="3:6" x14ac:dyDescent="0.25">
      <c r="C103"/>
      <c r="D103"/>
      <c r="E103"/>
      <c r="F103"/>
    </row>
    <row r="104" spans="3:6" x14ac:dyDescent="0.25">
      <c r="C104"/>
      <c r="D104"/>
      <c r="E104"/>
      <c r="F104"/>
    </row>
    <row r="105" spans="3:6" x14ac:dyDescent="0.25">
      <c r="C105"/>
      <c r="D105"/>
      <c r="E105"/>
      <c r="F105"/>
    </row>
    <row r="106" spans="3:6" x14ac:dyDescent="0.25">
      <c r="C106"/>
      <c r="D106"/>
      <c r="E106"/>
      <c r="F106"/>
    </row>
    <row r="107" spans="3:6" x14ac:dyDescent="0.25">
      <c r="C107"/>
      <c r="D107"/>
      <c r="F107"/>
    </row>
    <row r="108" spans="3:6" x14ac:dyDescent="0.25">
      <c r="C108"/>
      <c r="D108"/>
      <c r="F108"/>
    </row>
    <row r="109" spans="3:6" x14ac:dyDescent="0.25">
      <c r="C109"/>
      <c r="D109"/>
      <c r="F109"/>
    </row>
    <row r="110" spans="3:6" x14ac:dyDescent="0.25">
      <c r="C110"/>
      <c r="D110"/>
      <c r="F110"/>
    </row>
    <row r="111" spans="3:6" x14ac:dyDescent="0.25">
      <c r="C111"/>
      <c r="D111"/>
      <c r="F111"/>
    </row>
    <row r="112" spans="3:6" x14ac:dyDescent="0.25">
      <c r="C112"/>
      <c r="D112"/>
      <c r="F112"/>
    </row>
    <row r="113" spans="3:6" x14ac:dyDescent="0.25">
      <c r="C113"/>
      <c r="D113"/>
      <c r="F113"/>
    </row>
    <row r="114" spans="3:6" x14ac:dyDescent="0.25">
      <c r="C114"/>
      <c r="D114"/>
      <c r="F114"/>
    </row>
    <row r="115" spans="3:6" x14ac:dyDescent="0.25">
      <c r="C115"/>
      <c r="D115"/>
      <c r="F115"/>
    </row>
  </sheetData>
  <mergeCells count="5">
    <mergeCell ref="P23:U23"/>
    <mergeCell ref="P3:X3"/>
    <mergeCell ref="P4:U4"/>
    <mergeCell ref="P11:U11"/>
    <mergeCell ref="P17:U17"/>
  </mergeCells>
  <conditionalFormatting sqref="U32:U43">
    <cfRule type="colorScale" priority="23">
      <colorScale>
        <cfvo type="min"/>
        <cfvo type="percentile" val="50"/>
        <cfvo type="max"/>
        <color rgb="FF63BE7B"/>
        <color rgb="FFFFEB84"/>
        <color rgb="FFF8696B"/>
      </colorScale>
    </cfRule>
  </conditionalFormatting>
  <conditionalFormatting sqref="U56:U67">
    <cfRule type="colorScale" priority="20">
      <colorScale>
        <cfvo type="min"/>
        <cfvo type="percentile" val="50"/>
        <cfvo type="max"/>
        <color rgb="FF63BE7B"/>
        <color rgb="FFFFEB84"/>
        <color rgb="FFF8696B"/>
      </colorScale>
    </cfRule>
  </conditionalFormatting>
  <conditionalFormatting sqref="V28">
    <cfRule type="cellIs" dxfId="0" priority="7" operator="lessThan">
      <formula>1</formula>
    </cfRule>
  </conditionalFormatting>
  <conditionalFormatting sqref="V32:V43">
    <cfRule type="colorScale" priority="26">
      <colorScale>
        <cfvo type="min"/>
        <cfvo type="percentile" val="50"/>
        <cfvo type="max"/>
        <color rgb="FF63BE7B"/>
        <color rgb="FFFFEB84"/>
        <color rgb="FFF8696B"/>
      </colorScale>
    </cfRule>
  </conditionalFormatting>
  <conditionalFormatting sqref="V56:V67">
    <cfRule type="colorScale" priority="21">
      <colorScale>
        <cfvo type="min"/>
        <cfvo type="percentile" val="50"/>
        <cfvo type="max"/>
        <color rgb="FF63BE7B"/>
        <color rgb="FFFFEB84"/>
        <color rgb="FFF8696B"/>
      </colorScale>
    </cfRule>
  </conditionalFormatting>
  <conditionalFormatting sqref="W32:W43">
    <cfRule type="colorScale" priority="29">
      <colorScale>
        <cfvo type="min"/>
        <cfvo type="percentile" val="50"/>
        <cfvo type="max"/>
        <color rgb="FF63BE7B"/>
        <color rgb="FFFFEB84"/>
        <color rgb="FFF8696B"/>
      </colorScale>
    </cfRule>
  </conditionalFormatting>
  <conditionalFormatting sqref="W56:W67">
    <cfRule type="colorScale" priority="22">
      <colorScale>
        <cfvo type="min"/>
        <cfvo type="percentile" val="50"/>
        <cfvo type="max"/>
        <color rgb="FF63BE7B"/>
        <color rgb="FFFFEB84"/>
        <color rgb="FFF8696B"/>
      </colorScale>
    </cfRule>
  </conditionalFormatting>
  <pageMargins left="0.7" right="0.7" top="0.75" bottom="0.75" header="0.3" footer="0.3"/>
  <pageSetup orientation="portrait" horizontalDpi="0"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X120"/>
  <sheetViews>
    <sheetView zoomScale="85" zoomScaleNormal="85" workbookViewId="0">
      <selection activeCell="K11" sqref="K11"/>
    </sheetView>
  </sheetViews>
  <sheetFormatPr defaultRowHeight="15" x14ac:dyDescent="0.25"/>
  <cols>
    <col min="1" max="1" width="29.85546875" customWidth="1"/>
    <col min="2" max="2" width="21.140625" bestFit="1" customWidth="1"/>
    <col min="3" max="3" width="15.140625" customWidth="1"/>
    <col min="4" max="4" width="19.140625" customWidth="1"/>
    <col min="5" max="5" width="22.42578125" customWidth="1"/>
    <col min="6" max="6" width="17.85546875" bestFit="1" customWidth="1"/>
    <col min="7" max="7" width="16.42578125" style="8" bestFit="1" customWidth="1"/>
    <col min="8" max="8" width="15.42578125" style="8" bestFit="1" customWidth="1"/>
    <col min="9" max="9" width="17.5703125" bestFit="1" customWidth="1"/>
    <col min="10" max="11" width="17.85546875" style="2" customWidth="1"/>
    <col min="12" max="12" width="21.28515625" style="2" customWidth="1"/>
    <col min="13" max="13" width="14.5703125" bestFit="1" customWidth="1"/>
    <col min="14" max="14" width="16.5703125" customWidth="1"/>
    <col min="15" max="15" width="17.140625" bestFit="1" customWidth="1"/>
    <col min="16" max="16" width="13.85546875" customWidth="1"/>
    <col min="17" max="17" width="16.28515625" bestFit="1" customWidth="1"/>
    <col min="18" max="18" width="37.85546875" customWidth="1"/>
    <col min="19" max="19" width="23.140625" customWidth="1"/>
    <col min="20" max="20" width="20.7109375" customWidth="1"/>
    <col min="21" max="21" width="20.85546875" bestFit="1" customWidth="1"/>
    <col min="22" max="22" width="16.28515625" customWidth="1"/>
    <col min="23" max="23" width="13.85546875" customWidth="1"/>
  </cols>
  <sheetData>
    <row r="1" spans="1:19" x14ac:dyDescent="0.25">
      <c r="A1" s="4" t="s">
        <v>129</v>
      </c>
    </row>
    <row r="2" spans="1:19" x14ac:dyDescent="0.25">
      <c r="A2" t="s">
        <v>561</v>
      </c>
    </row>
    <row r="3" spans="1:19" x14ac:dyDescent="0.25">
      <c r="A3" t="s">
        <v>146</v>
      </c>
    </row>
    <row r="4" spans="1:19" ht="15.75" thickBot="1" x14ac:dyDescent="0.3"/>
    <row r="5" spans="1:19" ht="15.75" thickBot="1" x14ac:dyDescent="0.3">
      <c r="A5" s="124" t="s">
        <v>0</v>
      </c>
      <c r="B5" s="125" t="s">
        <v>1</v>
      </c>
      <c r="C5" s="125" t="s">
        <v>2</v>
      </c>
      <c r="D5" s="169" t="s">
        <v>152</v>
      </c>
    </row>
    <row r="6" spans="1:19" x14ac:dyDescent="0.25">
      <c r="A6" s="2" t="s">
        <v>149</v>
      </c>
      <c r="B6" s="2" t="s">
        <v>149</v>
      </c>
      <c r="C6" s="2" t="s">
        <v>17</v>
      </c>
      <c r="D6" s="12">
        <f>'Inputs-Imperial'!$E$2</f>
        <v>9709.5874039999981</v>
      </c>
    </row>
    <row r="7" spans="1:19" x14ac:dyDescent="0.25">
      <c r="A7" s="2" t="s">
        <v>559</v>
      </c>
      <c r="B7" s="2" t="s">
        <v>567</v>
      </c>
      <c r="C7" s="2" t="s">
        <v>524</v>
      </c>
      <c r="D7" s="12">
        <f>SUM(E20:E120)</f>
        <v>101.03033873493925</v>
      </c>
    </row>
    <row r="8" spans="1:19" x14ac:dyDescent="0.25">
      <c r="A8" s="2" t="s">
        <v>568</v>
      </c>
      <c r="B8" s="2" t="s">
        <v>138</v>
      </c>
      <c r="C8" s="2" t="s">
        <v>7</v>
      </c>
      <c r="D8" s="11">
        <f>'Inputs-Imperial'!$E$5*2</f>
        <v>48.162731199999996</v>
      </c>
    </row>
    <row r="9" spans="1:19" x14ac:dyDescent="0.25">
      <c r="A9" s="2" t="s">
        <v>560</v>
      </c>
      <c r="B9" s="2" t="s">
        <v>566</v>
      </c>
      <c r="C9" s="2" t="s">
        <v>135</v>
      </c>
      <c r="D9" s="11">
        <f>D6/D7</f>
        <v>96.105660196526074</v>
      </c>
    </row>
    <row r="10" spans="1:19" x14ac:dyDescent="0.25">
      <c r="A10" s="2" t="s">
        <v>488</v>
      </c>
      <c r="B10" s="2" t="s">
        <v>490</v>
      </c>
      <c r="C10" s="2" t="s">
        <v>14</v>
      </c>
      <c r="D10" s="11">
        <f>'Inputs-Imperial'!E3</f>
        <v>10</v>
      </c>
    </row>
    <row r="11" spans="1:19" x14ac:dyDescent="0.25">
      <c r="A11" s="2" t="s">
        <v>489</v>
      </c>
      <c r="B11" s="2" t="s">
        <v>491</v>
      </c>
      <c r="C11" s="2" t="s">
        <v>14</v>
      </c>
      <c r="D11" s="11">
        <f>'Inputs-Imperial'!E4</f>
        <v>-0.3</v>
      </c>
    </row>
    <row r="12" spans="1:19" x14ac:dyDescent="0.25">
      <c r="A12" s="2" t="s">
        <v>1102</v>
      </c>
      <c r="B12" s="2" t="str">
        <f>'Inputs-Imperial'!C12</f>
        <v>Spar_x/c</v>
      </c>
      <c r="C12" s="2" t="str">
        <f>'Inputs-Imperial'!D12</f>
        <v>-</v>
      </c>
      <c r="D12" s="2">
        <f>'Inputs-Imperial'!E12</f>
        <v>0.25</v>
      </c>
    </row>
    <row r="13" spans="1:19" ht="15.75" thickBot="1" x14ac:dyDescent="0.3">
      <c r="A13" s="2" t="s">
        <v>1103</v>
      </c>
      <c r="B13" s="2" t="str">
        <f>'Inputs-Imperial'!C15</f>
        <v>AW_x/c_tip</v>
      </c>
      <c r="C13" s="2" t="str">
        <f>'Inputs-Imperial'!D15</f>
        <v>-</v>
      </c>
      <c r="D13" s="2">
        <f>'Inputs-Imperial'!E15</f>
        <v>0.75</v>
      </c>
      <c r="M13" s="4" t="s">
        <v>600</v>
      </c>
    </row>
    <row r="14" spans="1:19" ht="45" x14ac:dyDescent="0.25">
      <c r="M14" s="158"/>
      <c r="N14" s="354" t="s">
        <v>570</v>
      </c>
    </row>
    <row r="15" spans="1:19" x14ac:dyDescent="0.25">
      <c r="M15" s="225"/>
      <c r="N15" s="127" t="s">
        <v>142</v>
      </c>
      <c r="S15" t="s">
        <v>762</v>
      </c>
    </row>
    <row r="16" spans="1:19" x14ac:dyDescent="0.25">
      <c r="A16" s="2"/>
      <c r="B16" s="2"/>
      <c r="C16" s="2"/>
      <c r="D16" s="2"/>
      <c r="M16" s="225"/>
      <c r="N16" s="152">
        <f>2*D6*D8/12*(1+2*(0.5))/(1+0.5)</f>
        <v>103920.05515594616</v>
      </c>
      <c r="S16" t="s">
        <v>763</v>
      </c>
    </row>
    <row r="17" spans="1:24" ht="15.75" thickBot="1" x14ac:dyDescent="0.3">
      <c r="A17" s="2"/>
      <c r="B17" s="2"/>
      <c r="C17" s="2"/>
      <c r="D17" s="2"/>
      <c r="J17" s="14"/>
      <c r="K17" s="14"/>
      <c r="L17" s="14"/>
      <c r="M17" s="128"/>
      <c r="N17" s="127"/>
      <c r="R17" s="41" t="s">
        <v>1104</v>
      </c>
      <c r="S17" s="41"/>
    </row>
    <row r="18" spans="1:24" ht="15.75" thickBot="1" x14ac:dyDescent="0.3">
      <c r="F18" s="14" t="s">
        <v>136</v>
      </c>
      <c r="J18" s="14" t="s">
        <v>141</v>
      </c>
      <c r="K18" s="159" t="s">
        <v>758</v>
      </c>
      <c r="L18" s="159" t="s">
        <v>756</v>
      </c>
      <c r="M18" s="419" t="s">
        <v>141</v>
      </c>
      <c r="N18" s="420" t="s">
        <v>141</v>
      </c>
      <c r="P18" s="4" t="s">
        <v>599</v>
      </c>
      <c r="R18" s="41" t="s">
        <v>1105</v>
      </c>
      <c r="S18" s="159"/>
    </row>
    <row r="19" spans="1:24" ht="60.75" thickBot="1" x14ac:dyDescent="0.3">
      <c r="A19" s="14" t="s">
        <v>130</v>
      </c>
      <c r="B19" s="14" t="s">
        <v>132</v>
      </c>
      <c r="C19" s="14" t="s">
        <v>131</v>
      </c>
      <c r="D19" s="14" t="s">
        <v>133</v>
      </c>
      <c r="E19" s="14" t="s">
        <v>154</v>
      </c>
      <c r="F19" s="14" t="s">
        <v>137</v>
      </c>
      <c r="G19" s="139" t="s">
        <v>139</v>
      </c>
      <c r="H19" s="139" t="s">
        <v>140</v>
      </c>
      <c r="I19" s="14" t="s">
        <v>134</v>
      </c>
      <c r="J19" s="14" t="s">
        <v>137</v>
      </c>
      <c r="K19" s="549" t="s">
        <v>757</v>
      </c>
      <c r="L19" s="14" t="s">
        <v>755</v>
      </c>
      <c r="M19" s="421" t="s">
        <v>147</v>
      </c>
      <c r="N19" s="422" t="s">
        <v>148</v>
      </c>
      <c r="O19" s="14" t="s">
        <v>571</v>
      </c>
      <c r="P19" s="344" t="s">
        <v>572</v>
      </c>
      <c r="Q19" s="418" t="s">
        <v>573</v>
      </c>
      <c r="R19" s="136" t="s">
        <v>759</v>
      </c>
      <c r="S19" s="549" t="s">
        <v>760</v>
      </c>
      <c r="T19" s="14" t="s">
        <v>761</v>
      </c>
      <c r="U19" s="14" t="s">
        <v>574</v>
      </c>
      <c r="V19" s="344" t="s">
        <v>575</v>
      </c>
      <c r="W19" s="136"/>
    </row>
    <row r="20" spans="1:24" x14ac:dyDescent="0.25">
      <c r="A20" s="2">
        <v>0</v>
      </c>
      <c r="B20" s="11">
        <f>A20/100*'Inputs-Imperial'!$E$5</f>
        <v>0</v>
      </c>
      <c r="C20" s="8">
        <f>'Inputs-Imperial'!$E$10+('Inputs-Imperial'!$E$9-'Inputs-Imperial'!$E$10)*(100-A20)/100</f>
        <v>5.0853020000000004</v>
      </c>
      <c r="D20" s="8">
        <v>0</v>
      </c>
      <c r="E20" s="2">
        <v>0</v>
      </c>
      <c r="F20" s="11">
        <f t="shared" ref="F20:F51" si="0">E20*$D$9</f>
        <v>0</v>
      </c>
      <c r="G20" s="8">
        <f t="shared" ref="G20:G51" si="1">(8*$D$7/PI()/$D$8)*SQRT(1-(A20/100)^2)</f>
        <v>5.3417162727396716</v>
      </c>
      <c r="H20" s="8">
        <f>(G20+C20)/2</f>
        <v>5.2135091363698365</v>
      </c>
      <c r="I20" s="2">
        <v>0</v>
      </c>
      <c r="J20" s="11">
        <f t="shared" ref="J20:J51" si="2">I20*$D$9</f>
        <v>0</v>
      </c>
      <c r="K20" s="550">
        <v>0</v>
      </c>
      <c r="L20" s="11">
        <f>J20+K20</f>
        <v>0</v>
      </c>
      <c r="M20" s="150">
        <f>M21+L21</f>
        <v>9707.7706817218186</v>
      </c>
      <c r="N20" s="149">
        <f>M20*D21+N21</f>
        <v>105068.09904309957</v>
      </c>
      <c r="O20" s="11">
        <f>J20/$D$10</f>
        <v>0</v>
      </c>
      <c r="P20" s="345">
        <f>P21+O21</f>
        <v>970.77706817218188</v>
      </c>
      <c r="Q20" s="416">
        <f>P20*D21+Q21</f>
        <v>10506.809904309965</v>
      </c>
      <c r="R20" s="8">
        <f>0.25-AVERAGE($D$12:$D$13)+$D$11</f>
        <v>-0.55000000000000004</v>
      </c>
      <c r="S20" s="552">
        <v>0</v>
      </c>
      <c r="T20" s="8">
        <f>R20+S20</f>
        <v>-0.55000000000000004</v>
      </c>
      <c r="U20" s="11">
        <f>J20*T20*H20</f>
        <v>0</v>
      </c>
      <c r="V20" s="345">
        <f>V21+U21</f>
        <v>-23217.821192543794</v>
      </c>
      <c r="W20" s="12"/>
      <c r="X20" s="144"/>
    </row>
    <row r="21" spans="1:24" x14ac:dyDescent="0.25">
      <c r="A21" s="2">
        <v>1</v>
      </c>
      <c r="B21" s="11">
        <f>A21/100*'Inputs-Imperial'!$E$5</f>
        <v>0.24081365599999999</v>
      </c>
      <c r="C21" s="8">
        <f>'Inputs-Imperial'!$E$10+('Inputs-Imperial'!$E$9-'Inputs-Imperial'!$E$10)*(100-A21)/100</f>
        <v>5.0675034430000006</v>
      </c>
      <c r="D21" s="8">
        <f>B21-B20</f>
        <v>0.24081365599999999</v>
      </c>
      <c r="E21" s="8">
        <f>D21*AVERAGE(C20:C21)</f>
        <v>1.222467098692765</v>
      </c>
      <c r="F21" s="11">
        <f t="shared" si="0"/>
        <v>117.48600758839999</v>
      </c>
      <c r="G21" s="8">
        <f t="shared" si="1"/>
        <v>5.3414491802485555</v>
      </c>
      <c r="H21" s="8">
        <f t="shared" ref="H21:H84" si="3">(G21+C21)/2</f>
        <v>5.204476311624278</v>
      </c>
      <c r="I21" s="8">
        <f>D21*AVERAGE(H20:H21)</f>
        <v>1.2543965819431302</v>
      </c>
      <c r="J21" s="11">
        <f t="shared" si="2"/>
        <v>120.55461165591025</v>
      </c>
      <c r="K21" s="550">
        <v>0</v>
      </c>
      <c r="L21" s="11">
        <f t="shared" ref="L21:L84" si="4">J21+K21</f>
        <v>120.55461165591025</v>
      </c>
      <c r="M21" s="150">
        <f t="shared" ref="M21:M83" si="5">M22+L22</f>
        <v>9587.2160700659078</v>
      </c>
      <c r="N21" s="149">
        <f t="shared" ref="N21:N51" si="6">M21*D22+N22</f>
        <v>102730.33529362454</v>
      </c>
      <c r="O21" s="11">
        <f t="shared" ref="O21:O84" si="7">J21/$D$10</f>
        <v>12.055461165591025</v>
      </c>
      <c r="P21" s="345">
        <f t="shared" ref="P21:P84" si="8">P22+O22</f>
        <v>958.72160700659083</v>
      </c>
      <c r="Q21" s="416">
        <f t="shared" ref="Q21:Q83" si="9">P21*D22+Q22</f>
        <v>10273.033529362461</v>
      </c>
      <c r="R21" s="8">
        <f t="shared" ref="R21:R84" si="10">0.25-AVERAGE($D$12:$D$13)+$D$11</f>
        <v>-0.55000000000000004</v>
      </c>
      <c r="S21" s="552">
        <v>0</v>
      </c>
      <c r="T21" s="8">
        <f t="shared" ref="T21:T84" si="11">R21+S21</f>
        <v>-0.55000000000000004</v>
      </c>
      <c r="U21" s="11">
        <f>J21*T21*H21</f>
        <v>-345.08299134113696</v>
      </c>
      <c r="V21" s="345">
        <f t="shared" ref="V21:V83" si="12">V22+U22</f>
        <v>-22872.738201202657</v>
      </c>
      <c r="W21" s="12"/>
    </row>
    <row r="22" spans="1:24" x14ac:dyDescent="0.25">
      <c r="A22" s="2">
        <v>2</v>
      </c>
      <c r="B22" s="11">
        <f>A22/100*'Inputs-Imperial'!$E$5</f>
        <v>0.48162731199999997</v>
      </c>
      <c r="C22" s="8">
        <f>'Inputs-Imperial'!$E$10+('Inputs-Imperial'!$E$9-'Inputs-Imperial'!$E$10)*(100-A22)/100</f>
        <v>5.0497048860000007</v>
      </c>
      <c r="D22" s="8">
        <f t="shared" ref="D22:D85" si="13">B22-B21</f>
        <v>0.24081365599999999</v>
      </c>
      <c r="E22" s="8">
        <f t="shared" ref="E22:E85" si="14">D22*AVERAGE(C21:C22)</f>
        <v>1.2181809631100704</v>
      </c>
      <c r="F22" s="11">
        <f t="shared" si="0"/>
        <v>117.0740856985333</v>
      </c>
      <c r="G22" s="8">
        <f t="shared" si="1"/>
        <v>5.3406478226294265</v>
      </c>
      <c r="H22" s="8">
        <f t="shared" si="3"/>
        <v>5.1951763543147136</v>
      </c>
      <c r="I22" s="8">
        <f t="shared" ref="I22:I85" si="15">D22*AVERAGE(H21:H22)</f>
        <v>1.2521891898074575</v>
      </c>
      <c r="J22" s="11">
        <f t="shared" si="2"/>
        <v>120.34246877739881</v>
      </c>
      <c r="K22" s="550">
        <v>0</v>
      </c>
      <c r="L22" s="11">
        <f t="shared" si="4"/>
        <v>120.34246877739881</v>
      </c>
      <c r="M22" s="150">
        <f t="shared" si="5"/>
        <v>9466.8736012885092</v>
      </c>
      <c r="N22" s="149">
        <f t="shared" si="6"/>
        <v>100421.60274093001</v>
      </c>
      <c r="O22" s="11">
        <f t="shared" si="7"/>
        <v>12.03424687773988</v>
      </c>
      <c r="P22" s="345">
        <f t="shared" si="8"/>
        <v>946.68736012885097</v>
      </c>
      <c r="Q22" s="416">
        <f t="shared" si="9"/>
        <v>10042.160274093008</v>
      </c>
      <c r="R22" s="8">
        <f t="shared" si="10"/>
        <v>-0.55000000000000004</v>
      </c>
      <c r="S22" s="552">
        <v>0</v>
      </c>
      <c r="T22" s="8">
        <f t="shared" si="11"/>
        <v>-0.55000000000000004</v>
      </c>
      <c r="U22" s="11">
        <f t="shared" ref="U22:U84" si="16">J22*T22*H22</f>
        <v>-343.86019151670945</v>
      </c>
      <c r="V22" s="345">
        <f t="shared" si="12"/>
        <v>-22528.878009685948</v>
      </c>
      <c r="W22" s="12"/>
    </row>
    <row r="23" spans="1:24" x14ac:dyDescent="0.25">
      <c r="A23" s="2">
        <v>3</v>
      </c>
      <c r="B23" s="11">
        <f>A23/100*'Inputs-Imperial'!$E$5</f>
        <v>0.72244096799999991</v>
      </c>
      <c r="C23" s="8">
        <f>'Inputs-Imperial'!$E$10+('Inputs-Imperial'!$E$9-'Inputs-Imperial'!$E$10)*(100-A23)/100</f>
        <v>5.0319063289999999</v>
      </c>
      <c r="D23" s="8">
        <f t="shared" si="13"/>
        <v>0.24081365599999993</v>
      </c>
      <c r="E23" s="8">
        <f t="shared" si="14"/>
        <v>1.2138948275273758</v>
      </c>
      <c r="F23" s="11">
        <f t="shared" si="0"/>
        <v>116.66216380866661</v>
      </c>
      <c r="G23" s="8">
        <f t="shared" si="1"/>
        <v>5.3393119593246468</v>
      </c>
      <c r="H23" s="8">
        <f t="shared" si="3"/>
        <v>5.1856091441623233</v>
      </c>
      <c r="I23" s="8">
        <f t="shared" si="15"/>
        <v>1.2499174540200184</v>
      </c>
      <c r="J23" s="11">
        <f t="shared" si="2"/>
        <v>120.1241421097549</v>
      </c>
      <c r="K23" s="550">
        <v>0</v>
      </c>
      <c r="L23" s="11">
        <f t="shared" si="4"/>
        <v>120.1241421097549</v>
      </c>
      <c r="M23" s="150">
        <f t="shared" si="5"/>
        <v>9346.7494591787545</v>
      </c>
      <c r="N23" s="149">
        <f t="shared" si="6"/>
        <v>98141.850298113844</v>
      </c>
      <c r="O23" s="11">
        <f t="shared" si="7"/>
        <v>12.012414210975489</v>
      </c>
      <c r="P23" s="345">
        <f t="shared" si="8"/>
        <v>934.67494591787545</v>
      </c>
      <c r="Q23" s="416">
        <f t="shared" si="9"/>
        <v>9814.1850298113914</v>
      </c>
      <c r="R23" s="8">
        <f t="shared" si="10"/>
        <v>-0.55000000000000004</v>
      </c>
      <c r="S23" s="552">
        <v>0</v>
      </c>
      <c r="T23" s="8">
        <f t="shared" si="11"/>
        <v>-0.55000000000000004</v>
      </c>
      <c r="U23" s="11">
        <f t="shared" si="16"/>
        <v>-342.60426736744967</v>
      </c>
      <c r="V23" s="345">
        <f t="shared" si="12"/>
        <v>-22186.273742318499</v>
      </c>
      <c r="W23" s="12"/>
    </row>
    <row r="24" spans="1:24" x14ac:dyDescent="0.25">
      <c r="A24" s="2">
        <v>4</v>
      </c>
      <c r="B24" s="11">
        <f>A24/100*'Inputs-Imperial'!$E$5</f>
        <v>0.96325462399999995</v>
      </c>
      <c r="C24" s="8">
        <f>'Inputs-Imperial'!$E$10+('Inputs-Imperial'!$E$9-'Inputs-Imperial'!$E$10)*(100-A24)/100</f>
        <v>5.014107772</v>
      </c>
      <c r="D24" s="8">
        <f t="shared" si="13"/>
        <v>0.24081365600000004</v>
      </c>
      <c r="E24" s="8">
        <f t="shared" si="14"/>
        <v>1.209608691944682</v>
      </c>
      <c r="F24" s="11">
        <f t="shared" si="0"/>
        <v>116.2502419188</v>
      </c>
      <c r="G24" s="8">
        <f t="shared" si="1"/>
        <v>5.3374411890034237</v>
      </c>
      <c r="H24" s="8">
        <f t="shared" si="3"/>
        <v>5.1757744805017118</v>
      </c>
      <c r="I24" s="8">
        <f t="shared" si="15"/>
        <v>1.2475813359369394</v>
      </c>
      <c r="J24" s="11">
        <f t="shared" si="2"/>
        <v>119.89962793908354</v>
      </c>
      <c r="K24" s="550">
        <v>0</v>
      </c>
      <c r="L24" s="11">
        <f t="shared" si="4"/>
        <v>119.89962793908354</v>
      </c>
      <c r="M24" s="150">
        <f t="shared" si="5"/>
        <v>9226.8498312396714</v>
      </c>
      <c r="N24" s="149">
        <f t="shared" si="6"/>
        <v>95891.025389132992</v>
      </c>
      <c r="O24" s="11">
        <f t="shared" si="7"/>
        <v>11.989962793908354</v>
      </c>
      <c r="P24" s="345">
        <f t="shared" si="8"/>
        <v>922.68498312396707</v>
      </c>
      <c r="Q24" s="416">
        <f t="shared" si="9"/>
        <v>9589.1025389133047</v>
      </c>
      <c r="R24" s="8">
        <f t="shared" si="10"/>
        <v>-0.55000000000000004</v>
      </c>
      <c r="S24" s="552">
        <v>0</v>
      </c>
      <c r="T24" s="8">
        <f t="shared" si="11"/>
        <v>-0.55000000000000004</v>
      </c>
      <c r="U24" s="11">
        <f t="shared" si="16"/>
        <v>-341.31538897981727</v>
      </c>
      <c r="V24" s="345">
        <f t="shared" si="12"/>
        <v>-21844.958353338683</v>
      </c>
      <c r="W24" s="12"/>
    </row>
    <row r="25" spans="1:24" x14ac:dyDescent="0.25">
      <c r="A25" s="2">
        <v>5</v>
      </c>
      <c r="B25" s="11">
        <f>A25/100*'Inputs-Imperial'!$E$5</f>
        <v>1.20406828</v>
      </c>
      <c r="C25" s="8">
        <f>'Inputs-Imperial'!$E$10+('Inputs-Imperial'!$E$9-'Inputs-Imperial'!$E$10)*(100-A25)/100</f>
        <v>4.9963092150000001</v>
      </c>
      <c r="D25" s="8">
        <f t="shared" si="13"/>
        <v>0.24081365600000004</v>
      </c>
      <c r="E25" s="8">
        <f t="shared" si="14"/>
        <v>1.2053225563619874</v>
      </c>
      <c r="F25" s="11">
        <f t="shared" si="0"/>
        <v>115.83832002893331</v>
      </c>
      <c r="G25" s="8">
        <f t="shared" si="1"/>
        <v>5.3350349489582243</v>
      </c>
      <c r="H25" s="8">
        <f t="shared" si="3"/>
        <v>5.1656720819791122</v>
      </c>
      <c r="I25" s="8">
        <f t="shared" si="15"/>
        <v>1.24518077751982</v>
      </c>
      <c r="J25" s="11">
        <f t="shared" si="2"/>
        <v>119.66892068756596</v>
      </c>
      <c r="K25" s="550">
        <v>0</v>
      </c>
      <c r="L25" s="11">
        <f t="shared" si="4"/>
        <v>119.66892068756596</v>
      </c>
      <c r="M25" s="150">
        <f t="shared" si="5"/>
        <v>9107.1809105521061</v>
      </c>
      <c r="N25" s="149">
        <f t="shared" si="6"/>
        <v>93669.073947909186</v>
      </c>
      <c r="O25" s="11">
        <f>J25/$D$10</f>
        <v>11.966892068756597</v>
      </c>
      <c r="P25" s="345">
        <f t="shared" si="8"/>
        <v>910.71809105521049</v>
      </c>
      <c r="Q25" s="416">
        <f t="shared" si="9"/>
        <v>9366.9073947909237</v>
      </c>
      <c r="R25" s="8">
        <f t="shared" si="10"/>
        <v>-0.55000000000000004</v>
      </c>
      <c r="S25" s="552">
        <v>0</v>
      </c>
      <c r="T25" s="8">
        <f t="shared" si="11"/>
        <v>-0.55000000000000004</v>
      </c>
      <c r="U25" s="11">
        <f t="shared" si="16"/>
        <v>-339.99372147198267</v>
      </c>
      <c r="V25" s="345">
        <f t="shared" si="12"/>
        <v>-21504.9646318667</v>
      </c>
      <c r="W25" s="12"/>
    </row>
    <row r="26" spans="1:24" x14ac:dyDescent="0.25">
      <c r="A26" s="2">
        <v>6</v>
      </c>
      <c r="B26" s="11">
        <f>A26/100*'Inputs-Imperial'!$E$5</f>
        <v>1.4448819359999998</v>
      </c>
      <c r="C26" s="8">
        <f>'Inputs-Imperial'!$E$10+('Inputs-Imperial'!$E$9-'Inputs-Imperial'!$E$10)*(100-A26)/100</f>
        <v>4.9785106580000003</v>
      </c>
      <c r="D26" s="8">
        <f t="shared" si="13"/>
        <v>0.24081365599999982</v>
      </c>
      <c r="E26" s="8">
        <f t="shared" si="14"/>
        <v>1.2010364207792921</v>
      </c>
      <c r="F26" s="11">
        <f t="shared" si="0"/>
        <v>115.42639813906655</v>
      </c>
      <c r="G26" s="8">
        <f t="shared" si="1"/>
        <v>5.3320925142567983</v>
      </c>
      <c r="H26" s="8">
        <f t="shared" si="3"/>
        <v>5.1553015861283988</v>
      </c>
      <c r="I26" s="8">
        <f t="shared" si="15"/>
        <v>1.2427157012483492</v>
      </c>
      <c r="J26" s="11">
        <f t="shared" si="2"/>
        <v>119.43201290506146</v>
      </c>
      <c r="K26" s="550">
        <v>0</v>
      </c>
      <c r="L26" s="11">
        <f t="shared" si="4"/>
        <v>119.43201290506146</v>
      </c>
      <c r="M26" s="150">
        <f t="shared" si="5"/>
        <v>8987.7488976470449</v>
      </c>
      <c r="N26" s="149">
        <f t="shared" si="6"/>
        <v>91475.94041698573</v>
      </c>
      <c r="O26" s="11">
        <f t="shared" si="7"/>
        <v>11.943201290506146</v>
      </c>
      <c r="P26" s="345">
        <f t="shared" si="8"/>
        <v>898.77488976470431</v>
      </c>
      <c r="Q26" s="416">
        <f t="shared" si="9"/>
        <v>9147.5940416985777</v>
      </c>
      <c r="R26" s="8">
        <f t="shared" si="10"/>
        <v>-0.55000000000000004</v>
      </c>
      <c r="S26" s="552">
        <v>0</v>
      </c>
      <c r="T26" s="8">
        <f t="shared" si="11"/>
        <v>-0.55000000000000004</v>
      </c>
      <c r="U26" s="11">
        <f t="shared" si="16"/>
        <v>-338.63942506018395</v>
      </c>
      <c r="V26" s="345">
        <f t="shared" si="12"/>
        <v>-21166.325206806516</v>
      </c>
      <c r="W26" s="12"/>
    </row>
    <row r="27" spans="1:24" x14ac:dyDescent="0.25">
      <c r="A27" s="2">
        <v>7</v>
      </c>
      <c r="B27" s="11">
        <f>A27/100*'Inputs-Imperial'!$E$5</f>
        <v>1.6856955920000001</v>
      </c>
      <c r="C27" s="8">
        <f>'Inputs-Imperial'!$E$10+('Inputs-Imperial'!$E$9-'Inputs-Imperial'!$E$10)*(100-A27)/100</f>
        <v>4.9607121010000004</v>
      </c>
      <c r="D27" s="8">
        <f t="shared" si="13"/>
        <v>0.24081365600000026</v>
      </c>
      <c r="E27" s="8">
        <f t="shared" si="14"/>
        <v>1.1967502851965997</v>
      </c>
      <c r="F27" s="11">
        <f t="shared" si="0"/>
        <v>115.01447624920007</v>
      </c>
      <c r="G27" s="8">
        <f t="shared" si="1"/>
        <v>5.328612996646819</v>
      </c>
      <c r="H27" s="8">
        <f t="shared" si="3"/>
        <v>5.1446625488234101</v>
      </c>
      <c r="I27" s="8">
        <f t="shared" si="15"/>
        <v>1.2401860100033126</v>
      </c>
      <c r="J27" s="11">
        <f t="shared" si="2"/>
        <v>119.18889525786385</v>
      </c>
      <c r="K27" s="550">
        <v>0</v>
      </c>
      <c r="L27" s="11">
        <f t="shared" si="4"/>
        <v>119.18889525786385</v>
      </c>
      <c r="M27" s="150">
        <f t="shared" si="5"/>
        <v>8868.5600023891802</v>
      </c>
      <c r="N27" s="149">
        <f t="shared" si="6"/>
        <v>89311.567745733366</v>
      </c>
      <c r="O27" s="11">
        <f t="shared" si="7"/>
        <v>11.918889525786385</v>
      </c>
      <c r="P27" s="345">
        <f t="shared" si="8"/>
        <v>886.85600023891789</v>
      </c>
      <c r="Q27" s="416">
        <f t="shared" si="9"/>
        <v>8931.1567745733428</v>
      </c>
      <c r="R27" s="8">
        <f t="shared" si="10"/>
        <v>-0.55000000000000004</v>
      </c>
      <c r="S27" s="552">
        <v>0</v>
      </c>
      <c r="T27" s="8">
        <f t="shared" si="11"/>
        <v>-0.55000000000000004</v>
      </c>
      <c r="U27" s="11">
        <f t="shared" si="16"/>
        <v>-337.25265511782254</v>
      </c>
      <c r="V27" s="345">
        <f t="shared" si="12"/>
        <v>-20829.072551688692</v>
      </c>
      <c r="W27" s="12"/>
    </row>
    <row r="28" spans="1:24" x14ac:dyDescent="0.25">
      <c r="A28" s="2">
        <v>8</v>
      </c>
      <c r="B28" s="11">
        <f>A28/100*'Inputs-Imperial'!$E$5</f>
        <v>1.9265092479999999</v>
      </c>
      <c r="C28" s="8">
        <f>'Inputs-Imperial'!$E$10+('Inputs-Imperial'!$E$9-'Inputs-Imperial'!$E$10)*(100-A28)/100</f>
        <v>4.9429135440000005</v>
      </c>
      <c r="D28" s="8">
        <f t="shared" si="13"/>
        <v>0.24081365599999982</v>
      </c>
      <c r="E28" s="8">
        <f t="shared" si="14"/>
        <v>1.1924641496139035</v>
      </c>
      <c r="F28" s="11">
        <f t="shared" si="0"/>
        <v>114.60255435933324</v>
      </c>
      <c r="G28" s="8">
        <f t="shared" si="1"/>
        <v>5.3245953432092588</v>
      </c>
      <c r="H28" s="8">
        <f t="shared" si="3"/>
        <v>5.1337544436046301</v>
      </c>
      <c r="I28" s="8">
        <f t="shared" si="15"/>
        <v>1.2375915869195595</v>
      </c>
      <c r="J28" s="11">
        <f t="shared" si="2"/>
        <v>118.93955651457065</v>
      </c>
      <c r="K28" s="550">
        <v>0</v>
      </c>
      <c r="L28" s="11">
        <f t="shared" si="4"/>
        <v>118.93955651457065</v>
      </c>
      <c r="M28" s="150">
        <f t="shared" si="5"/>
        <v>8749.6204458746088</v>
      </c>
      <c r="N28" s="149">
        <f t="shared" si="6"/>
        <v>87175.897388102661</v>
      </c>
      <c r="O28" s="11">
        <f t="shared" si="7"/>
        <v>11.893955651457066</v>
      </c>
      <c r="P28" s="345">
        <f t="shared" si="8"/>
        <v>874.96204458746081</v>
      </c>
      <c r="Q28" s="416">
        <f t="shared" si="9"/>
        <v>8717.589738810273</v>
      </c>
      <c r="R28" s="8">
        <f t="shared" si="10"/>
        <v>-0.55000000000000004</v>
      </c>
      <c r="S28" s="552">
        <v>0</v>
      </c>
      <c r="T28" s="8">
        <f t="shared" si="11"/>
        <v>-0.55000000000000004</v>
      </c>
      <c r="U28" s="11">
        <f t="shared" si="16"/>
        <v>-335.83356222737262</v>
      </c>
      <c r="V28" s="345">
        <f t="shared" si="12"/>
        <v>-20493.238989461319</v>
      </c>
      <c r="W28" s="12"/>
    </row>
    <row r="29" spans="1:24" x14ac:dyDescent="0.25">
      <c r="A29" s="2">
        <v>9</v>
      </c>
      <c r="B29" s="11">
        <f>A29/100*'Inputs-Imperial'!$E$5</f>
        <v>2.1673229039999997</v>
      </c>
      <c r="C29" s="8">
        <f>'Inputs-Imperial'!$E$10+('Inputs-Imperial'!$E$9-'Inputs-Imperial'!$E$10)*(100-A29)/100</f>
        <v>4.9251149870000006</v>
      </c>
      <c r="D29" s="8">
        <f t="shared" si="13"/>
        <v>0.24081365599999982</v>
      </c>
      <c r="E29" s="8">
        <f t="shared" si="14"/>
        <v>1.1881780140312088</v>
      </c>
      <c r="F29" s="11">
        <f t="shared" si="0"/>
        <v>114.19063246946655</v>
      </c>
      <c r="G29" s="8">
        <f t="shared" si="1"/>
        <v>5.3200383347557141</v>
      </c>
      <c r="H29" s="8">
        <f t="shared" si="3"/>
        <v>5.1225766608778578</v>
      </c>
      <c r="I29" s="8">
        <f t="shared" si="15"/>
        <v>1.234932295208472</v>
      </c>
      <c r="J29" s="11">
        <f t="shared" si="2"/>
        <v>118.68398352902143</v>
      </c>
      <c r="K29" s="550">
        <v>0</v>
      </c>
      <c r="L29" s="11">
        <f t="shared" si="4"/>
        <v>118.68398352902143</v>
      </c>
      <c r="M29" s="150">
        <f t="shared" si="5"/>
        <v>8630.9364623455876</v>
      </c>
      <c r="N29" s="149">
        <f t="shared" si="6"/>
        <v>85068.869299919243</v>
      </c>
      <c r="O29" s="11">
        <f t="shared" si="7"/>
        <v>11.868398352902144</v>
      </c>
      <c r="P29" s="345">
        <f t="shared" si="8"/>
        <v>863.09364623455872</v>
      </c>
      <c r="Q29" s="416">
        <f t="shared" si="9"/>
        <v>8506.8869299919315</v>
      </c>
      <c r="R29" s="8">
        <f t="shared" si="10"/>
        <v>-0.55000000000000004</v>
      </c>
      <c r="S29" s="552">
        <v>0</v>
      </c>
      <c r="T29" s="8">
        <f t="shared" si="11"/>
        <v>-0.55000000000000004</v>
      </c>
      <c r="U29" s="11">
        <f t="shared" si="16"/>
        <v>-334.38229222517754</v>
      </c>
      <c r="V29" s="345">
        <f t="shared" si="12"/>
        <v>-20158.85669723614</v>
      </c>
      <c r="W29" s="12"/>
    </row>
    <row r="30" spans="1:24" x14ac:dyDescent="0.25">
      <c r="A30" s="2">
        <v>10</v>
      </c>
      <c r="B30" s="11">
        <f>A30/100*'Inputs-Imperial'!$E$5</f>
        <v>2.40813656</v>
      </c>
      <c r="C30" s="8">
        <f>'Inputs-Imperial'!$E$10+('Inputs-Imperial'!$E$9-'Inputs-Imperial'!$E$10)*(100-A30)/100</f>
        <v>4.9073164299999998</v>
      </c>
      <c r="D30" s="8">
        <f t="shared" si="13"/>
        <v>0.24081365600000026</v>
      </c>
      <c r="E30" s="8">
        <f t="shared" si="14"/>
        <v>1.1838918784485166</v>
      </c>
      <c r="F30" s="11">
        <f t="shared" si="0"/>
        <v>113.77871057960009</v>
      </c>
      <c r="G30" s="8">
        <f t="shared" si="1"/>
        <v>5.3149405839639723</v>
      </c>
      <c r="H30" s="8">
        <f t="shared" si="3"/>
        <v>5.1111285069819861</v>
      </c>
      <c r="I30" s="8">
        <f t="shared" si="15"/>
        <v>1.2322079779492128</v>
      </c>
      <c r="J30" s="11">
        <f t="shared" si="2"/>
        <v>118.42216122023554</v>
      </c>
      <c r="K30" s="550">
        <v>0</v>
      </c>
      <c r="L30" s="11">
        <f t="shared" si="4"/>
        <v>118.42216122023554</v>
      </c>
      <c r="M30" s="150">
        <f t="shared" si="5"/>
        <v>8512.5143011253513</v>
      </c>
      <c r="N30" s="149">
        <f t="shared" si="6"/>
        <v>82990.421935718099</v>
      </c>
      <c r="O30" s="11">
        <f t="shared" si="7"/>
        <v>11.842216122023554</v>
      </c>
      <c r="P30" s="345">
        <f t="shared" si="8"/>
        <v>851.25143011253522</v>
      </c>
      <c r="Q30" s="416">
        <f t="shared" si="9"/>
        <v>8299.0421935718168</v>
      </c>
      <c r="R30" s="8">
        <f t="shared" si="10"/>
        <v>-0.55000000000000004</v>
      </c>
      <c r="S30" s="552">
        <v>0</v>
      </c>
      <c r="T30" s="8">
        <f t="shared" si="11"/>
        <v>-0.55000000000000004</v>
      </c>
      <c r="U30" s="11">
        <f t="shared" si="16"/>
        <v>-332.89898623913945</v>
      </c>
      <c r="V30" s="345">
        <f t="shared" si="12"/>
        <v>-19825.957710997001</v>
      </c>
      <c r="W30" s="12"/>
    </row>
    <row r="31" spans="1:24" x14ac:dyDescent="0.25">
      <c r="A31" s="2">
        <v>11</v>
      </c>
      <c r="B31" s="11">
        <f>A31/100*'Inputs-Imperial'!$E$5</f>
        <v>2.6489502159999998</v>
      </c>
      <c r="C31" s="8">
        <f>'Inputs-Imperial'!$E$10+('Inputs-Imperial'!$E$9-'Inputs-Imperial'!$E$10)*(100-A31)/100</f>
        <v>4.8895178730000008</v>
      </c>
      <c r="D31" s="8">
        <f t="shared" si="13"/>
        <v>0.24081365599999982</v>
      </c>
      <c r="E31" s="8">
        <f t="shared" si="14"/>
        <v>1.17960574286582</v>
      </c>
      <c r="F31" s="11">
        <f t="shared" si="0"/>
        <v>113.36678868973321</v>
      </c>
      <c r="G31" s="8">
        <f t="shared" si="1"/>
        <v>5.3093005332450849</v>
      </c>
      <c r="H31" s="8">
        <f t="shared" si="3"/>
        <v>5.0994092031225424</v>
      </c>
      <c r="I31" s="8">
        <f t="shared" si="15"/>
        <v>1.2294184578480689</v>
      </c>
      <c r="J31" s="11">
        <f t="shared" si="2"/>
        <v>118.15407254928363</v>
      </c>
      <c r="K31" s="550">
        <v>0</v>
      </c>
      <c r="L31" s="11">
        <f t="shared" si="4"/>
        <v>118.15407254928363</v>
      </c>
      <c r="M31" s="150">
        <f t="shared" si="5"/>
        <v>8394.360228576068</v>
      </c>
      <c r="N31" s="149">
        <f t="shared" si="6"/>
        <v>80940.492245111818</v>
      </c>
      <c r="O31" s="11">
        <f t="shared" si="7"/>
        <v>11.815407254928363</v>
      </c>
      <c r="P31" s="345">
        <f t="shared" si="8"/>
        <v>839.43602285760687</v>
      </c>
      <c r="Q31" s="416">
        <f t="shared" si="9"/>
        <v>8094.0492245111882</v>
      </c>
      <c r="R31" s="8">
        <f t="shared" si="10"/>
        <v>-0.55000000000000004</v>
      </c>
      <c r="S31" s="552">
        <v>0</v>
      </c>
      <c r="T31" s="8">
        <f t="shared" si="11"/>
        <v>-0.55000000000000004</v>
      </c>
      <c r="U31" s="11">
        <f t="shared" si="16"/>
        <v>-331.38378071932402</v>
      </c>
      <c r="V31" s="345">
        <f t="shared" si="12"/>
        <v>-19494.573930277678</v>
      </c>
      <c r="W31" s="12"/>
    </row>
    <row r="32" spans="1:24" x14ac:dyDescent="0.25">
      <c r="A32" s="2">
        <v>12</v>
      </c>
      <c r="B32" s="11">
        <f>A32/100*'Inputs-Imperial'!$E$5</f>
        <v>2.8897638719999996</v>
      </c>
      <c r="C32" s="8">
        <f>'Inputs-Imperial'!$E$10+('Inputs-Imperial'!$E$9-'Inputs-Imperial'!$E$10)*(100-A32)/100</f>
        <v>4.8717193160000001</v>
      </c>
      <c r="D32" s="8">
        <f t="shared" si="13"/>
        <v>0.24081365599999982</v>
      </c>
      <c r="E32" s="8">
        <f t="shared" si="14"/>
        <v>1.1753196072831258</v>
      </c>
      <c r="F32" s="11">
        <f t="shared" si="0"/>
        <v>112.95486679986656</v>
      </c>
      <c r="G32" s="8">
        <f t="shared" si="1"/>
        <v>5.3031164523342413</v>
      </c>
      <c r="H32" s="8">
        <f t="shared" si="3"/>
        <v>5.0874178841671203</v>
      </c>
      <c r="I32" s="8">
        <f t="shared" si="15"/>
        <v>1.2265635369650265</v>
      </c>
      <c r="J32" s="11">
        <f t="shared" si="2"/>
        <v>117.87969849300998</v>
      </c>
      <c r="K32" s="550">
        <v>0</v>
      </c>
      <c r="L32" s="11">
        <f t="shared" si="4"/>
        <v>117.87969849300998</v>
      </c>
      <c r="M32" s="150">
        <f t="shared" si="5"/>
        <v>8276.4805300830576</v>
      </c>
      <c r="N32" s="149">
        <f t="shared" si="6"/>
        <v>78919.015668687425</v>
      </c>
      <c r="O32" s="11">
        <f t="shared" si="7"/>
        <v>11.787969849300998</v>
      </c>
      <c r="P32" s="345">
        <f t="shared" si="8"/>
        <v>827.64805300830585</v>
      </c>
      <c r="Q32" s="416">
        <f t="shared" si="9"/>
        <v>7891.9015668687489</v>
      </c>
      <c r="R32" s="8">
        <f t="shared" si="10"/>
        <v>-0.55000000000000004</v>
      </c>
      <c r="S32" s="552">
        <v>0</v>
      </c>
      <c r="T32" s="8">
        <f t="shared" si="11"/>
        <v>-0.55000000000000004</v>
      </c>
      <c r="U32" s="11">
        <f t="shared" si="16"/>
        <v>-329.83680746146189</v>
      </c>
      <c r="V32" s="345">
        <f t="shared" si="12"/>
        <v>-19164.737122816216</v>
      </c>
      <c r="W32" s="12"/>
    </row>
    <row r="33" spans="1:23" x14ac:dyDescent="0.25">
      <c r="A33" s="2">
        <v>13</v>
      </c>
      <c r="B33" s="11">
        <f>A33/100*'Inputs-Imperial'!$E$5</f>
        <v>3.1305775279999999</v>
      </c>
      <c r="C33" s="8">
        <f>'Inputs-Imperial'!$E$10+('Inputs-Imperial'!$E$9-'Inputs-Imperial'!$E$10)*(100-A33)/100</f>
        <v>4.8539207590000011</v>
      </c>
      <c r="D33" s="8">
        <f t="shared" si="13"/>
        <v>0.24081365600000026</v>
      </c>
      <c r="E33" s="8">
        <f t="shared" si="14"/>
        <v>1.1710334717004336</v>
      </c>
      <c r="F33" s="11">
        <f t="shared" si="0"/>
        <v>112.5429449100001</v>
      </c>
      <c r="G33" s="8">
        <f t="shared" si="1"/>
        <v>5.2963864355966299</v>
      </c>
      <c r="H33" s="8">
        <f t="shared" si="3"/>
        <v>5.0751535972983159</v>
      </c>
      <c r="I33" s="8">
        <f t="shared" si="15"/>
        <v>1.2236429964065154</v>
      </c>
      <c r="J33" s="11">
        <f t="shared" si="2"/>
        <v>117.59901801450354</v>
      </c>
      <c r="K33" s="550">
        <v>0</v>
      </c>
      <c r="L33" s="11">
        <f t="shared" si="4"/>
        <v>117.59901801450354</v>
      </c>
      <c r="M33" s="150">
        <f t="shared" si="5"/>
        <v>8158.881512068554</v>
      </c>
      <c r="N33" s="149">
        <f t="shared" si="6"/>
        <v>76925.92613342531</v>
      </c>
      <c r="O33" s="11">
        <f t="shared" si="7"/>
        <v>11.759901801450354</v>
      </c>
      <c r="P33" s="345">
        <f t="shared" si="8"/>
        <v>815.88815120685547</v>
      </c>
      <c r="Q33" s="416">
        <f t="shared" si="9"/>
        <v>7692.5926133425364</v>
      </c>
      <c r="R33" s="8">
        <f t="shared" si="10"/>
        <v>-0.55000000000000004</v>
      </c>
      <c r="S33" s="552">
        <v>0</v>
      </c>
      <c r="T33" s="8">
        <f t="shared" si="11"/>
        <v>-0.55000000000000004</v>
      </c>
      <c r="U33" s="11">
        <f t="shared" si="16"/>
        <v>-328.25819362328139</v>
      </c>
      <c r="V33" s="345">
        <f t="shared" si="12"/>
        <v>-18836.478929192934</v>
      </c>
      <c r="W33" s="12"/>
    </row>
    <row r="34" spans="1:23" x14ac:dyDescent="0.25">
      <c r="A34" s="2">
        <v>14</v>
      </c>
      <c r="B34" s="11">
        <f>A34/100*'Inputs-Imperial'!$E$5</f>
        <v>3.3713911840000002</v>
      </c>
      <c r="C34" s="8">
        <f>'Inputs-Imperial'!$E$10+('Inputs-Imperial'!$E$9-'Inputs-Imperial'!$E$10)*(100-A34)/100</f>
        <v>4.8361222020000003</v>
      </c>
      <c r="D34" s="8">
        <f t="shared" si="13"/>
        <v>0.24081365600000026</v>
      </c>
      <c r="E34" s="8">
        <f t="shared" si="14"/>
        <v>1.1667473361177392</v>
      </c>
      <c r="F34" s="11">
        <f t="shared" si="0"/>
        <v>112.13102302013344</v>
      </c>
      <c r="G34" s="8">
        <f t="shared" si="1"/>
        <v>5.2891083990383629</v>
      </c>
      <c r="H34" s="8">
        <f t="shared" si="3"/>
        <v>5.0626153005191821</v>
      </c>
      <c r="I34" s="8">
        <f t="shared" si="15"/>
        <v>1.2206565959832625</v>
      </c>
      <c r="J34" s="11">
        <f t="shared" si="2"/>
        <v>117.31200803021564</v>
      </c>
      <c r="K34" s="550">
        <v>0</v>
      </c>
      <c r="L34" s="11">
        <f t="shared" si="4"/>
        <v>117.31200803021564</v>
      </c>
      <c r="M34" s="150">
        <f t="shared" si="5"/>
        <v>8041.569504038338</v>
      </c>
      <c r="N34" s="149">
        <f t="shared" si="6"/>
        <v>74961.156047633267</v>
      </c>
      <c r="O34" s="11">
        <f t="shared" si="7"/>
        <v>11.731200803021563</v>
      </c>
      <c r="P34" s="345">
        <f t="shared" si="8"/>
        <v>804.15695040383389</v>
      </c>
      <c r="Q34" s="416">
        <f t="shared" si="9"/>
        <v>7496.1156047633322</v>
      </c>
      <c r="R34" s="8">
        <f t="shared" si="10"/>
        <v>-0.55000000000000004</v>
      </c>
      <c r="S34" s="552">
        <v>0</v>
      </c>
      <c r="T34" s="8">
        <f t="shared" si="11"/>
        <v>-0.55000000000000004</v>
      </c>
      <c r="U34" s="11">
        <f t="shared" si="16"/>
        <v>-326.64806173361939</v>
      </c>
      <c r="V34" s="345">
        <f t="shared" si="12"/>
        <v>-18509.830867459314</v>
      </c>
      <c r="W34" s="12"/>
    </row>
    <row r="35" spans="1:23" x14ac:dyDescent="0.25">
      <c r="A35" s="2">
        <v>15</v>
      </c>
      <c r="B35" s="11">
        <f>A35/100*'Inputs-Imperial'!$E$5</f>
        <v>3.6122048399999995</v>
      </c>
      <c r="C35" s="8">
        <f>'Inputs-Imperial'!$E$10+('Inputs-Imperial'!$E$9-'Inputs-Imperial'!$E$10)*(100-A35)/100</f>
        <v>4.8183236450000004</v>
      </c>
      <c r="D35" s="8">
        <f t="shared" si="13"/>
        <v>0.24081365599999938</v>
      </c>
      <c r="E35" s="8">
        <f t="shared" si="14"/>
        <v>1.1624612005350405</v>
      </c>
      <c r="F35" s="11">
        <f t="shared" si="0"/>
        <v>111.71910113026637</v>
      </c>
      <c r="G35" s="8">
        <f t="shared" si="1"/>
        <v>5.2812800770113153</v>
      </c>
      <c r="H35" s="8">
        <f t="shared" si="3"/>
        <v>5.0498018610056583</v>
      </c>
      <c r="I35" s="8">
        <f t="shared" si="15"/>
        <v>1.2176040738319664</v>
      </c>
      <c r="J35" s="11">
        <f t="shared" si="2"/>
        <v>117.01864337360081</v>
      </c>
      <c r="K35" s="550">
        <v>0</v>
      </c>
      <c r="L35" s="11">
        <f t="shared" si="4"/>
        <v>117.01864337360081</v>
      </c>
      <c r="M35" s="150">
        <f t="shared" si="5"/>
        <v>7924.5508606647372</v>
      </c>
      <c r="N35" s="149">
        <f t="shared" si="6"/>
        <v>73024.636295387696</v>
      </c>
      <c r="O35" s="11">
        <f t="shared" si="7"/>
        <v>11.701864337360082</v>
      </c>
      <c r="P35" s="345">
        <f t="shared" si="8"/>
        <v>792.45508606647377</v>
      </c>
      <c r="Q35" s="416">
        <f t="shared" si="9"/>
        <v>7302.4636295387745</v>
      </c>
      <c r="R35" s="8">
        <f t="shared" si="10"/>
        <v>-0.55000000000000004</v>
      </c>
      <c r="S35" s="552">
        <v>0</v>
      </c>
      <c r="T35" s="8">
        <f t="shared" si="11"/>
        <v>-0.55000000000000004</v>
      </c>
      <c r="U35" s="11">
        <f t="shared" si="16"/>
        <v>-325.00652969420179</v>
      </c>
      <c r="V35" s="345">
        <f t="shared" si="12"/>
        <v>-18184.824337765112</v>
      </c>
      <c r="W35" s="12"/>
    </row>
    <row r="36" spans="1:23" x14ac:dyDescent="0.25">
      <c r="A36" s="2">
        <v>16</v>
      </c>
      <c r="B36" s="11">
        <f>A36/100*'Inputs-Imperial'!$E$5</f>
        <v>3.8530184959999998</v>
      </c>
      <c r="C36" s="8">
        <f>'Inputs-Imperial'!$E$10+('Inputs-Imperial'!$E$9-'Inputs-Imperial'!$E$10)*(100-A36)/100</f>
        <v>4.8005250880000006</v>
      </c>
      <c r="D36" s="8">
        <f t="shared" si="13"/>
        <v>0.24081365600000026</v>
      </c>
      <c r="E36" s="8">
        <f t="shared" si="14"/>
        <v>1.1581750649523501</v>
      </c>
      <c r="F36" s="11">
        <f t="shared" si="0"/>
        <v>111.30717924040007</v>
      </c>
      <c r="G36" s="8">
        <f t="shared" si="1"/>
        <v>5.272899018599488</v>
      </c>
      <c r="H36" s="8">
        <f t="shared" si="3"/>
        <v>5.0367120532997447</v>
      </c>
      <c r="I36" s="8">
        <f t="shared" si="15"/>
        <v>1.2144851459993786</v>
      </c>
      <c r="J36" s="11">
        <f t="shared" si="2"/>
        <v>116.71889675514464</v>
      </c>
      <c r="K36" s="550">
        <v>0</v>
      </c>
      <c r="L36" s="11">
        <f t="shared" si="4"/>
        <v>116.71889675514464</v>
      </c>
      <c r="M36" s="150">
        <f t="shared" si="5"/>
        <v>7807.8319639095926</v>
      </c>
      <c r="N36" s="149">
        <f t="shared" si="6"/>
        <v>71116.296230473075</v>
      </c>
      <c r="O36" s="11">
        <f t="shared" si="7"/>
        <v>11.671889675514464</v>
      </c>
      <c r="P36" s="345">
        <f t="shared" si="8"/>
        <v>780.78319639095935</v>
      </c>
      <c r="Q36" s="416">
        <f t="shared" si="9"/>
        <v>7111.6296230473117</v>
      </c>
      <c r="R36" s="8">
        <f t="shared" si="10"/>
        <v>-0.55000000000000004</v>
      </c>
      <c r="S36" s="552">
        <v>0</v>
      </c>
      <c r="T36" s="8">
        <f t="shared" si="11"/>
        <v>-0.55000000000000004</v>
      </c>
      <c r="U36" s="11">
        <f t="shared" si="16"/>
        <v>-323.33371077396703</v>
      </c>
      <c r="V36" s="345">
        <f t="shared" si="12"/>
        <v>-17861.490626991144</v>
      </c>
      <c r="W36" s="12"/>
    </row>
    <row r="37" spans="1:23" x14ac:dyDescent="0.25">
      <c r="A37" s="2">
        <v>17</v>
      </c>
      <c r="B37" s="11">
        <f>A37/100*'Inputs-Imperial'!$E$5</f>
        <v>4.0938321520000001</v>
      </c>
      <c r="C37" s="8">
        <f>'Inputs-Imperial'!$E$10+('Inputs-Imperial'!$E$9-'Inputs-Imperial'!$E$10)*(100-A37)/100</f>
        <v>4.7827265309999998</v>
      </c>
      <c r="D37" s="8">
        <f t="shared" si="13"/>
        <v>0.24081365600000026</v>
      </c>
      <c r="E37" s="8">
        <f t="shared" si="14"/>
        <v>1.1538889293696559</v>
      </c>
      <c r="F37" s="11">
        <f t="shared" si="0"/>
        <v>110.89525735053343</v>
      </c>
      <c r="G37" s="8">
        <f t="shared" si="1"/>
        <v>5.2639625836731163</v>
      </c>
      <c r="H37" s="8">
        <f t="shared" si="3"/>
        <v>5.023344557336558</v>
      </c>
      <c r="I37" s="8">
        <f t="shared" si="15"/>
        <v>1.2112995059871494</v>
      </c>
      <c r="J37" s="11">
        <f t="shared" si="2"/>
        <v>116.41273871862089</v>
      </c>
      <c r="K37" s="550">
        <v>0</v>
      </c>
      <c r="L37" s="11">
        <f t="shared" si="4"/>
        <v>116.41273871862089</v>
      </c>
      <c r="M37" s="150">
        <f t="shared" si="5"/>
        <v>7691.4192251909717</v>
      </c>
      <c r="N37" s="149">
        <f t="shared" si="6"/>
        <v>69236.063669810348</v>
      </c>
      <c r="O37" s="11">
        <f t="shared" si="7"/>
        <v>11.641273871862088</v>
      </c>
      <c r="P37" s="345">
        <f t="shared" si="8"/>
        <v>769.14192251909731</v>
      </c>
      <c r="Q37" s="416">
        <f t="shared" si="9"/>
        <v>6923.6063669810383</v>
      </c>
      <c r="R37" s="8">
        <f t="shared" si="10"/>
        <v>-0.55000000000000004</v>
      </c>
      <c r="S37" s="552">
        <v>0</v>
      </c>
      <c r="T37" s="8">
        <f t="shared" si="11"/>
        <v>-0.55000000000000004</v>
      </c>
      <c r="U37" s="11">
        <f>J37*T37*H37</f>
        <v>-321.62971359575488</v>
      </c>
      <c r="V37" s="345">
        <f t="shared" si="12"/>
        <v>-17539.860913395391</v>
      </c>
      <c r="W37" s="12"/>
    </row>
    <row r="38" spans="1:23" x14ac:dyDescent="0.25">
      <c r="A38" s="2">
        <v>18</v>
      </c>
      <c r="B38" s="11">
        <f>A38/100*'Inputs-Imperial'!$E$5</f>
        <v>4.3346458079999994</v>
      </c>
      <c r="C38" s="8">
        <f>'Inputs-Imperial'!$E$10+('Inputs-Imperial'!$E$9-'Inputs-Imperial'!$E$10)*(100-A38)/100</f>
        <v>4.7649279740000008</v>
      </c>
      <c r="D38" s="8">
        <f t="shared" si="13"/>
        <v>0.24081365599999938</v>
      </c>
      <c r="E38" s="8">
        <f t="shared" si="14"/>
        <v>1.1496027937869573</v>
      </c>
      <c r="F38" s="11">
        <f t="shared" si="0"/>
        <v>110.48333546066635</v>
      </c>
      <c r="G38" s="8">
        <f t="shared" si="1"/>
        <v>5.2544679385953028</v>
      </c>
      <c r="H38" s="8">
        <f t="shared" si="3"/>
        <v>5.0096979562976518</v>
      </c>
      <c r="I38" s="8">
        <f t="shared" si="15"/>
        <v>1.2080468242558389</v>
      </c>
      <c r="J38" s="11">
        <f t="shared" si="2"/>
        <v>116.10013759342411</v>
      </c>
      <c r="K38" s="550">
        <v>0</v>
      </c>
      <c r="L38" s="11">
        <f t="shared" si="4"/>
        <v>116.10013759342411</v>
      </c>
      <c r="M38" s="150">
        <f t="shared" si="5"/>
        <v>7575.3190875975479</v>
      </c>
      <c r="N38" s="149">
        <f t="shared" si="6"/>
        <v>67383.86488636343</v>
      </c>
      <c r="O38" s="11">
        <f t="shared" si="7"/>
        <v>11.610013759342412</v>
      </c>
      <c r="P38" s="345">
        <f t="shared" si="8"/>
        <v>757.53190875975486</v>
      </c>
      <c r="Q38" s="416">
        <f t="shared" si="9"/>
        <v>6738.3864886363463</v>
      </c>
      <c r="R38" s="8">
        <f t="shared" si="10"/>
        <v>-0.55000000000000004</v>
      </c>
      <c r="S38" s="552">
        <v>0</v>
      </c>
      <c r="T38" s="8">
        <f t="shared" si="11"/>
        <v>-0.55000000000000004</v>
      </c>
      <c r="U38" s="11">
        <f t="shared" si="16"/>
        <v>-319.89464211520914</v>
      </c>
      <c r="V38" s="345">
        <f t="shared" si="12"/>
        <v>-17219.96627128018</v>
      </c>
      <c r="W38" s="12"/>
    </row>
    <row r="39" spans="1:23" x14ac:dyDescent="0.25">
      <c r="A39" s="2">
        <v>19</v>
      </c>
      <c r="B39" s="11">
        <f>A39/100*'Inputs-Imperial'!$E$5</f>
        <v>4.5754594639999997</v>
      </c>
      <c r="C39" s="8">
        <f>'Inputs-Imperial'!$E$10+('Inputs-Imperial'!$E$9-'Inputs-Imperial'!$E$10)*(100-A39)/100</f>
        <v>4.747129417</v>
      </c>
      <c r="D39" s="8">
        <f t="shared" si="13"/>
        <v>0.24081365600000026</v>
      </c>
      <c r="E39" s="8">
        <f t="shared" si="14"/>
        <v>1.1453166582042671</v>
      </c>
      <c r="F39" s="11">
        <f t="shared" si="0"/>
        <v>110.07141357080009</v>
      </c>
      <c r="G39" s="8">
        <f t="shared" si="1"/>
        <v>5.2444120515643791</v>
      </c>
      <c r="H39" s="8">
        <f t="shared" si="3"/>
        <v>4.9957707342821891</v>
      </c>
      <c r="I39" s="8">
        <f t="shared" si="15"/>
        <v>1.2047267476860335</v>
      </c>
      <c r="J39" s="11">
        <f t="shared" si="2"/>
        <v>115.78105944277993</v>
      </c>
      <c r="K39" s="550">
        <v>0</v>
      </c>
      <c r="L39" s="11">
        <f t="shared" si="4"/>
        <v>115.78105944277993</v>
      </c>
      <c r="M39" s="150">
        <f t="shared" si="5"/>
        <v>7459.5380281547677</v>
      </c>
      <c r="N39" s="149">
        <f t="shared" si="6"/>
        <v>65559.624601512478</v>
      </c>
      <c r="O39" s="11">
        <f t="shared" si="7"/>
        <v>11.578105944277993</v>
      </c>
      <c r="P39" s="345">
        <f t="shared" si="8"/>
        <v>745.95380281547682</v>
      </c>
      <c r="Q39" s="416">
        <f t="shared" si="9"/>
        <v>6555.9624601512514</v>
      </c>
      <c r="R39" s="8">
        <f t="shared" si="10"/>
        <v>-0.55000000000000004</v>
      </c>
      <c r="S39" s="552">
        <v>0</v>
      </c>
      <c r="T39" s="8">
        <f t="shared" si="11"/>
        <v>-0.55000000000000004</v>
      </c>
      <c r="U39" s="11">
        <f t="shared" si="16"/>
        <v>-318.12859559163462</v>
      </c>
      <c r="V39" s="345">
        <f t="shared" si="12"/>
        <v>-16901.837675688545</v>
      </c>
      <c r="W39" s="12"/>
    </row>
    <row r="40" spans="1:23" x14ac:dyDescent="0.25">
      <c r="A40" s="2">
        <v>20</v>
      </c>
      <c r="B40" s="11">
        <f>A40/100*'Inputs-Imperial'!$E$5</f>
        <v>4.81627312</v>
      </c>
      <c r="C40" s="8">
        <f>'Inputs-Imperial'!$E$10+('Inputs-Imperial'!$E$9-'Inputs-Imperial'!$E$10)*(100-A40)/100</f>
        <v>4.729330860000001</v>
      </c>
      <c r="D40" s="8">
        <f t="shared" si="13"/>
        <v>0.24081365600000026</v>
      </c>
      <c r="E40" s="8">
        <f t="shared" si="14"/>
        <v>1.1410305226215727</v>
      </c>
      <c r="F40" s="11">
        <f t="shared" si="0"/>
        <v>109.65949168093343</v>
      </c>
      <c r="G40" s="8">
        <f t="shared" si="1"/>
        <v>5.2337916875735262</v>
      </c>
      <c r="H40" s="8">
        <f t="shared" si="3"/>
        <v>4.9815612737867632</v>
      </c>
      <c r="I40" s="8">
        <f t="shared" si="15"/>
        <v>1.2013388989944542</v>
      </c>
      <c r="J40" s="11">
        <f t="shared" si="2"/>
        <v>115.45546800762978</v>
      </c>
      <c r="K40" s="550">
        <v>0</v>
      </c>
      <c r="L40" s="11">
        <f t="shared" si="4"/>
        <v>115.45546800762978</v>
      </c>
      <c r="M40" s="150">
        <f t="shared" si="5"/>
        <v>7344.0825601471379</v>
      </c>
      <c r="N40" s="149">
        <f t="shared" si="6"/>
        <v>63763.265976881499</v>
      </c>
      <c r="O40" s="11">
        <f t="shared" si="7"/>
        <v>11.545546800762978</v>
      </c>
      <c r="P40" s="345">
        <f t="shared" si="8"/>
        <v>734.40825601471386</v>
      </c>
      <c r="Q40" s="416">
        <f t="shared" si="9"/>
        <v>6376.326597688153</v>
      </c>
      <c r="R40" s="8">
        <f t="shared" si="10"/>
        <v>-0.55000000000000004</v>
      </c>
      <c r="S40" s="552">
        <v>0</v>
      </c>
      <c r="T40" s="8">
        <f t="shared" si="11"/>
        <v>-0.55000000000000004</v>
      </c>
      <c r="U40" s="11">
        <f t="shared" si="16"/>
        <v>-316.3316685505543</v>
      </c>
      <c r="V40" s="345">
        <f t="shared" si="12"/>
        <v>-16585.506007137988</v>
      </c>
      <c r="W40" s="12"/>
    </row>
    <row r="41" spans="1:23" x14ac:dyDescent="0.25">
      <c r="A41" s="2">
        <v>21</v>
      </c>
      <c r="B41" s="11">
        <f>A41/100*'Inputs-Imperial'!$E$5</f>
        <v>5.0570867759999993</v>
      </c>
      <c r="C41" s="8">
        <f>'Inputs-Imperial'!$E$10+('Inputs-Imperial'!$E$9-'Inputs-Imperial'!$E$10)*(100-A41)/100</f>
        <v>4.7115323030000003</v>
      </c>
      <c r="D41" s="8">
        <f t="shared" si="13"/>
        <v>0.24081365599999938</v>
      </c>
      <c r="E41" s="8">
        <f t="shared" si="14"/>
        <v>1.1367443870388743</v>
      </c>
      <c r="F41" s="11">
        <f t="shared" si="0"/>
        <v>109.24756979106637</v>
      </c>
      <c r="G41" s="8">
        <f t="shared" si="1"/>
        <v>5.2226034029673443</v>
      </c>
      <c r="H41" s="8">
        <f t="shared" si="3"/>
        <v>4.9670678529836723</v>
      </c>
      <c r="I41" s="8">
        <f t="shared" si="15"/>
        <v>1.1978828761028348</v>
      </c>
      <c r="J41" s="11">
        <f t="shared" si="2"/>
        <v>115.12332464597638</v>
      </c>
      <c r="K41" s="550">
        <v>0</v>
      </c>
      <c r="L41" s="11">
        <f t="shared" si="4"/>
        <v>115.12332464597638</v>
      </c>
      <c r="M41" s="150">
        <f t="shared" si="5"/>
        <v>7228.9592355011619</v>
      </c>
      <c r="N41" s="149">
        <f t="shared" si="6"/>
        <v>61994.710605606633</v>
      </c>
      <c r="O41" s="11">
        <f t="shared" si="7"/>
        <v>11.512332464597637</v>
      </c>
      <c r="P41" s="345">
        <f t="shared" si="8"/>
        <v>722.89592355011621</v>
      </c>
      <c r="Q41" s="416">
        <f t="shared" si="9"/>
        <v>6199.471060560666</v>
      </c>
      <c r="R41" s="8">
        <f t="shared" si="10"/>
        <v>-0.55000000000000004</v>
      </c>
      <c r="S41" s="552">
        <v>0</v>
      </c>
      <c r="T41" s="8">
        <f t="shared" si="11"/>
        <v>-0.55000000000000004</v>
      </c>
      <c r="U41" s="11">
        <f t="shared" si="16"/>
        <v>-314.50395073769772</v>
      </c>
      <c r="V41" s="345">
        <f t="shared" si="12"/>
        <v>-16271.002056400292</v>
      </c>
      <c r="W41" s="12"/>
    </row>
    <row r="42" spans="1:23" x14ac:dyDescent="0.25">
      <c r="A42" s="2">
        <v>22</v>
      </c>
      <c r="B42" s="11">
        <f>A42/100*'Inputs-Imperial'!$E$5</f>
        <v>5.2979004319999996</v>
      </c>
      <c r="C42" s="8">
        <f>'Inputs-Imperial'!$E$10+('Inputs-Imperial'!$E$9-'Inputs-Imperial'!$E$10)*(100-A42)/100</f>
        <v>4.6937337460000004</v>
      </c>
      <c r="D42" s="8">
        <f t="shared" si="13"/>
        <v>0.24081365600000026</v>
      </c>
      <c r="E42" s="8">
        <f t="shared" si="14"/>
        <v>1.1324582514561841</v>
      </c>
      <c r="F42" s="11">
        <f t="shared" si="0"/>
        <v>108.8356479012001</v>
      </c>
      <c r="G42" s="8">
        <f t="shared" si="1"/>
        <v>5.2108435395731023</v>
      </c>
      <c r="H42" s="8">
        <f t="shared" si="3"/>
        <v>4.9522886427865513</v>
      </c>
      <c r="I42" s="8">
        <f t="shared" si="15"/>
        <v>1.1943582514568893</v>
      </c>
      <c r="J42" s="11">
        <f t="shared" si="2"/>
        <v>114.78458826743285</v>
      </c>
      <c r="K42" s="550">
        <v>0</v>
      </c>
      <c r="L42" s="11">
        <f t="shared" si="4"/>
        <v>114.78458826743285</v>
      </c>
      <c r="M42" s="150">
        <f t="shared" si="5"/>
        <v>7114.174647233729</v>
      </c>
      <c r="N42" s="149">
        <f t="shared" si="6"/>
        <v>60253.878503030632</v>
      </c>
      <c r="O42" s="11">
        <f t="shared" si="7"/>
        <v>11.478458826743285</v>
      </c>
      <c r="P42" s="345">
        <f t="shared" si="8"/>
        <v>711.41746472337297</v>
      </c>
      <c r="Q42" s="416">
        <f t="shared" si="9"/>
        <v>6025.3878503030655</v>
      </c>
      <c r="R42" s="8">
        <f t="shared" si="10"/>
        <v>-0.55000000000000004</v>
      </c>
      <c r="S42" s="552">
        <v>0</v>
      </c>
      <c r="T42" s="8">
        <f t="shared" si="11"/>
        <v>-0.55000000000000004</v>
      </c>
      <c r="U42" s="11">
        <f t="shared" si="16"/>
        <v>-312.64552706405601</v>
      </c>
      <c r="V42" s="345">
        <f t="shared" si="12"/>
        <v>-15958.356529336235</v>
      </c>
      <c r="W42" s="12"/>
    </row>
    <row r="43" spans="1:23" x14ac:dyDescent="0.25">
      <c r="A43" s="2">
        <v>23</v>
      </c>
      <c r="B43" s="11">
        <f>A43/100*'Inputs-Imperial'!$E$5</f>
        <v>5.5387140879999999</v>
      </c>
      <c r="C43" s="8">
        <f>'Inputs-Imperial'!$E$10+('Inputs-Imperial'!$E$9-'Inputs-Imperial'!$E$10)*(100-A43)/100</f>
        <v>4.6759351890000005</v>
      </c>
      <c r="D43" s="8">
        <f t="shared" si="13"/>
        <v>0.24081365600000026</v>
      </c>
      <c r="E43" s="8">
        <f t="shared" si="14"/>
        <v>1.1281721158734894</v>
      </c>
      <c r="F43" s="11">
        <f t="shared" si="0"/>
        <v>108.42372601133341</v>
      </c>
      <c r="G43" s="8">
        <f t="shared" si="1"/>
        <v>5.1985082183822415</v>
      </c>
      <c r="H43" s="8">
        <f t="shared" si="3"/>
        <v>4.9372217036911206</v>
      </c>
      <c r="I43" s="8">
        <f t="shared" si="15"/>
        <v>1.1907645712925587</v>
      </c>
      <c r="J43" s="11">
        <f t="shared" si="2"/>
        <v>114.43921526270469</v>
      </c>
      <c r="K43" s="550">
        <v>0</v>
      </c>
      <c r="L43" s="11">
        <f t="shared" si="4"/>
        <v>114.43921526270469</v>
      </c>
      <c r="M43" s="150">
        <f t="shared" si="5"/>
        <v>6999.7354319710239</v>
      </c>
      <c r="N43" s="149">
        <f t="shared" si="6"/>
        <v>58540.688096807768</v>
      </c>
      <c r="O43" s="11">
        <f t="shared" si="7"/>
        <v>11.443921526270469</v>
      </c>
      <c r="P43" s="345">
        <f t="shared" si="8"/>
        <v>699.97354319710246</v>
      </c>
      <c r="Q43" s="416">
        <f t="shared" si="9"/>
        <v>5854.0688096807789</v>
      </c>
      <c r="R43" s="8">
        <f t="shared" si="10"/>
        <v>-0.55000000000000004</v>
      </c>
      <c r="S43" s="552">
        <v>0</v>
      </c>
      <c r="T43" s="8">
        <f t="shared" si="11"/>
        <v>-0.55000000000000004</v>
      </c>
      <c r="U43" s="11">
        <f t="shared" si="16"/>
        <v>-310.75647754162321</v>
      </c>
      <c r="V43" s="345">
        <f t="shared" si="12"/>
        <v>-15647.600051794612</v>
      </c>
      <c r="W43" s="12"/>
    </row>
    <row r="44" spans="1:23" x14ac:dyDescent="0.25">
      <c r="A44" s="2">
        <v>24</v>
      </c>
      <c r="B44" s="11">
        <f>A44/100*'Inputs-Imperial'!$E$5</f>
        <v>5.7795277439999992</v>
      </c>
      <c r="C44" s="8">
        <f>'Inputs-Imperial'!$E$10+('Inputs-Imperial'!$E$9-'Inputs-Imperial'!$E$10)*(100-A44)/100</f>
        <v>4.6581366320000006</v>
      </c>
      <c r="D44" s="8">
        <f t="shared" si="13"/>
        <v>0.24081365599999938</v>
      </c>
      <c r="E44" s="8">
        <f t="shared" si="14"/>
        <v>1.123885980290791</v>
      </c>
      <c r="F44" s="11">
        <f t="shared" si="0"/>
        <v>108.01180412146635</v>
      </c>
      <c r="G44" s="8">
        <f t="shared" si="1"/>
        <v>5.1855933327553743</v>
      </c>
      <c r="H44" s="8">
        <f t="shared" si="3"/>
        <v>4.9218649823776879</v>
      </c>
      <c r="I44" s="8">
        <f t="shared" si="15"/>
        <v>1.1871013548465739</v>
      </c>
      <c r="J44" s="11">
        <f t="shared" si="2"/>
        <v>114.08715942772055</v>
      </c>
      <c r="K44" s="550">
        <v>0</v>
      </c>
      <c r="L44" s="11">
        <f t="shared" si="4"/>
        <v>114.08715942772055</v>
      </c>
      <c r="M44" s="150">
        <f t="shared" si="5"/>
        <v>6885.6482725433034</v>
      </c>
      <c r="N44" s="149">
        <f t="shared" si="6"/>
        <v>56855.056216402088</v>
      </c>
      <c r="O44" s="11">
        <f t="shared" si="7"/>
        <v>11.408715942772055</v>
      </c>
      <c r="P44" s="345">
        <f t="shared" si="8"/>
        <v>688.56482725433045</v>
      </c>
      <c r="Q44" s="416">
        <f t="shared" si="9"/>
        <v>5685.5056216402108</v>
      </c>
      <c r="R44" s="8">
        <f t="shared" si="10"/>
        <v>-0.55000000000000004</v>
      </c>
      <c r="S44" s="552">
        <v>0</v>
      </c>
      <c r="T44" s="8">
        <f t="shared" si="11"/>
        <v>-0.55000000000000004</v>
      </c>
      <c r="U44" s="11">
        <f t="shared" si="16"/>
        <v>-308.83687720943107</v>
      </c>
      <c r="V44" s="345">
        <f t="shared" si="12"/>
        <v>-15338.763174585181</v>
      </c>
      <c r="W44" s="12"/>
    </row>
    <row r="45" spans="1:23" x14ac:dyDescent="0.25">
      <c r="A45" s="2">
        <v>25</v>
      </c>
      <c r="B45" s="11">
        <f>A45/100*'Inputs-Imperial'!$E$5</f>
        <v>6.0203413999999995</v>
      </c>
      <c r="C45" s="8">
        <f>'Inputs-Imperial'!$E$10+('Inputs-Imperial'!$E$9-'Inputs-Imperial'!$E$10)*(100-A45)/100</f>
        <v>4.6403380750000007</v>
      </c>
      <c r="D45" s="8">
        <f t="shared" si="13"/>
        <v>0.24081365600000026</v>
      </c>
      <c r="E45" s="8">
        <f t="shared" si="14"/>
        <v>1.1195998447081006</v>
      </c>
      <c r="F45" s="11">
        <f t="shared" si="0"/>
        <v>107.59988223160008</v>
      </c>
      <c r="G45" s="8">
        <f t="shared" si="1"/>
        <v>5.172094541121476</v>
      </c>
      <c r="H45" s="8">
        <f t="shared" si="3"/>
        <v>4.9062163080607384</v>
      </c>
      <c r="I45" s="8">
        <f t="shared" si="15"/>
        <v>1.183368093507839</v>
      </c>
      <c r="J45" s="11">
        <f t="shared" si="2"/>
        <v>113.72837188207527</v>
      </c>
      <c r="K45" s="550">
        <v>0</v>
      </c>
      <c r="L45" s="11">
        <f t="shared" si="4"/>
        <v>113.72837188207527</v>
      </c>
      <c r="M45" s="150">
        <f t="shared" si="5"/>
        <v>6771.919900661228</v>
      </c>
      <c r="N45" s="149">
        <f t="shared" si="6"/>
        <v>55196.898081960848</v>
      </c>
      <c r="O45" s="11">
        <f t="shared" si="7"/>
        <v>11.372837188207527</v>
      </c>
      <c r="P45" s="345">
        <f t="shared" si="8"/>
        <v>677.19199006612291</v>
      </c>
      <c r="Q45" s="416">
        <f t="shared" si="9"/>
        <v>5519.6898081960871</v>
      </c>
      <c r="R45" s="8">
        <f t="shared" si="10"/>
        <v>-0.55000000000000004</v>
      </c>
      <c r="S45" s="552">
        <v>0</v>
      </c>
      <c r="T45" s="8">
        <f t="shared" si="11"/>
        <v>-0.55000000000000004</v>
      </c>
      <c r="U45" s="11">
        <f t="shared" si="16"/>
        <v>-306.88679604936874</v>
      </c>
      <c r="V45" s="345">
        <f t="shared" si="12"/>
        <v>-15031.876378535813</v>
      </c>
      <c r="W45" s="12"/>
    </row>
    <row r="46" spans="1:23" x14ac:dyDescent="0.25">
      <c r="A46" s="2">
        <v>26</v>
      </c>
      <c r="B46" s="11">
        <f>A46/100*'Inputs-Imperial'!$E$5</f>
        <v>6.2611550559999998</v>
      </c>
      <c r="C46" s="8">
        <f>'Inputs-Imperial'!$E$10+('Inputs-Imperial'!$E$9-'Inputs-Imperial'!$E$10)*(100-A46)/100</f>
        <v>4.622539518</v>
      </c>
      <c r="D46" s="8">
        <f t="shared" si="13"/>
        <v>0.24081365600000026</v>
      </c>
      <c r="E46" s="8">
        <f t="shared" si="14"/>
        <v>1.1153137091254064</v>
      </c>
      <c r="F46" s="11">
        <f t="shared" si="0"/>
        <v>107.18796034173343</v>
      </c>
      <c r="G46" s="8">
        <f t="shared" si="1"/>
        <v>5.1580072591391799</v>
      </c>
      <c r="H46" s="8">
        <f t="shared" si="3"/>
        <v>4.8902733885695895</v>
      </c>
      <c r="I46" s="8">
        <f t="shared" si="15"/>
        <v>1.1795642499059413</v>
      </c>
      <c r="J46" s="11">
        <f t="shared" si="2"/>
        <v>113.36280098143057</v>
      </c>
      <c r="K46" s="550">
        <v>0</v>
      </c>
      <c r="L46" s="11">
        <f t="shared" si="4"/>
        <v>113.36280098143057</v>
      </c>
      <c r="M46" s="150">
        <f t="shared" si="5"/>
        <v>6658.5570996797978</v>
      </c>
      <c r="N46" s="149">
        <f t="shared" si="6"/>
        <v>53566.12729254346</v>
      </c>
      <c r="O46" s="11">
        <f t="shared" si="7"/>
        <v>11.336280098143057</v>
      </c>
      <c r="P46" s="345">
        <f t="shared" si="8"/>
        <v>665.85570996797981</v>
      </c>
      <c r="Q46" s="416">
        <f t="shared" si="9"/>
        <v>5356.6127292543479</v>
      </c>
      <c r="R46" s="8">
        <f t="shared" si="10"/>
        <v>-0.55000000000000004</v>
      </c>
      <c r="S46" s="552">
        <v>0</v>
      </c>
      <c r="T46" s="8">
        <f t="shared" si="11"/>
        <v>-0.55000000000000004</v>
      </c>
      <c r="U46" s="11">
        <f t="shared" si="16"/>
        <v>-304.90629889126023</v>
      </c>
      <c r="V46" s="345">
        <f t="shared" si="12"/>
        <v>-14726.970079644552</v>
      </c>
      <c r="W46" s="12"/>
    </row>
    <row r="47" spans="1:23" x14ac:dyDescent="0.25">
      <c r="A47" s="2">
        <v>27</v>
      </c>
      <c r="B47" s="11">
        <f>A47/100*'Inputs-Imperial'!$E$5</f>
        <v>6.501968712</v>
      </c>
      <c r="C47" s="8">
        <f>'Inputs-Imperial'!$E$10+('Inputs-Imperial'!$E$9-'Inputs-Imperial'!$E$10)*(100-A47)/100</f>
        <v>4.604740961000001</v>
      </c>
      <c r="D47" s="8">
        <f t="shared" si="13"/>
        <v>0.24081365600000026</v>
      </c>
      <c r="E47" s="8">
        <f t="shared" si="14"/>
        <v>1.111027573542712</v>
      </c>
      <c r="F47" s="11">
        <f t="shared" si="0"/>
        <v>106.77603845186675</v>
      </c>
      <c r="G47" s="8">
        <f t="shared" si="1"/>
        <v>5.14332665128501</v>
      </c>
      <c r="H47" s="8">
        <f t="shared" si="3"/>
        <v>4.8740338061425055</v>
      </c>
      <c r="I47" s="8">
        <f t="shared" si="15"/>
        <v>1.1756892569328632</v>
      </c>
      <c r="J47" s="11">
        <f t="shared" si="2"/>
        <v>112.99039222349599</v>
      </c>
      <c r="K47" s="550">
        <v>0</v>
      </c>
      <c r="L47" s="11">
        <f t="shared" si="4"/>
        <v>112.99039222349599</v>
      </c>
      <c r="M47" s="150">
        <f t="shared" si="5"/>
        <v>6545.5667074563016</v>
      </c>
      <c r="N47" s="149">
        <f t="shared" si="6"/>
        <v>51962.655813684811</v>
      </c>
      <c r="O47" s="11">
        <f t="shared" si="7"/>
        <v>11.299039222349599</v>
      </c>
      <c r="P47" s="345">
        <f t="shared" si="8"/>
        <v>654.55667074563019</v>
      </c>
      <c r="Q47" s="416">
        <f t="shared" si="9"/>
        <v>5196.2655813684833</v>
      </c>
      <c r="R47" s="8">
        <f t="shared" si="10"/>
        <v>-0.55000000000000004</v>
      </c>
      <c r="S47" s="552">
        <v>0</v>
      </c>
      <c r="T47" s="8">
        <f t="shared" si="11"/>
        <v>-0.55000000000000004</v>
      </c>
      <c r="U47" s="11">
        <f t="shared" si="16"/>
        <v>-302.89544530664142</v>
      </c>
      <c r="V47" s="345">
        <f t="shared" si="12"/>
        <v>-14424.074634337911</v>
      </c>
      <c r="W47" s="12"/>
    </row>
    <row r="48" spans="1:23" x14ac:dyDescent="0.25">
      <c r="A48" s="2">
        <v>28</v>
      </c>
      <c r="B48" s="11">
        <f>A48/100*'Inputs-Imperial'!$E$5</f>
        <v>6.7427823680000003</v>
      </c>
      <c r="C48" s="8">
        <f>'Inputs-Imperial'!$E$10+('Inputs-Imperial'!$E$9-'Inputs-Imperial'!$E$10)*(100-A48)/100</f>
        <v>4.5869424040000002</v>
      </c>
      <c r="D48" s="8">
        <f t="shared" si="13"/>
        <v>0.24081365600000026</v>
      </c>
      <c r="E48" s="8">
        <f t="shared" si="14"/>
        <v>1.1067414379600176</v>
      </c>
      <c r="F48" s="11">
        <f t="shared" si="0"/>
        <v>106.36411656200009</v>
      </c>
      <c r="G48" s="8">
        <f t="shared" si="1"/>
        <v>5.1280476218300848</v>
      </c>
      <c r="H48" s="8">
        <f t="shared" si="3"/>
        <v>4.8574950129150425</v>
      </c>
      <c r="I48" s="8">
        <f t="shared" si="15"/>
        <v>1.1717425166933066</v>
      </c>
      <c r="J48" s="11">
        <f t="shared" si="2"/>
        <v>112.6110881471492</v>
      </c>
      <c r="K48" s="550">
        <v>0</v>
      </c>
      <c r="L48" s="11">
        <f t="shared" si="4"/>
        <v>112.6110881471492</v>
      </c>
      <c r="M48" s="150">
        <f t="shared" si="5"/>
        <v>6432.9556193091521</v>
      </c>
      <c r="N48" s="149">
        <f t="shared" si="6"/>
        <v>50386.393964270377</v>
      </c>
      <c r="O48" s="11">
        <f t="shared" si="7"/>
        <v>11.26110881471492</v>
      </c>
      <c r="P48" s="345">
        <f t="shared" si="8"/>
        <v>643.29556193091526</v>
      </c>
      <c r="Q48" s="416">
        <f t="shared" si="9"/>
        <v>5038.6393964270401</v>
      </c>
      <c r="R48" s="8">
        <f t="shared" si="10"/>
        <v>-0.55000000000000004</v>
      </c>
      <c r="S48" s="552">
        <v>0</v>
      </c>
      <c r="T48" s="8">
        <f t="shared" si="11"/>
        <v>-0.55000000000000004</v>
      </c>
      <c r="U48" s="11">
        <f t="shared" si="16"/>
        <v>-300.85428949054244</v>
      </c>
      <c r="V48" s="345">
        <f t="shared" si="12"/>
        <v>-14123.220344847368</v>
      </c>
      <c r="W48" s="12"/>
    </row>
    <row r="49" spans="1:23" x14ac:dyDescent="0.25">
      <c r="A49" s="2">
        <v>29</v>
      </c>
      <c r="B49" s="11">
        <f>A49/100*'Inputs-Imperial'!$E$5</f>
        <v>6.9835960239999988</v>
      </c>
      <c r="C49" s="8">
        <f>'Inputs-Imperial'!$E$10+('Inputs-Imperial'!$E$9-'Inputs-Imperial'!$E$10)*(100-A49)/100</f>
        <v>4.5691438470000003</v>
      </c>
      <c r="D49" s="8">
        <f t="shared" si="13"/>
        <v>0.24081365599999849</v>
      </c>
      <c r="E49" s="8">
        <f t="shared" si="14"/>
        <v>1.1024553023773151</v>
      </c>
      <c r="F49" s="11">
        <f t="shared" si="0"/>
        <v>105.95219467213265</v>
      </c>
      <c r="G49" s="8">
        <f t="shared" si="1"/>
        <v>5.1121648051630748</v>
      </c>
      <c r="H49" s="8">
        <f t="shared" si="3"/>
        <v>4.8406543260815376</v>
      </c>
      <c r="I49" s="8">
        <f t="shared" si="15"/>
        <v>1.1677233993788674</v>
      </c>
      <c r="J49" s="11">
        <f t="shared" si="2"/>
        <v>112.22482822423774</v>
      </c>
      <c r="K49" s="550">
        <v>0</v>
      </c>
      <c r="L49" s="11">
        <f t="shared" si="4"/>
        <v>112.22482822423774</v>
      </c>
      <c r="M49" s="150">
        <f t="shared" si="5"/>
        <v>6320.730791084914</v>
      </c>
      <c r="N49" s="149">
        <f t="shared" si="6"/>
        <v>48837.250402698803</v>
      </c>
      <c r="O49" s="11">
        <f t="shared" si="7"/>
        <v>11.222482822423775</v>
      </c>
      <c r="P49" s="345">
        <f t="shared" si="8"/>
        <v>632.07307910849147</v>
      </c>
      <c r="Q49" s="416">
        <f t="shared" si="9"/>
        <v>4883.7250402698828</v>
      </c>
      <c r="R49" s="8">
        <f t="shared" si="10"/>
        <v>-0.55000000000000004</v>
      </c>
      <c r="S49" s="552">
        <v>0</v>
      </c>
      <c r="T49" s="8">
        <f t="shared" si="11"/>
        <v>-0.55000000000000004</v>
      </c>
      <c r="U49" s="11">
        <f t="shared" si="16"/>
        <v>-298.78288013057767</v>
      </c>
      <c r="V49" s="345">
        <f t="shared" si="12"/>
        <v>-13824.437464716792</v>
      </c>
      <c r="W49" s="12"/>
    </row>
    <row r="50" spans="1:23" x14ac:dyDescent="0.25">
      <c r="A50" s="2">
        <v>30</v>
      </c>
      <c r="B50" s="11">
        <f>A50/100*'Inputs-Imperial'!$E$5</f>
        <v>7.2244096799999991</v>
      </c>
      <c r="C50" s="8">
        <f>'Inputs-Imperial'!$E$10+('Inputs-Imperial'!$E$9-'Inputs-Imperial'!$E$10)*(100-A50)/100</f>
        <v>4.5513452900000004</v>
      </c>
      <c r="D50" s="8">
        <f t="shared" si="13"/>
        <v>0.24081365600000026</v>
      </c>
      <c r="E50" s="8">
        <f t="shared" si="14"/>
        <v>1.0981691667946287</v>
      </c>
      <c r="F50" s="11">
        <f t="shared" si="0"/>
        <v>105.54027278226675</v>
      </c>
      <c r="G50" s="8">
        <f t="shared" si="1"/>
        <v>5.0956725554131861</v>
      </c>
      <c r="H50" s="8">
        <f t="shared" si="3"/>
        <v>4.8235089227065933</v>
      </c>
      <c r="I50" s="8">
        <f t="shared" si="15"/>
        <v>1.1636312420607551</v>
      </c>
      <c r="J50" s="11">
        <f t="shared" si="2"/>
        <v>111.8315487435525</v>
      </c>
      <c r="K50" s="550">
        <v>0</v>
      </c>
      <c r="L50" s="11">
        <f t="shared" si="4"/>
        <v>111.8315487435525</v>
      </c>
      <c r="M50" s="150">
        <f t="shared" si="5"/>
        <v>6208.8992423413611</v>
      </c>
      <c r="N50" s="149">
        <f t="shared" si="6"/>
        <v>47315.132112305873</v>
      </c>
      <c r="O50" s="11">
        <f t="shared" si="7"/>
        <v>11.18315487435525</v>
      </c>
      <c r="P50" s="345">
        <f t="shared" si="8"/>
        <v>620.88992423413617</v>
      </c>
      <c r="Q50" s="416">
        <f t="shared" si="9"/>
        <v>4731.5132112305891</v>
      </c>
      <c r="R50" s="8">
        <f t="shared" si="10"/>
        <v>-0.55000000000000004</v>
      </c>
      <c r="S50" s="552">
        <v>0</v>
      </c>
      <c r="T50" s="8">
        <f t="shared" si="11"/>
        <v>-0.55000000000000004</v>
      </c>
      <c r="U50" s="11">
        <f t="shared" si="16"/>
        <v>-296.68126026254254</v>
      </c>
      <c r="V50" s="345">
        <f t="shared" si="12"/>
        <v>-13527.756204454248</v>
      </c>
      <c r="W50" s="12"/>
    </row>
    <row r="51" spans="1:23" x14ac:dyDescent="0.25">
      <c r="A51" s="2">
        <v>31</v>
      </c>
      <c r="B51" s="11">
        <f>A51/100*'Inputs-Imperial'!$E$5</f>
        <v>7.4652233359999993</v>
      </c>
      <c r="C51" s="8">
        <f>'Inputs-Imperial'!$E$10+('Inputs-Imperial'!$E$9-'Inputs-Imperial'!$E$10)*(100-A51)/100</f>
        <v>4.5335467330000006</v>
      </c>
      <c r="D51" s="8">
        <f t="shared" si="13"/>
        <v>0.24081365600000026</v>
      </c>
      <c r="E51" s="8">
        <f t="shared" si="14"/>
        <v>1.0938830312119345</v>
      </c>
      <c r="F51" s="11">
        <f t="shared" si="0"/>
        <v>105.12835089240011</v>
      </c>
      <c r="G51" s="8">
        <f t="shared" si="1"/>
        <v>5.0785649353224374</v>
      </c>
      <c r="H51" s="8">
        <f t="shared" si="3"/>
        <v>4.806055834161219</v>
      </c>
      <c r="I51" s="8">
        <f t="shared" si="15"/>
        <v>1.1594653473950456</v>
      </c>
      <c r="J51" s="11">
        <f t="shared" si="2"/>
        <v>111.4311826863953</v>
      </c>
      <c r="K51" s="550">
        <v>0</v>
      </c>
      <c r="L51" s="11">
        <f t="shared" si="4"/>
        <v>111.4311826863953</v>
      </c>
      <c r="M51" s="150">
        <f t="shared" si="5"/>
        <v>6097.4680596549661</v>
      </c>
      <c r="N51" s="149">
        <f t="shared" si="6"/>
        <v>45819.94438602202</v>
      </c>
      <c r="O51" s="11">
        <f t="shared" si="7"/>
        <v>11.14311826863953</v>
      </c>
      <c r="P51" s="345">
        <f t="shared" si="8"/>
        <v>609.74680596549661</v>
      </c>
      <c r="Q51" s="416">
        <f t="shared" si="9"/>
        <v>4581.9944386022034</v>
      </c>
      <c r="R51" s="8">
        <f t="shared" si="10"/>
        <v>-0.55000000000000004</v>
      </c>
      <c r="S51" s="552">
        <v>0</v>
      </c>
      <c r="T51" s="8">
        <f t="shared" si="11"/>
        <v>-0.55000000000000004</v>
      </c>
      <c r="U51" s="11">
        <f t="shared" si="16"/>
        <v>-294.54946711158914</v>
      </c>
      <c r="V51" s="345">
        <f t="shared" si="12"/>
        <v>-13233.20673734266</v>
      </c>
      <c r="W51" s="12"/>
    </row>
    <row r="52" spans="1:23" x14ac:dyDescent="0.25">
      <c r="A52" s="2">
        <v>32</v>
      </c>
      <c r="B52" s="11">
        <f>A52/100*'Inputs-Imperial'!$E$5</f>
        <v>7.7060369919999996</v>
      </c>
      <c r="C52" s="8">
        <f>'Inputs-Imperial'!$E$10+('Inputs-Imperial'!$E$9-'Inputs-Imperial'!$E$10)*(100-A52)/100</f>
        <v>4.5157481760000007</v>
      </c>
      <c r="D52" s="8">
        <f t="shared" si="13"/>
        <v>0.24081365600000026</v>
      </c>
      <c r="E52" s="8">
        <f t="shared" si="14"/>
        <v>1.0895968956292399</v>
      </c>
      <c r="F52" s="11">
        <f t="shared" ref="F52:F83" si="17">E52*$D$9</f>
        <v>104.71642900253342</v>
      </c>
      <c r="G52" s="8">
        <f t="shared" ref="G52:G83" si="18">(8*$D$7/PI()/$D$8)*SQRT(1-(A52/100)^2)</f>
        <v>5.0608357043115264</v>
      </c>
      <c r="H52" s="8">
        <f t="shared" si="3"/>
        <v>4.788291940155764</v>
      </c>
      <c r="I52" s="8">
        <f t="shared" si="15"/>
        <v>1.155224982234369</v>
      </c>
      <c r="J52" s="11">
        <f t="shared" ref="J52:J83" si="19">I52*$D$9</f>
        <v>111.02365959315414</v>
      </c>
      <c r="K52" s="550">
        <v>0</v>
      </c>
      <c r="L52" s="11">
        <f t="shared" si="4"/>
        <v>111.02365959315414</v>
      </c>
      <c r="M52" s="150">
        <f t="shared" si="5"/>
        <v>5986.4444000618123</v>
      </c>
      <c r="N52" s="149">
        <f t="shared" ref="N52:N83" si="20">M52*D53+N53</f>
        <v>44351.590810233283</v>
      </c>
      <c r="O52" s="11">
        <f t="shared" si="7"/>
        <v>11.102365959315414</v>
      </c>
      <c r="P52" s="345">
        <f t="shared" si="8"/>
        <v>598.64444000618118</v>
      </c>
      <c r="Q52" s="416">
        <f t="shared" si="9"/>
        <v>4435.1590810233292</v>
      </c>
      <c r="R52" s="8">
        <f t="shared" si="10"/>
        <v>-0.55000000000000004</v>
      </c>
      <c r="S52" s="552">
        <v>0</v>
      </c>
      <c r="T52" s="8">
        <f t="shared" si="11"/>
        <v>-0.55000000000000004</v>
      </c>
      <c r="U52" s="11">
        <f t="shared" si="16"/>
        <v>-292.38753191807342</v>
      </c>
      <c r="V52" s="345">
        <f t="shared" si="12"/>
        <v>-12940.819205424586</v>
      </c>
      <c r="W52" s="12"/>
    </row>
    <row r="53" spans="1:23" x14ac:dyDescent="0.25">
      <c r="A53" s="2">
        <v>33</v>
      </c>
      <c r="B53" s="11">
        <f>A53/100*'Inputs-Imperial'!$E$5</f>
        <v>7.9468506479999999</v>
      </c>
      <c r="C53" s="8">
        <f>'Inputs-Imperial'!$E$10+('Inputs-Imperial'!$E$9-'Inputs-Imperial'!$E$10)*(100-A53)/100</f>
        <v>4.4979496189999999</v>
      </c>
      <c r="D53" s="8">
        <f t="shared" si="13"/>
        <v>0.24081365600000026</v>
      </c>
      <c r="E53" s="8">
        <f t="shared" si="14"/>
        <v>1.0853107600465455</v>
      </c>
      <c r="F53" s="11">
        <f t="shared" si="17"/>
        <v>104.30450711266674</v>
      </c>
      <c r="G53" s="8">
        <f t="shared" si="18"/>
        <v>5.0424783056781122</v>
      </c>
      <c r="H53" s="8">
        <f t="shared" si="3"/>
        <v>4.7702139623390565</v>
      </c>
      <c r="I53" s="8">
        <f t="shared" si="15"/>
        <v>1.1509093761386799</v>
      </c>
      <c r="J53" s="11">
        <f t="shared" si="19"/>
        <v>110.60890542017979</v>
      </c>
      <c r="K53" s="550">
        <v>0</v>
      </c>
      <c r="L53" s="11">
        <f t="shared" si="4"/>
        <v>110.60890542017979</v>
      </c>
      <c r="M53" s="150">
        <f t="shared" si="5"/>
        <v>5875.8354946416321</v>
      </c>
      <c r="N53" s="149">
        <f t="shared" si="20"/>
        <v>42909.973247813672</v>
      </c>
      <c r="O53" s="11">
        <f t="shared" si="7"/>
        <v>11.060890542017979</v>
      </c>
      <c r="P53" s="345">
        <f t="shared" si="8"/>
        <v>587.58354946416318</v>
      </c>
      <c r="Q53" s="416">
        <f t="shared" si="9"/>
        <v>4290.9973247813678</v>
      </c>
      <c r="R53" s="8">
        <f t="shared" si="10"/>
        <v>-0.55000000000000004</v>
      </c>
      <c r="S53" s="552">
        <v>0</v>
      </c>
      <c r="T53" s="8">
        <f t="shared" si="11"/>
        <v>-0.55000000000000004</v>
      </c>
      <c r="U53" s="11">
        <f t="shared" si="16"/>
        <v>-290.19547974691</v>
      </c>
      <c r="V53" s="345">
        <f t="shared" si="12"/>
        <v>-12650.623725677677</v>
      </c>
      <c r="W53" s="12"/>
    </row>
    <row r="54" spans="1:23" x14ac:dyDescent="0.25">
      <c r="A54" s="2">
        <v>34</v>
      </c>
      <c r="B54" s="11">
        <f>A54/100*'Inputs-Imperial'!$E$5</f>
        <v>8.1876643040000001</v>
      </c>
      <c r="C54" s="8">
        <f>'Inputs-Imperial'!$E$10+('Inputs-Imperial'!$E$9-'Inputs-Imperial'!$E$10)*(100-A54)/100</f>
        <v>4.4801510620000009</v>
      </c>
      <c r="D54" s="8">
        <f t="shared" si="13"/>
        <v>0.24081365600000026</v>
      </c>
      <c r="E54" s="8">
        <f t="shared" si="14"/>
        <v>1.0810246244638511</v>
      </c>
      <c r="F54" s="11">
        <f t="shared" si="17"/>
        <v>103.89258522280008</v>
      </c>
      <c r="G54" s="8">
        <f t="shared" si="18"/>
        <v>5.0234858528602206</v>
      </c>
      <c r="H54" s="8">
        <f t="shared" si="3"/>
        <v>4.7518184574301108</v>
      </c>
      <c r="I54" s="8">
        <f t="shared" si="15"/>
        <v>1.1465177197775713</v>
      </c>
      <c r="J54" s="11">
        <f t="shared" si="19"/>
        <v>110.18684238623918</v>
      </c>
      <c r="K54" s="550">
        <v>0</v>
      </c>
      <c r="L54" s="11">
        <f t="shared" si="4"/>
        <v>110.18684238623918</v>
      </c>
      <c r="M54" s="150">
        <f t="shared" si="5"/>
        <v>5765.6486522553932</v>
      </c>
      <c r="N54" s="149">
        <f t="shared" si="20"/>
        <v>41494.991820294454</v>
      </c>
      <c r="O54" s="11">
        <f t="shared" si="7"/>
        <v>11.018684238623917</v>
      </c>
      <c r="P54" s="345">
        <f t="shared" si="8"/>
        <v>576.56486522553928</v>
      </c>
      <c r="Q54" s="416">
        <f t="shared" si="9"/>
        <v>4149.4991820294454</v>
      </c>
      <c r="R54" s="8">
        <f t="shared" si="10"/>
        <v>-0.55000000000000004</v>
      </c>
      <c r="S54" s="552">
        <v>0</v>
      </c>
      <c r="T54" s="8">
        <f t="shared" si="11"/>
        <v>-0.55000000000000004</v>
      </c>
      <c r="U54" s="11">
        <f t="shared" si="16"/>
        <v>-287.97332927928062</v>
      </c>
      <c r="V54" s="345">
        <f t="shared" si="12"/>
        <v>-12362.650396398396</v>
      </c>
      <c r="W54" s="12"/>
    </row>
    <row r="55" spans="1:23" x14ac:dyDescent="0.25">
      <c r="A55" s="2">
        <v>35</v>
      </c>
      <c r="B55" s="11">
        <f>A55/100*'Inputs-Imperial'!$E$5</f>
        <v>8.4284779599999986</v>
      </c>
      <c r="C55" s="8">
        <f>'Inputs-Imperial'!$E$10+('Inputs-Imperial'!$E$9-'Inputs-Imperial'!$E$10)*(100-A55)/100</f>
        <v>4.4623525050000001</v>
      </c>
      <c r="D55" s="8">
        <f t="shared" si="13"/>
        <v>0.24081365599999849</v>
      </c>
      <c r="E55" s="8">
        <f t="shared" si="14"/>
        <v>1.0767384888811489</v>
      </c>
      <c r="F55" s="11">
        <f t="shared" si="17"/>
        <v>103.48066333293266</v>
      </c>
      <c r="G55" s="8">
        <f t="shared" si="18"/>
        <v>5.0038511146907103</v>
      </c>
      <c r="H55" s="8">
        <f t="shared" si="3"/>
        <v>4.7331018098453548</v>
      </c>
      <c r="I55" s="8">
        <f t="shared" si="15"/>
        <v>1.1420491632155438</v>
      </c>
      <c r="J55" s="11">
        <f t="shared" si="19"/>
        <v>109.75738880772001</v>
      </c>
      <c r="K55" s="550">
        <v>0</v>
      </c>
      <c r="L55" s="11">
        <f t="shared" si="4"/>
        <v>109.75738880772001</v>
      </c>
      <c r="M55" s="150">
        <f t="shared" si="5"/>
        <v>5655.8912634476728</v>
      </c>
      <c r="N55" s="149">
        <f t="shared" si="20"/>
        <v>40106.544889133365</v>
      </c>
      <c r="O55" s="11">
        <f t="shared" si="7"/>
        <v>10.975738880772001</v>
      </c>
      <c r="P55" s="345">
        <f t="shared" si="8"/>
        <v>565.58912634476724</v>
      </c>
      <c r="Q55" s="416">
        <f t="shared" si="9"/>
        <v>4010.6544889133365</v>
      </c>
      <c r="R55" s="8">
        <f t="shared" si="10"/>
        <v>-0.55000000000000004</v>
      </c>
      <c r="S55" s="552">
        <v>0</v>
      </c>
      <c r="T55" s="8">
        <f t="shared" si="11"/>
        <v>-0.55000000000000004</v>
      </c>
      <c r="U55" s="11">
        <f t="shared" si="16"/>
        <v>-285.72109258534596</v>
      </c>
      <c r="V55" s="345">
        <f t="shared" si="12"/>
        <v>-12076.929303813051</v>
      </c>
      <c r="W55" s="12"/>
    </row>
    <row r="56" spans="1:23" x14ac:dyDescent="0.25">
      <c r="A56" s="2">
        <v>36</v>
      </c>
      <c r="B56" s="11">
        <f>A56/100*'Inputs-Imperial'!$E$5</f>
        <v>8.6692916159999989</v>
      </c>
      <c r="C56" s="8">
        <f>'Inputs-Imperial'!$E$10+('Inputs-Imperial'!$E$9-'Inputs-Imperial'!$E$10)*(100-A56)/100</f>
        <v>4.4445539480000003</v>
      </c>
      <c r="D56" s="8">
        <f t="shared" si="13"/>
        <v>0.24081365600000026</v>
      </c>
      <c r="E56" s="8">
        <f t="shared" si="14"/>
        <v>1.0724523532984624</v>
      </c>
      <c r="F56" s="11">
        <f t="shared" si="17"/>
        <v>103.06874144306676</v>
      </c>
      <c r="G56" s="8">
        <f t="shared" si="18"/>
        <v>4.9835664995611788</v>
      </c>
      <c r="H56" s="8">
        <f t="shared" si="3"/>
        <v>4.7140602237805895</v>
      </c>
      <c r="I56" s="8">
        <f t="shared" si="15"/>
        <v>1.1375028140709305</v>
      </c>
      <c r="J56" s="11">
        <f t="shared" si="19"/>
        <v>109.32045892169302</v>
      </c>
      <c r="K56" s="550">
        <v>0</v>
      </c>
      <c r="L56" s="11">
        <f t="shared" si="4"/>
        <v>109.32045892169302</v>
      </c>
      <c r="M56" s="150">
        <f t="shared" si="5"/>
        <v>5546.5708045259798</v>
      </c>
      <c r="N56" s="149">
        <f t="shared" si="20"/>
        <v>38744.52903604407</v>
      </c>
      <c r="O56" s="11">
        <f t="shared" si="7"/>
        <v>10.932045892169302</v>
      </c>
      <c r="P56" s="345">
        <f t="shared" si="8"/>
        <v>554.65708045259794</v>
      </c>
      <c r="Q56" s="416">
        <f t="shared" si="9"/>
        <v>3874.4529036044069</v>
      </c>
      <c r="R56" s="8">
        <f t="shared" si="10"/>
        <v>-0.55000000000000004</v>
      </c>
      <c r="S56" s="552">
        <v>0</v>
      </c>
      <c r="T56" s="8">
        <f t="shared" si="11"/>
        <v>-0.55000000000000004</v>
      </c>
      <c r="U56" s="11">
        <f t="shared" si="16"/>
        <v>-283.43877487650616</v>
      </c>
      <c r="V56" s="345">
        <f t="shared" si="12"/>
        <v>-11793.490528936545</v>
      </c>
      <c r="W56" s="12"/>
    </row>
    <row r="57" spans="1:23" x14ac:dyDescent="0.25">
      <c r="A57" s="2">
        <v>37</v>
      </c>
      <c r="B57" s="11">
        <f>A57/100*'Inputs-Imperial'!$E$5</f>
        <v>8.9101052719999991</v>
      </c>
      <c r="C57" s="8">
        <f>'Inputs-Imperial'!$E$10+('Inputs-Imperial'!$E$9-'Inputs-Imperial'!$E$10)*(100-A57)/100</f>
        <v>4.4267553910000004</v>
      </c>
      <c r="D57" s="8">
        <f t="shared" si="13"/>
        <v>0.24081365600000026</v>
      </c>
      <c r="E57" s="8">
        <f t="shared" si="14"/>
        <v>1.0681662177157678</v>
      </c>
      <c r="F57" s="11">
        <f t="shared" si="17"/>
        <v>102.65681955320007</v>
      </c>
      <c r="G57" s="8">
        <f t="shared" si="18"/>
        <v>4.9626240384052629</v>
      </c>
      <c r="H57" s="8">
        <f t="shared" si="3"/>
        <v>4.6946897147026316</v>
      </c>
      <c r="I57" s="8">
        <f t="shared" si="15"/>
        <v>1.1328777355379611</v>
      </c>
      <c r="J57" s="11">
        <f t="shared" si="19"/>
        <v>108.87596269582122</v>
      </c>
      <c r="K57" s="550">
        <v>0</v>
      </c>
      <c r="L57" s="11">
        <f t="shared" si="4"/>
        <v>108.87596269582122</v>
      </c>
      <c r="M57" s="150">
        <f t="shared" si="5"/>
        <v>5437.694841830159</v>
      </c>
      <c r="N57" s="149">
        <f t="shared" si="20"/>
        <v>37408.839042343308</v>
      </c>
      <c r="O57" s="11">
        <f t="shared" si="7"/>
        <v>10.887596269582122</v>
      </c>
      <c r="P57" s="345">
        <f t="shared" si="8"/>
        <v>543.76948418301583</v>
      </c>
      <c r="Q57" s="416">
        <f t="shared" si="9"/>
        <v>3740.8839042343307</v>
      </c>
      <c r="R57" s="8">
        <f t="shared" si="10"/>
        <v>-0.55000000000000004</v>
      </c>
      <c r="S57" s="552">
        <v>0</v>
      </c>
      <c r="T57" s="8">
        <f t="shared" si="11"/>
        <v>-0.55000000000000004</v>
      </c>
      <c r="U57" s="11">
        <f t="shared" si="16"/>
        <v>-281.12637423553065</v>
      </c>
      <c r="V57" s="345">
        <f t="shared" si="12"/>
        <v>-11512.364154701014</v>
      </c>
      <c r="W57" s="12"/>
    </row>
    <row r="58" spans="1:23" x14ac:dyDescent="0.25">
      <c r="A58" s="2">
        <v>38</v>
      </c>
      <c r="B58" s="11">
        <f>A58/100*'Inputs-Imperial'!$E$5</f>
        <v>9.1509189279999994</v>
      </c>
      <c r="C58" s="8">
        <f>'Inputs-Imperial'!$E$10+('Inputs-Imperial'!$E$9-'Inputs-Imperial'!$E$10)*(100-A58)/100</f>
        <v>4.4089568340000005</v>
      </c>
      <c r="D58" s="8">
        <f t="shared" si="13"/>
        <v>0.24081365600000026</v>
      </c>
      <c r="E58" s="8">
        <f t="shared" si="14"/>
        <v>1.0638800821330736</v>
      </c>
      <c r="F58" s="11">
        <f t="shared" si="17"/>
        <v>102.24489766333342</v>
      </c>
      <c r="G58" s="8">
        <f t="shared" si="18"/>
        <v>4.9410153664018663</v>
      </c>
      <c r="H58" s="8">
        <f t="shared" si="3"/>
        <v>4.6749861002009334</v>
      </c>
      <c r="I58" s="8">
        <f t="shared" si="15"/>
        <v>1.1281729442608548</v>
      </c>
      <c r="J58" s="11">
        <f t="shared" si="19"/>
        <v>108.42380562404806</v>
      </c>
      <c r="K58" s="550">
        <v>0</v>
      </c>
      <c r="L58" s="11">
        <f t="shared" si="4"/>
        <v>108.42380562404806</v>
      </c>
      <c r="M58" s="150">
        <f t="shared" si="5"/>
        <v>5329.2710362061107</v>
      </c>
      <c r="N58" s="149">
        <f t="shared" si="20"/>
        <v>36099.367867269844</v>
      </c>
      <c r="O58" s="11">
        <f t="shared" si="7"/>
        <v>10.842380562404806</v>
      </c>
      <c r="P58" s="345">
        <f t="shared" si="8"/>
        <v>532.92710362061098</v>
      </c>
      <c r="Q58" s="416">
        <f t="shared" si="9"/>
        <v>3609.9367867269843</v>
      </c>
      <c r="R58" s="8">
        <f t="shared" si="10"/>
        <v>-0.55000000000000004</v>
      </c>
      <c r="S58" s="552">
        <v>0</v>
      </c>
      <c r="T58" s="8">
        <f t="shared" si="11"/>
        <v>-0.55000000000000004</v>
      </c>
      <c r="U58" s="11">
        <f t="shared" si="16"/>
        <v>-278.78388132282186</v>
      </c>
      <c r="V58" s="345">
        <f t="shared" si="12"/>
        <v>-11233.580273378191</v>
      </c>
      <c r="W58" s="12"/>
    </row>
    <row r="59" spans="1:23" x14ac:dyDescent="0.25">
      <c r="A59" s="2">
        <v>39</v>
      </c>
      <c r="B59" s="11">
        <f>A59/100*'Inputs-Imperial'!$E$5</f>
        <v>9.3917325839999997</v>
      </c>
      <c r="C59" s="8">
        <f>'Inputs-Imperial'!$E$10+('Inputs-Imperial'!$E$9-'Inputs-Imperial'!$E$10)*(100-A59)/100</f>
        <v>4.3911582770000006</v>
      </c>
      <c r="D59" s="8">
        <f t="shared" si="13"/>
        <v>0.24081365600000026</v>
      </c>
      <c r="E59" s="8">
        <f t="shared" si="14"/>
        <v>1.0595939465503792</v>
      </c>
      <c r="F59" s="11">
        <f t="shared" si="17"/>
        <v>101.83297577346676</v>
      </c>
      <c r="G59" s="8">
        <f t="shared" si="18"/>
        <v>4.9187317032882865</v>
      </c>
      <c r="H59" s="8">
        <f t="shared" si="3"/>
        <v>4.6549449901441431</v>
      </c>
      <c r="I59" s="8">
        <f t="shared" si="15"/>
        <v>1.1233874080470334</v>
      </c>
      <c r="J59" s="11">
        <f t="shared" si="19"/>
        <v>107.96388850682438</v>
      </c>
      <c r="K59" s="550">
        <v>0</v>
      </c>
      <c r="L59" s="11">
        <f t="shared" si="4"/>
        <v>107.96388850682438</v>
      </c>
      <c r="M59" s="150">
        <f t="shared" si="5"/>
        <v>5221.3071476992864</v>
      </c>
      <c r="N59" s="149">
        <f t="shared" si="20"/>
        <v>34816.006625226139</v>
      </c>
      <c r="O59" s="11">
        <f t="shared" si="7"/>
        <v>10.796388850682437</v>
      </c>
      <c r="P59" s="345">
        <f t="shared" si="8"/>
        <v>522.13071476992855</v>
      </c>
      <c r="Q59" s="416">
        <f t="shared" si="9"/>
        <v>3481.6006625226141</v>
      </c>
      <c r="R59" s="8">
        <f t="shared" si="10"/>
        <v>-0.55000000000000004</v>
      </c>
      <c r="S59" s="552">
        <v>0</v>
      </c>
      <c r="T59" s="8">
        <f t="shared" si="11"/>
        <v>-0.55000000000000004</v>
      </c>
      <c r="U59" s="11">
        <f t="shared" si="16"/>
        <v>-276.41127905672766</v>
      </c>
      <c r="V59" s="345">
        <f t="shared" si="12"/>
        <v>-10957.168994321464</v>
      </c>
      <c r="W59" s="12"/>
    </row>
    <row r="60" spans="1:23" x14ac:dyDescent="0.25">
      <c r="A60" s="2">
        <v>40</v>
      </c>
      <c r="B60" s="11">
        <f>A60/100*'Inputs-Imperial'!$E$5</f>
        <v>9.6325462399999999</v>
      </c>
      <c r="C60" s="8">
        <f>'Inputs-Imperial'!$E$10+('Inputs-Imperial'!$E$9-'Inputs-Imperial'!$E$10)*(100-A60)/100</f>
        <v>4.3733597200000007</v>
      </c>
      <c r="D60" s="8">
        <f t="shared" si="13"/>
        <v>0.24081365600000026</v>
      </c>
      <c r="E60" s="8">
        <f t="shared" si="14"/>
        <v>1.055307810967685</v>
      </c>
      <c r="F60" s="11">
        <f t="shared" si="17"/>
        <v>101.42105388360011</v>
      </c>
      <c r="G60" s="8">
        <f t="shared" si="18"/>
        <v>4.8957638321613839</v>
      </c>
      <c r="H60" s="8">
        <f t="shared" si="3"/>
        <v>4.6345617760806928</v>
      </c>
      <c r="I60" s="8">
        <f t="shared" si="15"/>
        <v>1.1185200434056712</v>
      </c>
      <c r="J60" s="11">
        <f t="shared" si="19"/>
        <v>107.49610721454904</v>
      </c>
      <c r="K60" s="550">
        <v>0</v>
      </c>
      <c r="L60" s="11">
        <f t="shared" si="4"/>
        <v>107.49610721454904</v>
      </c>
      <c r="M60" s="150">
        <f t="shared" si="5"/>
        <v>5113.8110404847375</v>
      </c>
      <c r="N60" s="149">
        <f t="shared" si="20"/>
        <v>33558.644561889741</v>
      </c>
      <c r="O60" s="11">
        <f t="shared" si="7"/>
        <v>10.749610721454903</v>
      </c>
      <c r="P60" s="345">
        <f t="shared" si="8"/>
        <v>511.38110404847362</v>
      </c>
      <c r="Q60" s="416">
        <f t="shared" si="9"/>
        <v>3355.8644561889741</v>
      </c>
      <c r="R60" s="8">
        <f t="shared" si="10"/>
        <v>-0.55000000000000004</v>
      </c>
      <c r="S60" s="552">
        <v>0</v>
      </c>
      <c r="T60" s="8">
        <f t="shared" si="11"/>
        <v>-0.55000000000000004</v>
      </c>
      <c r="U60" s="11">
        <f t="shared" si="16"/>
        <v>-274.00854226571158</v>
      </c>
      <c r="V60" s="345">
        <f t="shared" si="12"/>
        <v>-10683.160452055752</v>
      </c>
      <c r="W60" s="12"/>
    </row>
    <row r="61" spans="1:23" x14ac:dyDescent="0.25">
      <c r="A61" s="2">
        <v>41</v>
      </c>
      <c r="B61" s="11">
        <f>A61/100*'Inputs-Imperial'!$E$5</f>
        <v>9.8733598959999984</v>
      </c>
      <c r="C61" s="8">
        <f>'Inputs-Imperial'!$E$10+('Inputs-Imperial'!$E$9-'Inputs-Imperial'!$E$10)*(100-A61)/100</f>
        <v>4.3555611630000008</v>
      </c>
      <c r="D61" s="8">
        <f t="shared" si="13"/>
        <v>0.24081365599999849</v>
      </c>
      <c r="E61" s="8">
        <f t="shared" si="14"/>
        <v>1.0510216753849826</v>
      </c>
      <c r="F61" s="11">
        <f t="shared" si="17"/>
        <v>101.00913199373267</v>
      </c>
      <c r="G61" s="8">
        <f t="shared" si="18"/>
        <v>4.8721020766316121</v>
      </c>
      <c r="H61" s="8">
        <f t="shared" si="3"/>
        <v>4.6138316198158069</v>
      </c>
      <c r="I61" s="8">
        <f t="shared" si="15"/>
        <v>1.1135697128960387</v>
      </c>
      <c r="J61" s="11">
        <f t="shared" si="19"/>
        <v>107.02035243272979</v>
      </c>
      <c r="K61" s="550">
        <v>0</v>
      </c>
      <c r="L61" s="11">
        <f t="shared" si="4"/>
        <v>107.02035243272979</v>
      </c>
      <c r="M61" s="150">
        <f t="shared" si="5"/>
        <v>5006.7906880520077</v>
      </c>
      <c r="N61" s="149">
        <f t="shared" si="20"/>
        <v>32327.169029137454</v>
      </c>
      <c r="O61" s="11">
        <f t="shared" si="7"/>
        <v>10.702035243272979</v>
      </c>
      <c r="P61" s="345">
        <f t="shared" si="8"/>
        <v>500.67906880520064</v>
      </c>
      <c r="Q61" s="416">
        <f t="shared" si="9"/>
        <v>3232.7169029137458</v>
      </c>
      <c r="R61" s="8">
        <f t="shared" si="10"/>
        <v>-0.55000000000000004</v>
      </c>
      <c r="S61" s="552">
        <v>0</v>
      </c>
      <c r="T61" s="8">
        <f t="shared" si="11"/>
        <v>-0.55000000000000004</v>
      </c>
      <c r="U61" s="11">
        <f t="shared" si="16"/>
        <v>-271.57563730987818</v>
      </c>
      <c r="V61" s="345">
        <f t="shared" si="12"/>
        <v>-10411.584814745875</v>
      </c>
      <c r="W61" s="12"/>
    </row>
    <row r="62" spans="1:23" x14ac:dyDescent="0.25">
      <c r="A62" s="2">
        <v>42</v>
      </c>
      <c r="B62" s="11">
        <f>A62/100*'Inputs-Imperial'!$E$5</f>
        <v>10.114173551999999</v>
      </c>
      <c r="C62" s="8">
        <f>'Inputs-Imperial'!$E$10+('Inputs-Imperial'!$E$9-'Inputs-Imperial'!$E$10)*(100-A62)/100</f>
        <v>4.3377626060000001</v>
      </c>
      <c r="D62" s="8">
        <f t="shared" si="13"/>
        <v>0.24081365600000026</v>
      </c>
      <c r="E62" s="8">
        <f t="shared" si="14"/>
        <v>1.0467355398022959</v>
      </c>
      <c r="F62" s="11">
        <f t="shared" si="17"/>
        <v>100.59721010386674</v>
      </c>
      <c r="G62" s="8">
        <f t="shared" si="18"/>
        <v>4.8477362761797291</v>
      </c>
      <c r="H62" s="8">
        <f t="shared" si="3"/>
        <v>4.5927494410898646</v>
      </c>
      <c r="I62" s="8">
        <f t="shared" si="15"/>
        <v>1.1085352222685279</v>
      </c>
      <c r="J62" s="11">
        <f t="shared" si="19"/>
        <v>106.53650938721964</v>
      </c>
      <c r="K62" s="550">
        <v>0</v>
      </c>
      <c r="L62" s="11">
        <f t="shared" si="4"/>
        <v>106.53650938721964</v>
      </c>
      <c r="M62" s="150">
        <f t="shared" si="5"/>
        <v>4900.254178664788</v>
      </c>
      <c r="N62" s="149">
        <f t="shared" si="20"/>
        <v>31121.465458720893</v>
      </c>
      <c r="O62" s="11">
        <f t="shared" si="7"/>
        <v>10.653650938721963</v>
      </c>
      <c r="P62" s="345">
        <f t="shared" si="8"/>
        <v>490.02541786647868</v>
      </c>
      <c r="Q62" s="416">
        <f t="shared" si="9"/>
        <v>3112.14654587209</v>
      </c>
      <c r="R62" s="8">
        <f t="shared" si="10"/>
        <v>-0.55000000000000004</v>
      </c>
      <c r="S62" s="552">
        <v>0</v>
      </c>
      <c r="T62" s="8">
        <f t="shared" si="11"/>
        <v>-0.55000000000000004</v>
      </c>
      <c r="U62" s="11">
        <f t="shared" si="16"/>
        <v>-269.11252166909998</v>
      </c>
      <c r="V62" s="345">
        <f t="shared" si="12"/>
        <v>-10142.472293076775</v>
      </c>
      <c r="W62" s="12"/>
    </row>
    <row r="63" spans="1:23" x14ac:dyDescent="0.25">
      <c r="A63" s="2">
        <v>43</v>
      </c>
      <c r="B63" s="11">
        <f>A63/100*'Inputs-Imperial'!$E$5</f>
        <v>10.354987207999999</v>
      </c>
      <c r="C63" s="8">
        <f>'Inputs-Imperial'!$E$10+('Inputs-Imperial'!$E$9-'Inputs-Imperial'!$E$10)*(100-A63)/100</f>
        <v>4.3199640490000002</v>
      </c>
      <c r="D63" s="8">
        <f t="shared" si="13"/>
        <v>0.24081365600000026</v>
      </c>
      <c r="E63" s="8">
        <f t="shared" si="14"/>
        <v>1.0424494042196015</v>
      </c>
      <c r="F63" s="11">
        <f t="shared" si="17"/>
        <v>100.18528821400008</v>
      </c>
      <c r="G63" s="8">
        <f t="shared" si="18"/>
        <v>4.8226557595490966</v>
      </c>
      <c r="H63" s="8">
        <f t="shared" si="3"/>
        <v>4.571309904274548</v>
      </c>
      <c r="I63" s="8">
        <f t="shared" si="15"/>
        <v>1.1034153173790866</v>
      </c>
      <c r="J63" s="11">
        <f t="shared" si="19"/>
        <v>106.04445754767647</v>
      </c>
      <c r="K63" s="550">
        <v>0</v>
      </c>
      <c r="L63" s="11">
        <f t="shared" si="4"/>
        <v>106.04445754767647</v>
      </c>
      <c r="M63" s="150">
        <f t="shared" si="5"/>
        <v>4794.2097211171113</v>
      </c>
      <c r="N63" s="149">
        <f t="shared" si="20"/>
        <v>29941.417334627349</v>
      </c>
      <c r="O63" s="11">
        <f t="shared" si="7"/>
        <v>10.604445754767648</v>
      </c>
      <c r="P63" s="345">
        <f t="shared" si="8"/>
        <v>479.42097211171102</v>
      </c>
      <c r="Q63" s="416">
        <f t="shared" si="9"/>
        <v>2994.1417334627354</v>
      </c>
      <c r="R63" s="8">
        <f t="shared" si="10"/>
        <v>-0.55000000000000004</v>
      </c>
      <c r="S63" s="552">
        <v>0</v>
      </c>
      <c r="T63" s="8">
        <f t="shared" si="11"/>
        <v>-0.55000000000000004</v>
      </c>
      <c r="U63" s="11">
        <f t="shared" si="16"/>
        <v>-266.61914349461341</v>
      </c>
      <c r="V63" s="345">
        <f t="shared" si="12"/>
        <v>-9875.8531495821608</v>
      </c>
      <c r="W63" s="12"/>
    </row>
    <row r="64" spans="1:23" x14ac:dyDescent="0.25">
      <c r="A64" s="2">
        <v>44</v>
      </c>
      <c r="B64" s="11">
        <f>A64/100*'Inputs-Imperial'!$E$5</f>
        <v>10.595800863999999</v>
      </c>
      <c r="C64" s="8">
        <f>'Inputs-Imperial'!$E$10+('Inputs-Imperial'!$E$9-'Inputs-Imperial'!$E$10)*(100-A64)/100</f>
        <v>4.3021654920000003</v>
      </c>
      <c r="D64" s="8">
        <f t="shared" si="13"/>
        <v>0.24081365600000026</v>
      </c>
      <c r="E64" s="8">
        <f t="shared" si="14"/>
        <v>1.0381632686369071</v>
      </c>
      <c r="F64" s="11">
        <f t="shared" si="17"/>
        <v>99.773366324133406</v>
      </c>
      <c r="G64" s="8">
        <f t="shared" si="18"/>
        <v>4.79684931598727</v>
      </c>
      <c r="H64" s="8">
        <f t="shared" si="3"/>
        <v>4.5495074039936352</v>
      </c>
      <c r="I64" s="8">
        <f t="shared" si="15"/>
        <v>1.0982086808560714</v>
      </c>
      <c r="J64" s="11">
        <f t="shared" si="19"/>
        <v>105.54407030722875</v>
      </c>
      <c r="K64" s="550">
        <v>0</v>
      </c>
      <c r="L64" s="11">
        <f t="shared" si="4"/>
        <v>105.54407030722875</v>
      </c>
      <c r="M64" s="150">
        <f t="shared" si="5"/>
        <v>4688.6656508098822</v>
      </c>
      <c r="N64" s="149">
        <f t="shared" si="20"/>
        <v>28786.906164054395</v>
      </c>
      <c r="O64" s="11">
        <f t="shared" si="7"/>
        <v>10.554407030722874</v>
      </c>
      <c r="P64" s="345">
        <f t="shared" si="8"/>
        <v>468.86656508098815</v>
      </c>
      <c r="Q64" s="416">
        <f t="shared" si="9"/>
        <v>2878.6906164054399</v>
      </c>
      <c r="R64" s="8">
        <f t="shared" si="10"/>
        <v>-0.55000000000000004</v>
      </c>
      <c r="S64" s="552">
        <v>0</v>
      </c>
      <c r="T64" s="8">
        <f t="shared" si="11"/>
        <v>-0.55000000000000004</v>
      </c>
      <c r="U64" s="11">
        <f t="shared" si="16"/>
        <v>-264.09544112069909</v>
      </c>
      <c r="V64" s="345">
        <f t="shared" si="12"/>
        <v>-9611.7577084614622</v>
      </c>
      <c r="W64" s="12"/>
    </row>
    <row r="65" spans="1:23" x14ac:dyDescent="0.25">
      <c r="A65" s="2">
        <v>45</v>
      </c>
      <c r="B65" s="11">
        <f>A65/100*'Inputs-Imperial'!$E$5</f>
        <v>10.836614519999999</v>
      </c>
      <c r="C65" s="8">
        <f>'Inputs-Imperial'!$E$10+('Inputs-Imperial'!$E$9-'Inputs-Imperial'!$E$10)*(100-A65)/100</f>
        <v>4.2843669350000004</v>
      </c>
      <c r="D65" s="8">
        <f t="shared" si="13"/>
        <v>0.24081365600000026</v>
      </c>
      <c r="E65" s="8">
        <f t="shared" si="14"/>
        <v>1.0338771330542129</v>
      </c>
      <c r="F65" s="11">
        <f t="shared" si="17"/>
        <v>99.361444434266758</v>
      </c>
      <c r="G65" s="8">
        <f t="shared" si="18"/>
        <v>4.7703051641289491</v>
      </c>
      <c r="H65" s="8">
        <f t="shared" si="3"/>
        <v>4.5273360495644752</v>
      </c>
      <c r="I65" s="8">
        <f t="shared" si="15"/>
        <v>1.0929139284954985</v>
      </c>
      <c r="J65" s="11">
        <f t="shared" si="19"/>
        <v>105.03521463603877</v>
      </c>
      <c r="K65" s="550">
        <v>0</v>
      </c>
      <c r="L65" s="11">
        <f t="shared" si="4"/>
        <v>105.03521463603877</v>
      </c>
      <c r="M65" s="150">
        <f t="shared" si="5"/>
        <v>4583.630436173843</v>
      </c>
      <c r="N65" s="149">
        <f t="shared" si="20"/>
        <v>27657.811446921245</v>
      </c>
      <c r="O65" s="11">
        <f t="shared" si="7"/>
        <v>10.503521463603878</v>
      </c>
      <c r="P65" s="345">
        <f t="shared" si="8"/>
        <v>458.36304361738428</v>
      </c>
      <c r="Q65" s="416">
        <f t="shared" si="9"/>
        <v>2765.7811446921251</v>
      </c>
      <c r="R65" s="8">
        <f t="shared" si="10"/>
        <v>-0.55000000000000004</v>
      </c>
      <c r="S65" s="552">
        <v>0</v>
      </c>
      <c r="T65" s="8">
        <f t="shared" si="11"/>
        <v>-0.55000000000000004</v>
      </c>
      <c r="U65" s="11">
        <f t="shared" si="16"/>
        <v>-261.54134253251431</v>
      </c>
      <c r="V65" s="345">
        <f t="shared" si="12"/>
        <v>-9350.2163659289472</v>
      </c>
      <c r="W65" s="12"/>
    </row>
    <row r="66" spans="1:23" x14ac:dyDescent="0.25">
      <c r="A66" s="2">
        <v>46</v>
      </c>
      <c r="B66" s="11">
        <f>A66/100*'Inputs-Imperial'!$E$5</f>
        <v>11.077428176</v>
      </c>
      <c r="C66" s="8">
        <f>'Inputs-Imperial'!$E$10+('Inputs-Imperial'!$E$9-'Inputs-Imperial'!$E$10)*(100-A66)/100</f>
        <v>4.2665683780000005</v>
      </c>
      <c r="D66" s="8">
        <f t="shared" si="13"/>
        <v>0.24081365600000026</v>
      </c>
      <c r="E66" s="8">
        <f t="shared" si="14"/>
        <v>1.0295909974715183</v>
      </c>
      <c r="F66" s="11">
        <f t="shared" si="17"/>
        <v>98.949522544400068</v>
      </c>
      <c r="G66" s="8">
        <f t="shared" si="18"/>
        <v>4.7430109182876032</v>
      </c>
      <c r="H66" s="8">
        <f t="shared" si="3"/>
        <v>4.5047896481438023</v>
      </c>
      <c r="I66" s="8">
        <f t="shared" si="15"/>
        <v>1.0875296053583419</v>
      </c>
      <c r="J66" s="11">
        <f t="shared" si="19"/>
        <v>104.5177507062309</v>
      </c>
      <c r="K66" s="550">
        <v>0</v>
      </c>
      <c r="L66" s="11">
        <f t="shared" si="4"/>
        <v>104.5177507062309</v>
      </c>
      <c r="M66" s="150">
        <f t="shared" si="5"/>
        <v>4479.1126854676122</v>
      </c>
      <c r="N66" s="149">
        <f t="shared" si="20"/>
        <v>26554.010643833346</v>
      </c>
      <c r="O66" s="11">
        <f t="shared" si="7"/>
        <v>10.451775070623089</v>
      </c>
      <c r="P66" s="345">
        <f t="shared" si="8"/>
        <v>447.91126854676116</v>
      </c>
      <c r="Q66" s="416">
        <f t="shared" si="9"/>
        <v>2655.4010643833353</v>
      </c>
      <c r="R66" s="8">
        <f t="shared" si="10"/>
        <v>-0.55000000000000004</v>
      </c>
      <c r="S66" s="552">
        <v>0</v>
      </c>
      <c r="T66" s="8">
        <f t="shared" si="11"/>
        <v>-0.55000000000000004</v>
      </c>
      <c r="U66" s="11">
        <f t="shared" si="16"/>
        <v>-258.95676478578696</v>
      </c>
      <c r="V66" s="345">
        <f t="shared" si="12"/>
        <v>-9091.2596011431597</v>
      </c>
      <c r="W66" s="12"/>
    </row>
    <row r="67" spans="1:23" x14ac:dyDescent="0.25">
      <c r="A67" s="2">
        <v>47</v>
      </c>
      <c r="B67" s="11">
        <f>A67/100*'Inputs-Imperial'!$E$5</f>
        <v>11.318241831999998</v>
      </c>
      <c r="C67" s="8">
        <f>'Inputs-Imperial'!$E$10+('Inputs-Imperial'!$E$9-'Inputs-Imperial'!$E$10)*(100-A67)/100</f>
        <v>4.2487698210000007</v>
      </c>
      <c r="D67" s="8">
        <f t="shared" si="13"/>
        <v>0.24081365599999849</v>
      </c>
      <c r="E67" s="8">
        <f t="shared" si="14"/>
        <v>1.0253048618888165</v>
      </c>
      <c r="F67" s="11">
        <f t="shared" si="17"/>
        <v>98.537600654532696</v>
      </c>
      <c r="G67" s="8">
        <f t="shared" si="18"/>
        <v>4.7149535518950563</v>
      </c>
      <c r="H67" s="8">
        <f t="shared" si="3"/>
        <v>4.4818616864475285</v>
      </c>
      <c r="I67" s="8">
        <f t="shared" si="15"/>
        <v>1.0820541815401021</v>
      </c>
      <c r="J67" s="11">
        <f t="shared" si="19"/>
        <v>103.99153148532319</v>
      </c>
      <c r="K67" s="550">
        <v>0</v>
      </c>
      <c r="L67" s="11">
        <f t="shared" si="4"/>
        <v>103.99153148532319</v>
      </c>
      <c r="M67" s="150">
        <f t="shared" si="5"/>
        <v>4375.1211539822889</v>
      </c>
      <c r="N67" s="149">
        <f t="shared" si="20"/>
        <v>25475.379142409918</v>
      </c>
      <c r="O67" s="11">
        <f t="shared" si="7"/>
        <v>10.399153148532319</v>
      </c>
      <c r="P67" s="345">
        <f t="shared" si="8"/>
        <v>437.51211539822884</v>
      </c>
      <c r="Q67" s="416">
        <f t="shared" si="9"/>
        <v>2547.5379142409924</v>
      </c>
      <c r="R67" s="8">
        <f t="shared" si="10"/>
        <v>-0.55000000000000004</v>
      </c>
      <c r="S67" s="552">
        <v>0</v>
      </c>
      <c r="T67" s="8">
        <f t="shared" si="11"/>
        <v>-0.55000000000000004</v>
      </c>
      <c r="U67" s="11">
        <f t="shared" si="16"/>
        <v>-256.34161337348957</v>
      </c>
      <c r="V67" s="345">
        <f t="shared" si="12"/>
        <v>-8834.9179877696697</v>
      </c>
      <c r="W67" s="12"/>
    </row>
    <row r="68" spans="1:23" x14ac:dyDescent="0.25">
      <c r="A68" s="2">
        <v>48</v>
      </c>
      <c r="B68" s="11">
        <f>A68/100*'Inputs-Imperial'!$E$5</f>
        <v>11.559055487999998</v>
      </c>
      <c r="C68" s="8">
        <f>'Inputs-Imperial'!$E$10+('Inputs-Imperial'!$E$9-'Inputs-Imperial'!$E$10)*(100-A68)/100</f>
        <v>4.2309712640000008</v>
      </c>
      <c r="D68" s="8">
        <f t="shared" si="13"/>
        <v>0.24081365600000026</v>
      </c>
      <c r="E68" s="8">
        <f t="shared" si="14"/>
        <v>1.0210187263061297</v>
      </c>
      <c r="F68" s="11">
        <f t="shared" si="17"/>
        <v>98.125678764666759</v>
      </c>
      <c r="G68" s="8">
        <f t="shared" si="18"/>
        <v>4.6861193577962261</v>
      </c>
      <c r="H68" s="8">
        <f t="shared" si="3"/>
        <v>4.4585453108981135</v>
      </c>
      <c r="I68" s="8">
        <f t="shared" si="15"/>
        <v>1.0764860475793943</v>
      </c>
      <c r="J68" s="11">
        <f t="shared" si="19"/>
        <v>103.45640229496667</v>
      </c>
      <c r="K68" s="550">
        <v>0</v>
      </c>
      <c r="L68" s="11">
        <f t="shared" si="4"/>
        <v>103.45640229496667</v>
      </c>
      <c r="M68" s="150">
        <f t="shared" si="5"/>
        <v>4271.6647516873218</v>
      </c>
      <c r="N68" s="149">
        <f t="shared" si="20"/>
        <v>24421.790221876505</v>
      </c>
      <c r="O68" s="11">
        <f t="shared" si="7"/>
        <v>10.345640229496667</v>
      </c>
      <c r="P68" s="345">
        <f t="shared" si="8"/>
        <v>427.16647516873218</v>
      </c>
      <c r="Q68" s="416">
        <f t="shared" si="9"/>
        <v>2442.1790221876508</v>
      </c>
      <c r="R68" s="8">
        <f t="shared" si="10"/>
        <v>-0.55000000000000004</v>
      </c>
      <c r="S68" s="552">
        <v>0</v>
      </c>
      <c r="T68" s="8">
        <f t="shared" si="11"/>
        <v>-0.55000000000000004</v>
      </c>
      <c r="U68" s="11">
        <f t="shared" si="16"/>
        <v>-253.69578153403688</v>
      </c>
      <c r="V68" s="345">
        <f t="shared" si="12"/>
        <v>-8581.2222062356323</v>
      </c>
      <c r="W68" s="12"/>
    </row>
    <row r="69" spans="1:23" x14ac:dyDescent="0.25">
      <c r="A69" s="2">
        <v>49</v>
      </c>
      <c r="B69" s="11">
        <f>A69/100*'Inputs-Imperial'!$E$5</f>
        <v>11.799869143999999</v>
      </c>
      <c r="C69" s="8">
        <f>'Inputs-Imperial'!$E$10+('Inputs-Imperial'!$E$9-'Inputs-Imperial'!$E$10)*(100-A69)/100</f>
        <v>4.213172707</v>
      </c>
      <c r="D69" s="8">
        <f t="shared" si="13"/>
        <v>0.24081365600000026</v>
      </c>
      <c r="E69" s="8">
        <f t="shared" si="14"/>
        <v>1.0167325907234352</v>
      </c>
      <c r="F69" s="11">
        <f t="shared" si="17"/>
        <v>97.713756874800083</v>
      </c>
      <c r="G69" s="8">
        <f t="shared" si="18"/>
        <v>4.6564939050695138</v>
      </c>
      <c r="H69" s="8">
        <f t="shared" si="3"/>
        <v>4.4348333060347569</v>
      </c>
      <c r="I69" s="8">
        <f t="shared" si="15"/>
        <v>1.0708235094679153</v>
      </c>
      <c r="J69" s="11">
        <f t="shared" si="19"/>
        <v>102.91220033137499</v>
      </c>
      <c r="K69" s="550">
        <v>0</v>
      </c>
      <c r="L69" s="11">
        <f t="shared" si="4"/>
        <v>102.91220033137499</v>
      </c>
      <c r="M69" s="150">
        <f t="shared" si="5"/>
        <v>4168.7525513559467</v>
      </c>
      <c r="N69" s="149">
        <f t="shared" si="20"/>
        <v>23393.115015816347</v>
      </c>
      <c r="O69" s="11">
        <f t="shared" si="7"/>
        <v>10.291220033137499</v>
      </c>
      <c r="P69" s="345">
        <f t="shared" si="8"/>
        <v>416.87525513559467</v>
      </c>
      <c r="Q69" s="416">
        <f t="shared" si="9"/>
        <v>2339.3115015816352</v>
      </c>
      <c r="R69" s="8">
        <f t="shared" si="10"/>
        <v>-0.55000000000000004</v>
      </c>
      <c r="S69" s="552">
        <v>0</v>
      </c>
      <c r="T69" s="8">
        <f t="shared" si="11"/>
        <v>-0.55000000000000004</v>
      </c>
      <c r="U69" s="11">
        <f t="shared" si="16"/>
        <v>-251.01914949479664</v>
      </c>
      <c r="V69" s="345">
        <f t="shared" si="12"/>
        <v>-8330.2030567408365</v>
      </c>
      <c r="W69" s="12"/>
    </row>
    <row r="70" spans="1:23" x14ac:dyDescent="0.25">
      <c r="A70" s="2">
        <v>50</v>
      </c>
      <c r="B70" s="11">
        <f>A70/100*'Inputs-Imperial'!$E$5</f>
        <v>12.040682799999999</v>
      </c>
      <c r="C70" s="8">
        <f>'Inputs-Imperial'!$E$10+('Inputs-Imperial'!$E$9-'Inputs-Imperial'!$E$10)*(100-A70)/100</f>
        <v>4.1953741500000001</v>
      </c>
      <c r="D70" s="8">
        <f t="shared" si="13"/>
        <v>0.24081365600000026</v>
      </c>
      <c r="E70" s="8">
        <f t="shared" si="14"/>
        <v>1.0124464551407408</v>
      </c>
      <c r="F70" s="11">
        <f t="shared" si="17"/>
        <v>97.301834984933421</v>
      </c>
      <c r="G70" s="8">
        <f t="shared" si="18"/>
        <v>4.6260619920012802</v>
      </c>
      <c r="H70" s="8">
        <f t="shared" si="3"/>
        <v>4.4107180710006402</v>
      </c>
      <c r="I70" s="8">
        <f t="shared" si="15"/>
        <v>1.0650647832198654</v>
      </c>
      <c r="J70" s="11">
        <f t="shared" si="19"/>
        <v>102.3587541434151</v>
      </c>
      <c r="K70" s="550">
        <v>0</v>
      </c>
      <c r="L70" s="11">
        <f t="shared" si="4"/>
        <v>102.3587541434151</v>
      </c>
      <c r="M70" s="150">
        <f t="shared" si="5"/>
        <v>4066.3937972125314</v>
      </c>
      <c r="N70" s="149">
        <f t="shared" si="20"/>
        <v>22389.222472964993</v>
      </c>
      <c r="O70" s="11">
        <f t="shared" si="7"/>
        <v>10.23587541434151</v>
      </c>
      <c r="P70" s="345">
        <f t="shared" si="8"/>
        <v>406.63937972125314</v>
      </c>
      <c r="Q70" s="416">
        <f t="shared" si="9"/>
        <v>2238.9222472964998</v>
      </c>
      <c r="R70" s="8">
        <f t="shared" si="10"/>
        <v>-0.55000000000000004</v>
      </c>
      <c r="S70" s="552">
        <v>0</v>
      </c>
      <c r="T70" s="8">
        <f t="shared" si="11"/>
        <v>-0.55000000000000004</v>
      </c>
      <c r="U70" s="11">
        <f t="shared" si="16"/>
        <v>-248.31158364400997</v>
      </c>
      <c r="V70" s="345">
        <f t="shared" si="12"/>
        <v>-8081.8914730968272</v>
      </c>
      <c r="W70" s="12"/>
    </row>
    <row r="71" spans="1:23" x14ac:dyDescent="0.25">
      <c r="A71" s="2">
        <v>51</v>
      </c>
      <c r="B71" s="11">
        <f>A71/100*'Inputs-Imperial'!$E$5</f>
        <v>12.281496455999999</v>
      </c>
      <c r="C71" s="8">
        <f>'Inputs-Imperial'!$E$10+('Inputs-Imperial'!$E$9-'Inputs-Imperial'!$E$10)*(100-A71)/100</f>
        <v>4.1775755930000003</v>
      </c>
      <c r="D71" s="8">
        <f t="shared" si="13"/>
        <v>0.24081365600000026</v>
      </c>
      <c r="E71" s="8">
        <f t="shared" si="14"/>
        <v>1.0081603195580462</v>
      </c>
      <c r="F71" s="11">
        <f t="shared" si="17"/>
        <v>96.889913095066731</v>
      </c>
      <c r="G71" s="8">
        <f t="shared" si="18"/>
        <v>4.5948075947944211</v>
      </c>
      <c r="H71" s="8">
        <f t="shared" si="3"/>
        <v>4.3861915938972107</v>
      </c>
      <c r="I71" s="8">
        <f t="shared" si="15"/>
        <v>1.0592079889528943</v>
      </c>
      <c r="J71" s="11">
        <f t="shared" si="19"/>
        <v>101.7958830637526</v>
      </c>
      <c r="K71" s="550">
        <v>0</v>
      </c>
      <c r="L71" s="11">
        <f t="shared" si="4"/>
        <v>101.7958830637526</v>
      </c>
      <c r="M71" s="150">
        <f t="shared" si="5"/>
        <v>3964.5979141487787</v>
      </c>
      <c r="N71" s="149">
        <f t="shared" si="20"/>
        <v>21409.979315922519</v>
      </c>
      <c r="O71" s="11">
        <f t="shared" si="7"/>
        <v>10.17958830637526</v>
      </c>
      <c r="P71" s="345">
        <f t="shared" si="8"/>
        <v>396.45979141487788</v>
      </c>
      <c r="Q71" s="416">
        <f t="shared" si="9"/>
        <v>2140.9979315922524</v>
      </c>
      <c r="R71" s="8">
        <f t="shared" si="10"/>
        <v>-0.55000000000000004</v>
      </c>
      <c r="S71" s="552">
        <v>0</v>
      </c>
      <c r="T71" s="8">
        <f t="shared" si="11"/>
        <v>-0.55000000000000004</v>
      </c>
      <c r="U71" s="11">
        <f t="shared" si="16"/>
        <v>-245.5729356231663</v>
      </c>
      <c r="V71" s="345">
        <f t="shared" si="12"/>
        <v>-7836.3185374736613</v>
      </c>
      <c r="W71" s="12"/>
    </row>
    <row r="72" spans="1:23" x14ac:dyDescent="0.25">
      <c r="A72" s="2">
        <v>52</v>
      </c>
      <c r="B72" s="11">
        <f>A72/100*'Inputs-Imperial'!$E$5</f>
        <v>12.522310112</v>
      </c>
      <c r="C72" s="8">
        <f>'Inputs-Imperial'!$E$10+('Inputs-Imperial'!$E$9-'Inputs-Imperial'!$E$10)*(100-A72)/100</f>
        <v>4.1597770360000004</v>
      </c>
      <c r="D72" s="8">
        <f t="shared" si="13"/>
        <v>0.24081365600000026</v>
      </c>
      <c r="E72" s="8">
        <f t="shared" si="14"/>
        <v>1.003874183975352</v>
      </c>
      <c r="F72" s="11">
        <f t="shared" si="17"/>
        <v>96.477991205200084</v>
      </c>
      <c r="G72" s="8">
        <f t="shared" si="18"/>
        <v>4.5627138115352404</v>
      </c>
      <c r="H72" s="8">
        <f t="shared" si="3"/>
        <v>4.3612454237676204</v>
      </c>
      <c r="I72" s="8">
        <f t="shared" si="15"/>
        <v>1.0532511444268033</v>
      </c>
      <c r="J72" s="11">
        <f t="shared" si="19"/>
        <v>101.22339658788457</v>
      </c>
      <c r="K72" s="550">
        <v>0</v>
      </c>
      <c r="L72" s="11">
        <f t="shared" si="4"/>
        <v>101.22339658788457</v>
      </c>
      <c r="M72" s="150">
        <f t="shared" si="5"/>
        <v>3863.3745175608942</v>
      </c>
      <c r="N72" s="149">
        <f t="shared" si="20"/>
        <v>20455.249997646377</v>
      </c>
      <c r="O72" s="11">
        <f t="shared" si="7"/>
        <v>10.122339658788457</v>
      </c>
      <c r="P72" s="345">
        <f t="shared" si="8"/>
        <v>386.33745175608942</v>
      </c>
      <c r="Q72" s="416">
        <f t="shared" si="9"/>
        <v>2045.5249997646381</v>
      </c>
      <c r="R72" s="8">
        <f t="shared" si="10"/>
        <v>-0.55000000000000004</v>
      </c>
      <c r="S72" s="552">
        <v>0</v>
      </c>
      <c r="T72" s="8">
        <f t="shared" si="11"/>
        <v>-0.55000000000000004</v>
      </c>
      <c r="U72" s="11">
        <f t="shared" si="16"/>
        <v>-242.8030413309196</v>
      </c>
      <c r="V72" s="345">
        <f t="shared" si="12"/>
        <v>-7593.5154961427415</v>
      </c>
      <c r="W72" s="12"/>
    </row>
    <row r="73" spans="1:23" x14ac:dyDescent="0.25">
      <c r="A73" s="2">
        <v>53</v>
      </c>
      <c r="B73" s="11">
        <f>A73/100*'Inputs-Imperial'!$E$5</f>
        <v>12.763123768</v>
      </c>
      <c r="C73" s="8">
        <f>'Inputs-Imperial'!$E$10+('Inputs-Imperial'!$E$9-'Inputs-Imperial'!$E$10)*(100-A73)/100</f>
        <v>4.1419784790000005</v>
      </c>
      <c r="D73" s="8">
        <f t="shared" si="13"/>
        <v>0.24081365600000026</v>
      </c>
      <c r="E73" s="8">
        <f t="shared" si="14"/>
        <v>0.99958804839265747</v>
      </c>
      <c r="F73" s="11">
        <f t="shared" si="17"/>
        <v>96.066069315333394</v>
      </c>
      <c r="G73" s="8">
        <f t="shared" si="18"/>
        <v>4.5297628008782862</v>
      </c>
      <c r="H73" s="8">
        <f t="shared" si="3"/>
        <v>4.3358706399391433</v>
      </c>
      <c r="I73" s="8">
        <f t="shared" si="15"/>
        <v>1.0471921579787784</v>
      </c>
      <c r="J73" s="11">
        <f t="shared" si="19"/>
        <v>100.64109369517533</v>
      </c>
      <c r="K73" s="550">
        <v>0</v>
      </c>
      <c r="L73" s="11">
        <f t="shared" si="4"/>
        <v>100.64109369517533</v>
      </c>
      <c r="M73" s="150">
        <f t="shared" si="5"/>
        <v>3762.733423865719</v>
      </c>
      <c r="N73" s="149">
        <f t="shared" si="20"/>
        <v>19524.8966555753</v>
      </c>
      <c r="O73" s="11">
        <f t="shared" si="7"/>
        <v>10.064109369517533</v>
      </c>
      <c r="P73" s="345">
        <f t="shared" si="8"/>
        <v>376.27334238657187</v>
      </c>
      <c r="Q73" s="416">
        <f t="shared" si="9"/>
        <v>1952.4896655575305</v>
      </c>
      <c r="R73" s="8">
        <f t="shared" si="10"/>
        <v>-0.55000000000000004</v>
      </c>
      <c r="S73" s="552">
        <v>0</v>
      </c>
      <c r="T73" s="8">
        <f t="shared" si="11"/>
        <v>-0.55000000000000004</v>
      </c>
      <c r="U73" s="11">
        <f t="shared" si="16"/>
        <v>-240.00171982835133</v>
      </c>
      <c r="V73" s="345">
        <f t="shared" si="12"/>
        <v>-7353.5137763143903</v>
      </c>
      <c r="W73" s="12"/>
    </row>
    <row r="74" spans="1:23" x14ac:dyDescent="0.25">
      <c r="A74" s="2">
        <v>54</v>
      </c>
      <c r="B74" s="11">
        <f>A74/100*'Inputs-Imperial'!$E$5</f>
        <v>13.003937424</v>
      </c>
      <c r="C74" s="8">
        <f>'Inputs-Imperial'!$E$10+('Inputs-Imperial'!$E$9-'Inputs-Imperial'!$E$10)*(100-A74)/100</f>
        <v>4.1241799220000006</v>
      </c>
      <c r="D74" s="8">
        <f t="shared" si="13"/>
        <v>0.24081365600000026</v>
      </c>
      <c r="E74" s="8">
        <f t="shared" si="14"/>
        <v>0.99530191280996338</v>
      </c>
      <c r="F74" s="11">
        <f t="shared" si="17"/>
        <v>95.654147425466761</v>
      </c>
      <c r="G74" s="8">
        <f t="shared" si="18"/>
        <v>4.4959357148339274</v>
      </c>
      <c r="H74" s="8">
        <f t="shared" si="3"/>
        <v>4.310057818416964</v>
      </c>
      <c r="I74" s="8">
        <f t="shared" si="15"/>
        <v>1.04102882078559</v>
      </c>
      <c r="J74" s="11">
        <f t="shared" si="19"/>
        <v>100.04876210521016</v>
      </c>
      <c r="K74" s="550">
        <v>0</v>
      </c>
      <c r="L74" s="11">
        <f t="shared" si="4"/>
        <v>100.04876210521016</v>
      </c>
      <c r="M74" s="150">
        <f t="shared" si="5"/>
        <v>3662.6846617605088</v>
      </c>
      <c r="N74" s="149">
        <f t="shared" si="20"/>
        <v>18618.779063220798</v>
      </c>
      <c r="O74" s="11">
        <f t="shared" si="7"/>
        <v>10.004876210521015</v>
      </c>
      <c r="P74" s="345">
        <f t="shared" si="8"/>
        <v>366.26846617605088</v>
      </c>
      <c r="Q74" s="416">
        <f t="shared" si="9"/>
        <v>1861.8779063220802</v>
      </c>
      <c r="R74" s="8">
        <f t="shared" si="10"/>
        <v>-0.55000000000000004</v>
      </c>
      <c r="S74" s="552">
        <v>0</v>
      </c>
      <c r="T74" s="8">
        <f t="shared" si="11"/>
        <v>-0.55000000000000004</v>
      </c>
      <c r="U74" s="11">
        <f t="shared" si="16"/>
        <v>-237.16877213397495</v>
      </c>
      <c r="V74" s="345">
        <f t="shared" si="12"/>
        <v>-7116.3450041804153</v>
      </c>
      <c r="W74" s="12"/>
    </row>
    <row r="75" spans="1:23" x14ac:dyDescent="0.25">
      <c r="A75" s="2">
        <v>55</v>
      </c>
      <c r="B75" s="11">
        <f>A75/100*'Inputs-Imperial'!$E$5</f>
        <v>13.24475108</v>
      </c>
      <c r="C75" s="8">
        <f>'Inputs-Imperial'!$E$10+('Inputs-Imperial'!$E$9-'Inputs-Imperial'!$E$10)*(100-A75)/100</f>
        <v>4.1063813650000007</v>
      </c>
      <c r="D75" s="8">
        <f t="shared" si="13"/>
        <v>0.24081365600000026</v>
      </c>
      <c r="E75" s="8">
        <f t="shared" si="14"/>
        <v>0.99101577722726875</v>
      </c>
      <c r="F75" s="11">
        <f t="shared" si="17"/>
        <v>95.24222553560007</v>
      </c>
      <c r="G75" s="8">
        <f t="shared" si="18"/>
        <v>4.4612126249563735</v>
      </c>
      <c r="H75" s="8">
        <f t="shared" si="3"/>
        <v>4.2837969949781876</v>
      </c>
      <c r="I75" s="8">
        <f t="shared" si="15"/>
        <v>1.0347587983734432</v>
      </c>
      <c r="J75" s="11">
        <f t="shared" si="19"/>
        <v>99.446177461843774</v>
      </c>
      <c r="K75" s="550">
        <v>0</v>
      </c>
      <c r="L75" s="11">
        <f t="shared" si="4"/>
        <v>99.446177461843774</v>
      </c>
      <c r="M75" s="150">
        <f t="shared" si="5"/>
        <v>3563.2384842986648</v>
      </c>
      <c r="N75" s="149">
        <f t="shared" si="20"/>
        <v>17736.754579047127</v>
      </c>
      <c r="O75" s="11">
        <f t="shared" si="7"/>
        <v>9.9446177461843774</v>
      </c>
      <c r="P75" s="345">
        <f t="shared" si="8"/>
        <v>356.32384842986653</v>
      </c>
      <c r="Q75" s="416">
        <f t="shared" si="9"/>
        <v>1773.6754579047129</v>
      </c>
      <c r="R75" s="8">
        <f t="shared" si="10"/>
        <v>-0.55000000000000004</v>
      </c>
      <c r="S75" s="552">
        <v>0</v>
      </c>
      <c r="T75" s="8">
        <f t="shared" si="11"/>
        <v>-0.55000000000000004</v>
      </c>
      <c r="U75" s="11">
        <f t="shared" si="16"/>
        <v>-234.30397989521268</v>
      </c>
      <c r="V75" s="345">
        <f t="shared" si="12"/>
        <v>-6882.0410242852031</v>
      </c>
      <c r="W75" s="12"/>
    </row>
    <row r="76" spans="1:23" x14ac:dyDescent="0.25">
      <c r="A76" s="2">
        <v>56</v>
      </c>
      <c r="B76" s="11">
        <f>A76/100*'Inputs-Imperial'!$E$5</f>
        <v>13.485564736000001</v>
      </c>
      <c r="C76" s="8">
        <f>'Inputs-Imperial'!$E$10+('Inputs-Imperial'!$E$9-'Inputs-Imperial'!$E$10)*(100-A76)/100</f>
        <v>4.088582808</v>
      </c>
      <c r="D76" s="8">
        <f t="shared" si="13"/>
        <v>0.24081365600000026</v>
      </c>
      <c r="E76" s="8">
        <f t="shared" si="14"/>
        <v>0.98672964164457444</v>
      </c>
      <c r="F76" s="11">
        <f t="shared" si="17"/>
        <v>94.830303645733409</v>
      </c>
      <c r="G76" s="8">
        <f t="shared" si="18"/>
        <v>4.4255724411281889</v>
      </c>
      <c r="H76" s="8">
        <f t="shared" si="3"/>
        <v>4.2570776245640944</v>
      </c>
      <c r="I76" s="8">
        <f t="shared" si="15"/>
        <v>1.0283796212847942</v>
      </c>
      <c r="J76" s="11">
        <f t="shared" si="19"/>
        <v>98.8331024362286</v>
      </c>
      <c r="K76" s="550">
        <v>0</v>
      </c>
      <c r="L76" s="11">
        <f t="shared" si="4"/>
        <v>98.8331024362286</v>
      </c>
      <c r="M76" s="150">
        <f t="shared" si="5"/>
        <v>3464.4053818624361</v>
      </c>
      <c r="N76" s="149">
        <f t="shared" si="20"/>
        <v>16878.678092443264</v>
      </c>
      <c r="O76" s="11">
        <f t="shared" si="7"/>
        <v>9.8833102436228604</v>
      </c>
      <c r="P76" s="345">
        <f t="shared" si="8"/>
        <v>346.44053818624366</v>
      </c>
      <c r="Q76" s="416">
        <f t="shared" si="9"/>
        <v>1687.8678092443267</v>
      </c>
      <c r="R76" s="8">
        <f t="shared" si="10"/>
        <v>-0.55000000000000004</v>
      </c>
      <c r="S76" s="552">
        <v>0</v>
      </c>
      <c r="T76" s="8">
        <f t="shared" si="11"/>
        <v>-0.55000000000000004</v>
      </c>
      <c r="U76" s="11">
        <f t="shared" si="16"/>
        <v>-231.40710392113596</v>
      </c>
      <c r="V76" s="345">
        <f t="shared" si="12"/>
        <v>-6650.6339203640673</v>
      </c>
      <c r="W76" s="12"/>
    </row>
    <row r="77" spans="1:23" x14ac:dyDescent="0.25">
      <c r="A77" s="2">
        <v>57</v>
      </c>
      <c r="B77" s="11">
        <f>A77/100*'Inputs-Imperial'!$E$5</f>
        <v>13.726378391999997</v>
      </c>
      <c r="C77" s="8">
        <f>'Inputs-Imperial'!$E$10+('Inputs-Imperial'!$E$9-'Inputs-Imperial'!$E$10)*(100-A77)/100</f>
        <v>4.0707842510000001</v>
      </c>
      <c r="D77" s="8">
        <f t="shared" si="13"/>
        <v>0.24081365599999671</v>
      </c>
      <c r="E77" s="8">
        <f t="shared" si="14"/>
        <v>0.98244350606186559</v>
      </c>
      <c r="F77" s="11">
        <f t="shared" si="17"/>
        <v>94.418381755865354</v>
      </c>
      <c r="G77" s="8">
        <f t="shared" si="18"/>
        <v>4.3889928220183752</v>
      </c>
      <c r="H77" s="8">
        <f t="shared" si="3"/>
        <v>4.2298885365091881</v>
      </c>
      <c r="I77" s="8">
        <f t="shared" si="15"/>
        <v>1.0218886747981573</v>
      </c>
      <c r="J77" s="11">
        <f t="shared" si="19"/>
        <v>98.209285738830033</v>
      </c>
      <c r="K77" s="550">
        <v>0</v>
      </c>
      <c r="L77" s="11">
        <f t="shared" si="4"/>
        <v>98.209285738830033</v>
      </c>
      <c r="M77" s="150">
        <f t="shared" si="5"/>
        <v>3366.1960961236059</v>
      </c>
      <c r="N77" s="149">
        <f t="shared" si="20"/>
        <v>16044.401966570906</v>
      </c>
      <c r="O77" s="11">
        <f t="shared" si="7"/>
        <v>9.8209285738830037</v>
      </c>
      <c r="P77" s="345">
        <f t="shared" si="8"/>
        <v>336.61960961236065</v>
      </c>
      <c r="Q77" s="416">
        <f t="shared" si="9"/>
        <v>1604.4401966570908</v>
      </c>
      <c r="R77" s="8">
        <f t="shared" si="10"/>
        <v>-0.55000000000000004</v>
      </c>
      <c r="S77" s="552">
        <v>0</v>
      </c>
      <c r="T77" s="8">
        <f t="shared" si="11"/>
        <v>-0.55000000000000004</v>
      </c>
      <c r="U77" s="11">
        <f t="shared" si="16"/>
        <v>-228.47788255898786</v>
      </c>
      <c r="V77" s="345">
        <f t="shared" si="12"/>
        <v>-6422.156037805079</v>
      </c>
      <c r="W77" s="12"/>
    </row>
    <row r="78" spans="1:23" x14ac:dyDescent="0.25">
      <c r="A78" s="2">
        <v>58</v>
      </c>
      <c r="B78" s="11">
        <f>A78/100*'Inputs-Imperial'!$E$5</f>
        <v>13.967192047999998</v>
      </c>
      <c r="C78" s="8">
        <f>'Inputs-Imperial'!$E$10+('Inputs-Imperial'!$E$9-'Inputs-Imperial'!$E$10)*(100-A78)/100</f>
        <v>4.0529856940000002</v>
      </c>
      <c r="D78" s="8">
        <f t="shared" si="13"/>
        <v>0.24081365600000026</v>
      </c>
      <c r="E78" s="8">
        <f t="shared" si="14"/>
        <v>0.9781573704791855</v>
      </c>
      <c r="F78" s="11">
        <f t="shared" si="17"/>
        <v>94.006459866000071</v>
      </c>
      <c r="G78" s="8">
        <f t="shared" si="18"/>
        <v>4.3514500761512389</v>
      </c>
      <c r="H78" s="8">
        <f t="shared" si="3"/>
        <v>4.2022178850756191</v>
      </c>
      <c r="I78" s="8">
        <f t="shared" si="15"/>
        <v>1.0152831875814585</v>
      </c>
      <c r="J78" s="11">
        <f t="shared" si="19"/>
        <v>97.5744610289495</v>
      </c>
      <c r="K78" s="550">
        <v>0</v>
      </c>
      <c r="L78" s="11">
        <f t="shared" si="4"/>
        <v>97.5744610289495</v>
      </c>
      <c r="M78" s="150">
        <f t="shared" si="5"/>
        <v>3268.6216350946565</v>
      </c>
      <c r="N78" s="149">
        <f t="shared" si="20"/>
        <v>15233.775977850451</v>
      </c>
      <c r="O78" s="11">
        <f t="shared" si="7"/>
        <v>9.7574461028949493</v>
      </c>
      <c r="P78" s="345">
        <f t="shared" si="8"/>
        <v>326.86216350946569</v>
      </c>
      <c r="Q78" s="416">
        <f t="shared" si="9"/>
        <v>1523.3775977850455</v>
      </c>
      <c r="R78" s="8">
        <f t="shared" si="10"/>
        <v>-0.55000000000000004</v>
      </c>
      <c r="S78" s="552">
        <v>0</v>
      </c>
      <c r="T78" s="8">
        <f t="shared" si="11"/>
        <v>-0.55000000000000004</v>
      </c>
      <c r="U78" s="11">
        <f t="shared" si="16"/>
        <v>-225.51602989435608</v>
      </c>
      <c r="V78" s="345">
        <f t="shared" si="12"/>
        <v>-6196.6400079107225</v>
      </c>
      <c r="W78" s="12"/>
    </row>
    <row r="79" spans="1:23" x14ac:dyDescent="0.25">
      <c r="A79" s="2">
        <v>59</v>
      </c>
      <c r="B79" s="11">
        <f>A79/100*'Inputs-Imperial'!$E$5</f>
        <v>14.208005703999998</v>
      </c>
      <c r="C79" s="8">
        <f>'Inputs-Imperial'!$E$10+('Inputs-Imperial'!$E$9-'Inputs-Imperial'!$E$10)*(100-A79)/100</f>
        <v>4.0351871370000003</v>
      </c>
      <c r="D79" s="8">
        <f t="shared" si="13"/>
        <v>0.24081365600000026</v>
      </c>
      <c r="E79" s="8">
        <f t="shared" si="14"/>
        <v>0.9738712348964913</v>
      </c>
      <c r="F79" s="11">
        <f t="shared" si="17"/>
        <v>93.594537976133424</v>
      </c>
      <c r="G79" s="8">
        <f t="shared" si="18"/>
        <v>4.3129190523584766</v>
      </c>
      <c r="H79" s="8">
        <f t="shared" si="3"/>
        <v>4.1740530946792385</v>
      </c>
      <c r="I79" s="8">
        <f t="shared" si="15"/>
        <v>1.0085602191407357</v>
      </c>
      <c r="J79" s="11">
        <f t="shared" si="19"/>
        <v>96.928345708473415</v>
      </c>
      <c r="K79" s="550">
        <v>0</v>
      </c>
      <c r="L79" s="11">
        <f t="shared" si="4"/>
        <v>96.928345708473415</v>
      </c>
      <c r="M79" s="150">
        <f t="shared" si="5"/>
        <v>3171.6932893861831</v>
      </c>
      <c r="N79" s="149">
        <f t="shared" si="20"/>
        <v>14446.647251822609</v>
      </c>
      <c r="O79" s="11">
        <f t="shared" si="7"/>
        <v>9.6928345708473422</v>
      </c>
      <c r="P79" s="345">
        <f t="shared" si="8"/>
        <v>317.16932893861832</v>
      </c>
      <c r="Q79" s="416">
        <f t="shared" si="9"/>
        <v>1444.6647251822612</v>
      </c>
      <c r="R79" s="8">
        <f t="shared" si="10"/>
        <v>-0.55000000000000004</v>
      </c>
      <c r="S79" s="552">
        <v>0</v>
      </c>
      <c r="T79" s="8">
        <f t="shared" si="11"/>
        <v>-0.55000000000000004</v>
      </c>
      <c r="U79" s="11">
        <f t="shared" si="16"/>
        <v>-222.52123375162591</v>
      </c>
      <c r="V79" s="345">
        <f t="shared" si="12"/>
        <v>-5974.1187741590966</v>
      </c>
      <c r="W79" s="12"/>
    </row>
    <row r="80" spans="1:23" x14ac:dyDescent="0.25">
      <c r="A80" s="2">
        <v>60</v>
      </c>
      <c r="B80" s="11">
        <f>A80/100*'Inputs-Imperial'!$E$5</f>
        <v>14.448819359999998</v>
      </c>
      <c r="C80" s="8">
        <f>'Inputs-Imperial'!$E$10+('Inputs-Imperial'!$E$9-'Inputs-Imperial'!$E$10)*(100-A80)/100</f>
        <v>4.0173885800000004</v>
      </c>
      <c r="D80" s="8">
        <f t="shared" si="13"/>
        <v>0.24081365600000026</v>
      </c>
      <c r="E80" s="8">
        <f t="shared" si="14"/>
        <v>0.96958509931379677</v>
      </c>
      <c r="F80" s="11">
        <f t="shared" si="17"/>
        <v>93.182616086266734</v>
      </c>
      <c r="G80" s="8">
        <f t="shared" si="18"/>
        <v>4.2733730181917373</v>
      </c>
      <c r="H80" s="8">
        <f t="shared" si="3"/>
        <v>4.1453807990958689</v>
      </c>
      <c r="I80" s="8">
        <f t="shared" si="15"/>
        <v>1.0017166459051507</v>
      </c>
      <c r="J80" s="11">
        <f t="shared" si="19"/>
        <v>96.27063958456425</v>
      </c>
      <c r="K80" s="550">
        <v>0</v>
      </c>
      <c r="L80" s="11">
        <f t="shared" si="4"/>
        <v>96.27063958456425</v>
      </c>
      <c r="M80" s="150">
        <f t="shared" si="5"/>
        <v>3075.4226498016187</v>
      </c>
      <c r="N80" s="149">
        <f t="shared" si="20"/>
        <v>13682.860195094856</v>
      </c>
      <c r="O80" s="11">
        <f t="shared" si="7"/>
        <v>9.627063958456425</v>
      </c>
      <c r="P80" s="345">
        <f t="shared" si="8"/>
        <v>307.54226498016192</v>
      </c>
      <c r="Q80" s="416">
        <f t="shared" si="9"/>
        <v>1368.2860195094859</v>
      </c>
      <c r="R80" s="8">
        <f t="shared" si="10"/>
        <v>-0.55000000000000004</v>
      </c>
      <c r="S80" s="552">
        <v>0</v>
      </c>
      <c r="T80" s="8">
        <f t="shared" si="11"/>
        <v>-0.55000000000000004</v>
      </c>
      <c r="U80" s="11">
        <f t="shared" si="16"/>
        <v>-219.49315346779224</v>
      </c>
      <c r="V80" s="345">
        <f t="shared" si="12"/>
        <v>-5754.625620691304</v>
      </c>
      <c r="W80" s="12"/>
    </row>
    <row r="81" spans="1:23" x14ac:dyDescent="0.25">
      <c r="A81" s="2">
        <v>61</v>
      </c>
      <c r="B81" s="11">
        <f>A81/100*'Inputs-Imperial'!$E$5</f>
        <v>14.689633015999998</v>
      </c>
      <c r="C81" s="8">
        <f>'Inputs-Imperial'!$E$10+('Inputs-Imperial'!$E$9-'Inputs-Imperial'!$E$10)*(100-A81)/100</f>
        <v>3.9995900230000005</v>
      </c>
      <c r="D81" s="8">
        <f t="shared" si="13"/>
        <v>0.24081365600000026</v>
      </c>
      <c r="E81" s="8">
        <f t="shared" si="14"/>
        <v>0.96529896373110258</v>
      </c>
      <c r="F81" s="11">
        <f t="shared" si="17"/>
        <v>92.770694196400086</v>
      </c>
      <c r="G81" s="8">
        <f t="shared" si="18"/>
        <v>4.2327835246411896</v>
      </c>
      <c r="H81" s="8">
        <f t="shared" si="3"/>
        <v>4.1161867738205951</v>
      </c>
      <c r="I81" s="8">
        <f t="shared" si="15"/>
        <v>0.99474914576253126</v>
      </c>
      <c r="J81" s="11">
        <f t="shared" si="19"/>
        <v>95.601023383438417</v>
      </c>
      <c r="K81" s="550">
        <v>0</v>
      </c>
      <c r="L81" s="11">
        <f t="shared" si="4"/>
        <v>95.601023383438417</v>
      </c>
      <c r="M81" s="150">
        <f t="shared" si="5"/>
        <v>2979.8216264181801</v>
      </c>
      <c r="N81" s="149">
        <f t="shared" si="20"/>
        <v>12942.25642305092</v>
      </c>
      <c r="O81" s="11">
        <f t="shared" si="7"/>
        <v>9.5601023383438424</v>
      </c>
      <c r="P81" s="345">
        <f t="shared" si="8"/>
        <v>297.98216264181809</v>
      </c>
      <c r="Q81" s="416">
        <f t="shared" si="9"/>
        <v>1294.2256423050922</v>
      </c>
      <c r="R81" s="8">
        <f t="shared" si="10"/>
        <v>-0.55000000000000004</v>
      </c>
      <c r="S81" s="552">
        <v>0</v>
      </c>
      <c r="T81" s="8">
        <f t="shared" si="11"/>
        <v>-0.55000000000000004</v>
      </c>
      <c r="U81" s="11">
        <f t="shared" si="16"/>
        <v>-216.43141740804248</v>
      </c>
      <c r="V81" s="345">
        <f t="shared" si="12"/>
        <v>-5538.1942032832612</v>
      </c>
      <c r="W81" s="12"/>
    </row>
    <row r="82" spans="1:23" x14ac:dyDescent="0.25">
      <c r="A82" s="2">
        <v>62</v>
      </c>
      <c r="B82" s="11">
        <f>A82/100*'Inputs-Imperial'!$E$5</f>
        <v>14.930446671999999</v>
      </c>
      <c r="C82" s="8">
        <f>'Inputs-Imperial'!$E$10+('Inputs-Imperial'!$E$9-'Inputs-Imperial'!$E$10)*(100-A82)/100</f>
        <v>3.9817914660000007</v>
      </c>
      <c r="D82" s="8">
        <f t="shared" si="13"/>
        <v>0.24081365600000026</v>
      </c>
      <c r="E82" s="8">
        <f t="shared" si="14"/>
        <v>0.96101282814840805</v>
      </c>
      <c r="F82" s="11">
        <f t="shared" si="17"/>
        <v>92.35877230653341</v>
      </c>
      <c r="G82" s="8">
        <f t="shared" si="18"/>
        <v>4.1911202552290163</v>
      </c>
      <c r="H82" s="8">
        <f t="shared" si="3"/>
        <v>4.0864558606145085</v>
      </c>
      <c r="I82" s="8">
        <f t="shared" si="15"/>
        <v>0.98765418082989553</v>
      </c>
      <c r="J82" s="11">
        <f t="shared" si="19"/>
        <v>94.919157094516251</v>
      </c>
      <c r="K82" s="550">
        <v>0</v>
      </c>
      <c r="L82" s="11">
        <f t="shared" si="4"/>
        <v>94.919157094516251</v>
      </c>
      <c r="M82" s="150">
        <f t="shared" si="5"/>
        <v>2884.9024693236638</v>
      </c>
      <c r="N82" s="149">
        <f t="shared" si="20"/>
        <v>12224.674682965291</v>
      </c>
      <c r="O82" s="11">
        <f t="shared" si="7"/>
        <v>9.4919157094516251</v>
      </c>
      <c r="P82" s="345">
        <f t="shared" si="8"/>
        <v>288.49024693236646</v>
      </c>
      <c r="Q82" s="416">
        <f t="shared" si="9"/>
        <v>1222.4674682965292</v>
      </c>
      <c r="R82" s="8">
        <f t="shared" si="10"/>
        <v>-0.55000000000000004</v>
      </c>
      <c r="S82" s="552">
        <v>0</v>
      </c>
      <c r="T82" s="8">
        <f t="shared" si="11"/>
        <v>-0.55000000000000004</v>
      </c>
      <c r="U82" s="11">
        <f t="shared" si="16"/>
        <v>-213.33562018641135</v>
      </c>
      <c r="V82" s="345">
        <f t="shared" si="12"/>
        <v>-5324.8585830968495</v>
      </c>
      <c r="W82" s="12"/>
    </row>
    <row r="83" spans="1:23" x14ac:dyDescent="0.25">
      <c r="A83" s="2">
        <v>63</v>
      </c>
      <c r="B83" s="11">
        <f>A83/100*'Inputs-Imperial'!$E$5</f>
        <v>15.171260327999999</v>
      </c>
      <c r="C83" s="8">
        <f>'Inputs-Imperial'!$E$10+('Inputs-Imperial'!$E$9-'Inputs-Imperial'!$E$10)*(100-A83)/100</f>
        <v>3.9639929090000003</v>
      </c>
      <c r="D83" s="8">
        <f t="shared" si="13"/>
        <v>0.24081365600000026</v>
      </c>
      <c r="E83" s="8">
        <f t="shared" si="14"/>
        <v>0.95672669256571363</v>
      </c>
      <c r="F83" s="11">
        <f t="shared" si="17"/>
        <v>91.946850416666749</v>
      </c>
      <c r="G83" s="8">
        <f t="shared" si="18"/>
        <v>4.1483508572154655</v>
      </c>
      <c r="H83" s="8">
        <f t="shared" si="3"/>
        <v>4.0561718831077327</v>
      </c>
      <c r="I83" s="8">
        <f t="shared" si="15"/>
        <v>0.98042797820639294</v>
      </c>
      <c r="J83" s="11">
        <f t="shared" si="19"/>
        <v>94.224678120670674</v>
      </c>
      <c r="K83" s="550">
        <v>0</v>
      </c>
      <c r="L83" s="11">
        <f t="shared" si="4"/>
        <v>94.224678120670674</v>
      </c>
      <c r="M83" s="150">
        <f t="shared" si="5"/>
        <v>2790.6777912029929</v>
      </c>
      <c r="N83" s="149">
        <f t="shared" si="20"/>
        <v>11529.950772124032</v>
      </c>
      <c r="O83" s="11">
        <f t="shared" si="7"/>
        <v>9.4224678120670671</v>
      </c>
      <c r="P83" s="345">
        <f t="shared" si="8"/>
        <v>279.06777912029941</v>
      </c>
      <c r="Q83" s="416">
        <f t="shared" si="9"/>
        <v>1152.9950772124032</v>
      </c>
      <c r="R83" s="8">
        <f t="shared" si="10"/>
        <v>-0.55000000000000004</v>
      </c>
      <c r="S83" s="552">
        <v>0</v>
      </c>
      <c r="T83" s="8">
        <f t="shared" si="11"/>
        <v>-0.55000000000000004</v>
      </c>
      <c r="U83" s="11">
        <f t="shared" si="16"/>
        <v>-210.20531954836741</v>
      </c>
      <c r="V83" s="345">
        <f t="shared" si="12"/>
        <v>-5114.6532635484818</v>
      </c>
      <c r="W83" s="12"/>
    </row>
    <row r="84" spans="1:23" x14ac:dyDescent="0.25">
      <c r="A84" s="2">
        <v>64</v>
      </c>
      <c r="B84" s="11">
        <f>A84/100*'Inputs-Imperial'!$E$5</f>
        <v>15.412073983999999</v>
      </c>
      <c r="C84" s="8">
        <f>'Inputs-Imperial'!$E$10+('Inputs-Imperial'!$E$9-'Inputs-Imperial'!$E$10)*(100-A84)/100</f>
        <v>3.946194352</v>
      </c>
      <c r="D84" s="8">
        <f t="shared" si="13"/>
        <v>0.24081365600000026</v>
      </c>
      <c r="E84" s="8">
        <f t="shared" si="14"/>
        <v>0.95244055698301922</v>
      </c>
      <c r="F84" s="11">
        <f t="shared" ref="F84:F115" si="21">E84*$D$9</f>
        <v>91.534928526800073</v>
      </c>
      <c r="G84" s="8">
        <f t="shared" ref="G84:G120" si="22">(8*$D$7/PI()/$D$8)*SQRT(1-(A84/100)^2)</f>
        <v>4.104440752256262</v>
      </c>
      <c r="H84" s="8">
        <f t="shared" si="3"/>
        <v>4.025317552128131</v>
      </c>
      <c r="I84" s="8">
        <f t="shared" si="15"/>
        <v>0.97306650841226272</v>
      </c>
      <c r="J84" s="11">
        <f t="shared" ref="J84:J115" si="23">I84*$D$9</f>
        <v>93.517199206089003</v>
      </c>
      <c r="K84" s="550">
        <v>0</v>
      </c>
      <c r="L84" s="11">
        <f t="shared" si="4"/>
        <v>93.517199206089003</v>
      </c>
      <c r="M84" s="150">
        <f t="shared" ref="M84:M117" si="24">M85+L85</f>
        <v>2697.1605919969038</v>
      </c>
      <c r="N84" s="149">
        <f t="shared" ref="N84:N115" si="25">M84*D85+N85</f>
        <v>10857.917450506433</v>
      </c>
      <c r="O84" s="11">
        <f t="shared" si="7"/>
        <v>9.3517199206089003</v>
      </c>
      <c r="P84" s="345">
        <f t="shared" si="8"/>
        <v>269.71605919969051</v>
      </c>
      <c r="Q84" s="416">
        <f t="shared" ref="Q84:Q118" si="26">P84*D85+Q85</f>
        <v>1085.7917450506434</v>
      </c>
      <c r="R84" s="8">
        <f t="shared" si="10"/>
        <v>-0.55000000000000004</v>
      </c>
      <c r="S84" s="552">
        <v>0</v>
      </c>
      <c r="T84" s="8">
        <f t="shared" si="11"/>
        <v>-0.55000000000000004</v>
      </c>
      <c r="U84" s="11">
        <f t="shared" si="16"/>
        <v>-207.04003286457316</v>
      </c>
      <c r="V84" s="345">
        <f t="shared" ref="V84:V118" si="27">V85+U85</f>
        <v>-4907.613230683909</v>
      </c>
      <c r="W84" s="12"/>
    </row>
    <row r="85" spans="1:23" x14ac:dyDescent="0.25">
      <c r="A85" s="2">
        <v>65</v>
      </c>
      <c r="B85" s="11">
        <f>A85/100*'Inputs-Imperial'!$E$5</f>
        <v>15.652887639999999</v>
      </c>
      <c r="C85" s="8">
        <f>'Inputs-Imperial'!$E$10+('Inputs-Imperial'!$E$9-'Inputs-Imperial'!$E$10)*(100-A85)/100</f>
        <v>3.9283957950000001</v>
      </c>
      <c r="D85" s="8">
        <f t="shared" si="13"/>
        <v>0.24081365600000026</v>
      </c>
      <c r="E85" s="8">
        <f t="shared" si="14"/>
        <v>0.9481544214003248</v>
      </c>
      <c r="F85" s="11">
        <f t="shared" si="21"/>
        <v>91.123006636933411</v>
      </c>
      <c r="G85" s="8">
        <f t="shared" si="22"/>
        <v>4.0593529233679497</v>
      </c>
      <c r="H85" s="8">
        <f t="shared" ref="H85:H120" si="28">(G85+C85)/2</f>
        <v>3.9938743591839749</v>
      </c>
      <c r="I85" s="8">
        <f t="shared" si="15"/>
        <v>0.96556546116434905</v>
      </c>
      <c r="J85" s="11">
        <f t="shared" si="23"/>
        <v>92.796306108162923</v>
      </c>
      <c r="K85" s="550">
        <v>0</v>
      </c>
      <c r="L85" s="11">
        <f t="shared" ref="L85:L120" si="29">J85+K85</f>
        <v>92.796306108162923</v>
      </c>
      <c r="M85" s="150">
        <f t="shared" si="24"/>
        <v>2604.3642858887411</v>
      </c>
      <c r="N85" s="149">
        <f t="shared" si="25"/>
        <v>10208.404347528534</v>
      </c>
      <c r="O85" s="11">
        <f t="shared" ref="O85:O120" si="30">J85/$D$10</f>
        <v>9.2796306108162927</v>
      </c>
      <c r="P85" s="345">
        <f t="shared" ref="P85:P118" si="31">P86+O86</f>
        <v>260.43642858887421</v>
      </c>
      <c r="Q85" s="416">
        <f t="shared" si="26"/>
        <v>1020.8404347528535</v>
      </c>
      <c r="R85" s="8">
        <f t="shared" ref="R85:R120" si="32">0.25-AVERAGE($D$12:$D$13)+$D$11</f>
        <v>-0.55000000000000004</v>
      </c>
      <c r="S85" s="552">
        <v>0</v>
      </c>
      <c r="T85" s="8">
        <f t="shared" ref="T85:T120" si="33">R85+S85</f>
        <v>-0.55000000000000004</v>
      </c>
      <c r="U85" s="11">
        <f t="shared" ref="U85:U120" si="34">J85*T85*H85</f>
        <v>-203.83923317580854</v>
      </c>
      <c r="V85" s="345">
        <f t="shared" si="27"/>
        <v>-4703.7739975081004</v>
      </c>
      <c r="W85" s="12"/>
    </row>
    <row r="86" spans="1:23" x14ac:dyDescent="0.25">
      <c r="A86" s="2">
        <v>66</v>
      </c>
      <c r="B86" s="11">
        <f>A86/100*'Inputs-Imperial'!$E$5</f>
        <v>15.893701296</v>
      </c>
      <c r="C86" s="8">
        <f>'Inputs-Imperial'!$E$10+('Inputs-Imperial'!$E$9-'Inputs-Imperial'!$E$10)*(100-A86)/100</f>
        <v>3.9105972380000003</v>
      </c>
      <c r="D86" s="8">
        <f t="shared" ref="D86:D120" si="35">B86-B85</f>
        <v>0.24081365600000026</v>
      </c>
      <c r="E86" s="8">
        <f t="shared" ref="E86:E120" si="36">D86*AVERAGE(C85:C86)</f>
        <v>0.94386828581763038</v>
      </c>
      <c r="F86" s="11">
        <f t="shared" si="21"/>
        <v>90.711084747066735</v>
      </c>
      <c r="G86" s="8">
        <f t="shared" si="22"/>
        <v>4.0130476744716361</v>
      </c>
      <c r="H86" s="8">
        <f t="shared" si="28"/>
        <v>3.9618224562358182</v>
      </c>
      <c r="I86" s="8">
        <f t="shared" ref="I86:I120" si="37">D86*AVERAGE(H85:H86)</f>
        <v>0.95792021807439987</v>
      </c>
      <c r="J86" s="11">
        <f t="shared" si="23"/>
        <v>92.061554973640426</v>
      </c>
      <c r="K86" s="550">
        <v>0</v>
      </c>
      <c r="L86" s="11">
        <f t="shared" si="29"/>
        <v>92.061554973640426</v>
      </c>
      <c r="M86" s="150">
        <f t="shared" si="24"/>
        <v>2512.3027309151007</v>
      </c>
      <c r="N86" s="149">
        <f t="shared" si="25"/>
        <v>9581.2378622878368</v>
      </c>
      <c r="O86" s="11">
        <f t="shared" si="30"/>
        <v>9.2061554973640423</v>
      </c>
      <c r="P86" s="345">
        <f t="shared" si="31"/>
        <v>251.23027309151016</v>
      </c>
      <c r="Q86" s="416">
        <f t="shared" si="26"/>
        <v>958.12378622878373</v>
      </c>
      <c r="R86" s="8">
        <f t="shared" si="32"/>
        <v>-0.55000000000000004</v>
      </c>
      <c r="S86" s="552">
        <v>0</v>
      </c>
      <c r="T86" s="8">
        <f t="shared" si="33"/>
        <v>-0.55000000000000004</v>
      </c>
      <c r="U86" s="11">
        <f t="shared" si="34"/>
        <v>-200.60234471780632</v>
      </c>
      <c r="V86" s="345">
        <f t="shared" si="27"/>
        <v>-4503.1716527902945</v>
      </c>
      <c r="W86" s="12"/>
    </row>
    <row r="87" spans="1:23" x14ac:dyDescent="0.25">
      <c r="A87" s="2">
        <v>67</v>
      </c>
      <c r="B87" s="11">
        <f>A87/100*'Inputs-Imperial'!$E$5</f>
        <v>16.134514952</v>
      </c>
      <c r="C87" s="8">
        <f>'Inputs-Imperial'!$E$10+('Inputs-Imperial'!$E$9-'Inputs-Imperial'!$E$10)*(100-A87)/100</f>
        <v>3.8927986810000004</v>
      </c>
      <c r="D87" s="8">
        <f t="shared" si="35"/>
        <v>0.24081365600000026</v>
      </c>
      <c r="E87" s="8">
        <f t="shared" si="36"/>
        <v>0.93958215023493608</v>
      </c>
      <c r="F87" s="11">
        <f t="shared" si="21"/>
        <v>90.299162857200074</v>
      </c>
      <c r="G87" s="8">
        <f t="shared" si="22"/>
        <v>3.965482358069544</v>
      </c>
      <c r="H87" s="8">
        <f t="shared" si="28"/>
        <v>3.9291405195347719</v>
      </c>
      <c r="I87" s="8">
        <f t="shared" si="37"/>
        <v>0.95012582177797855</v>
      </c>
      <c r="J87" s="11">
        <f t="shared" si="23"/>
        <v>91.312469371739496</v>
      </c>
      <c r="K87" s="550">
        <v>0</v>
      </c>
      <c r="L87" s="11">
        <f t="shared" si="29"/>
        <v>91.312469371739496</v>
      </c>
      <c r="M87" s="150">
        <f t="shared" si="24"/>
        <v>2420.9902615433612</v>
      </c>
      <c r="N87" s="149">
        <f t="shared" si="25"/>
        <v>8976.241056677387</v>
      </c>
      <c r="O87" s="11">
        <f t="shared" si="30"/>
        <v>9.13124693717395</v>
      </c>
      <c r="P87" s="345">
        <f t="shared" si="31"/>
        <v>242.0990261543362</v>
      </c>
      <c r="Q87" s="416">
        <f t="shared" si="26"/>
        <v>897.62410566773872</v>
      </c>
      <c r="R87" s="8">
        <f t="shared" si="32"/>
        <v>-0.55000000000000004</v>
      </c>
      <c r="S87" s="552">
        <v>0</v>
      </c>
      <c r="T87" s="8">
        <f t="shared" si="33"/>
        <v>-0.55000000000000004</v>
      </c>
      <c r="U87" s="11">
        <f t="shared" si="34"/>
        <v>-197.32873784100371</v>
      </c>
      <c r="V87" s="345">
        <f t="shared" si="27"/>
        <v>-4305.8429149492904</v>
      </c>
      <c r="W87" s="12"/>
    </row>
    <row r="88" spans="1:23" x14ac:dyDescent="0.25">
      <c r="A88" s="2">
        <v>68</v>
      </c>
      <c r="B88" s="11">
        <f>A88/100*'Inputs-Imperial'!$E$5</f>
        <v>16.375328608</v>
      </c>
      <c r="C88" s="8">
        <f>'Inputs-Imperial'!$E$10+('Inputs-Imperial'!$E$9-'Inputs-Imperial'!$E$10)*(100-A88)/100</f>
        <v>3.8750001240000005</v>
      </c>
      <c r="D88" s="8">
        <f t="shared" si="35"/>
        <v>0.24081365600000026</v>
      </c>
      <c r="E88" s="8">
        <f t="shared" si="36"/>
        <v>0.93529601465224166</v>
      </c>
      <c r="F88" s="11">
        <f t="shared" si="21"/>
        <v>89.887240967333412</v>
      </c>
      <c r="G88" s="8">
        <f t="shared" si="22"/>
        <v>3.9166110657291067</v>
      </c>
      <c r="H88" s="8">
        <f t="shared" si="28"/>
        <v>3.8958055948645534</v>
      </c>
      <c r="I88" s="8">
        <f t="shared" si="37"/>
        <v>0.94217694090574888</v>
      </c>
      <c r="J88" s="11">
        <f t="shared" si="23"/>
        <v>90.548536927690336</v>
      </c>
      <c r="K88" s="550">
        <v>0</v>
      </c>
      <c r="L88" s="11">
        <f t="shared" si="29"/>
        <v>90.548536927690336</v>
      </c>
      <c r="M88" s="150">
        <f t="shared" si="24"/>
        <v>2330.4417246156709</v>
      </c>
      <c r="N88" s="149">
        <f t="shared" si="25"/>
        <v>8393.2335406547336</v>
      </c>
      <c r="O88" s="11">
        <f t="shared" si="30"/>
        <v>9.0548536927690328</v>
      </c>
      <c r="P88" s="345">
        <f t="shared" si="31"/>
        <v>233.04417246156717</v>
      </c>
      <c r="Q88" s="416">
        <f t="shared" si="26"/>
        <v>839.32335406547338</v>
      </c>
      <c r="R88" s="8">
        <f t="shared" si="32"/>
        <v>-0.55000000000000004</v>
      </c>
      <c r="S88" s="552">
        <v>0</v>
      </c>
      <c r="T88" s="8">
        <f t="shared" si="33"/>
        <v>-0.55000000000000004</v>
      </c>
      <c r="U88" s="11">
        <f t="shared" si="34"/>
        <v>-194.01772322333261</v>
      </c>
      <c r="V88" s="345">
        <f t="shared" si="27"/>
        <v>-4111.8251917259577</v>
      </c>
      <c r="W88" s="12"/>
    </row>
    <row r="89" spans="1:23" x14ac:dyDescent="0.25">
      <c r="A89" s="2">
        <v>69</v>
      </c>
      <c r="B89" s="11">
        <f>A89/100*'Inputs-Imperial'!$E$5</f>
        <v>16.616142263999997</v>
      </c>
      <c r="C89" s="8">
        <f>'Inputs-Imperial'!$E$10+('Inputs-Imperial'!$E$9-'Inputs-Imperial'!$E$10)*(100-A89)/100</f>
        <v>3.8572015670000006</v>
      </c>
      <c r="D89" s="8">
        <f t="shared" si="35"/>
        <v>0.24081365599999671</v>
      </c>
      <c r="E89" s="8">
        <f t="shared" si="36"/>
        <v>0.93100987906953359</v>
      </c>
      <c r="F89" s="11">
        <f t="shared" si="21"/>
        <v>89.475319077465429</v>
      </c>
      <c r="G89" s="8">
        <f t="shared" si="22"/>
        <v>3.8663842749621908</v>
      </c>
      <c r="H89" s="8">
        <f t="shared" si="28"/>
        <v>3.8617929209810957</v>
      </c>
      <c r="I89" s="8">
        <f t="shared" si="37"/>
        <v>0.93406783019046957</v>
      </c>
      <c r="J89" s="11">
        <f t="shared" si="23"/>
        <v>89.769205488791684</v>
      </c>
      <c r="K89" s="550">
        <v>0</v>
      </c>
      <c r="L89" s="11">
        <f t="shared" si="29"/>
        <v>89.769205488791684</v>
      </c>
      <c r="M89" s="150">
        <f t="shared" si="24"/>
        <v>2240.6725191268793</v>
      </c>
      <c r="N89" s="149">
        <f t="shared" si="25"/>
        <v>7832.0313488550964</v>
      </c>
      <c r="O89" s="11">
        <f t="shared" si="30"/>
        <v>8.9769205488791677</v>
      </c>
      <c r="P89" s="345">
        <f t="shared" si="31"/>
        <v>224.06725191268799</v>
      </c>
      <c r="Q89" s="416">
        <f t="shared" si="26"/>
        <v>783.2031348855096</v>
      </c>
      <c r="R89" s="8">
        <f t="shared" si="32"/>
        <v>-0.55000000000000004</v>
      </c>
      <c r="S89" s="552">
        <v>0</v>
      </c>
      <c r="T89" s="8">
        <f t="shared" si="33"/>
        <v>-0.55000000000000004</v>
      </c>
      <c r="U89" s="11">
        <f t="shared" si="34"/>
        <v>-190.66854525329219</v>
      </c>
      <c r="V89" s="345">
        <f t="shared" si="27"/>
        <v>-3921.1566464726652</v>
      </c>
      <c r="W89" s="12"/>
    </row>
    <row r="90" spans="1:23" x14ac:dyDescent="0.25">
      <c r="A90" s="2">
        <v>70</v>
      </c>
      <c r="B90" s="11">
        <f>A90/100*'Inputs-Imperial'!$E$5</f>
        <v>16.856955919999997</v>
      </c>
      <c r="C90" s="8">
        <f>'Inputs-Imperial'!$E$10+('Inputs-Imperial'!$E$9-'Inputs-Imperial'!$E$10)*(100-A90)/100</f>
        <v>3.8394030100000003</v>
      </c>
      <c r="D90" s="8">
        <f t="shared" si="35"/>
        <v>0.24081365600000026</v>
      </c>
      <c r="E90" s="8">
        <f t="shared" si="36"/>
        <v>0.92672374348685282</v>
      </c>
      <c r="F90" s="11">
        <f t="shared" si="21"/>
        <v>89.063397187600074</v>
      </c>
      <c r="G90" s="8">
        <f t="shared" si="22"/>
        <v>3.8147484447353044</v>
      </c>
      <c r="H90" s="8">
        <f t="shared" si="28"/>
        <v>3.8270757273676521</v>
      </c>
      <c r="I90" s="8">
        <f t="shared" si="37"/>
        <v>0.92579228485632126</v>
      </c>
      <c r="J90" s="11">
        <f t="shared" si="23"/>
        <v>88.973878740967081</v>
      </c>
      <c r="K90" s="550">
        <v>0</v>
      </c>
      <c r="L90" s="11">
        <f t="shared" si="29"/>
        <v>88.973878740967081</v>
      </c>
      <c r="M90" s="150">
        <f t="shared" si="24"/>
        <v>2151.6986403859123</v>
      </c>
      <c r="N90" s="149">
        <f t="shared" si="25"/>
        <v>7292.4468076254225</v>
      </c>
      <c r="O90" s="11">
        <f t="shared" si="30"/>
        <v>8.8973878740967081</v>
      </c>
      <c r="P90" s="345">
        <f t="shared" si="31"/>
        <v>215.1698640385913</v>
      </c>
      <c r="Q90" s="416">
        <f t="shared" si="26"/>
        <v>729.2446807625422</v>
      </c>
      <c r="R90" s="8">
        <f t="shared" si="32"/>
        <v>-0.55000000000000004</v>
      </c>
      <c r="S90" s="552">
        <v>0</v>
      </c>
      <c r="T90" s="8">
        <f t="shared" si="33"/>
        <v>-0.55000000000000004</v>
      </c>
      <c r="U90" s="11">
        <f t="shared" si="34"/>
        <v>-187.28037443461935</v>
      </c>
      <c r="V90" s="345">
        <f t="shared" si="27"/>
        <v>-3733.876272038046</v>
      </c>
      <c r="W90" s="12"/>
    </row>
    <row r="91" spans="1:23" x14ac:dyDescent="0.25">
      <c r="A91" s="2">
        <v>71</v>
      </c>
      <c r="B91" s="11">
        <f>A91/100*'Inputs-Imperial'!$E$5</f>
        <v>17.097769575999997</v>
      </c>
      <c r="C91" s="8">
        <f>'Inputs-Imperial'!$E$10+('Inputs-Imperial'!$E$9-'Inputs-Imperial'!$E$10)*(100-A91)/100</f>
        <v>3.8216044530000004</v>
      </c>
      <c r="D91" s="8">
        <f t="shared" si="35"/>
        <v>0.24081365600000026</v>
      </c>
      <c r="E91" s="8">
        <f t="shared" si="36"/>
        <v>0.92243760790415841</v>
      </c>
      <c r="F91" s="11">
        <f t="shared" si="21"/>
        <v>88.651475297733398</v>
      </c>
      <c r="G91" s="8">
        <f t="shared" si="22"/>
        <v>3.7616455501546464</v>
      </c>
      <c r="H91" s="8">
        <f t="shared" si="28"/>
        <v>3.7916250015773234</v>
      </c>
      <c r="I91" s="8">
        <f t="shared" si="37"/>
        <v>0.91734358825355333</v>
      </c>
      <c r="J91" s="11">
        <f t="shared" si="23"/>
        <v>88.161911176157929</v>
      </c>
      <c r="K91" s="550">
        <v>0</v>
      </c>
      <c r="L91" s="11">
        <f t="shared" si="29"/>
        <v>88.161911176157929</v>
      </c>
      <c r="M91" s="150">
        <f t="shared" si="24"/>
        <v>2063.5367292097544</v>
      </c>
      <c r="N91" s="149">
        <f t="shared" si="25"/>
        <v>6774.288391423861</v>
      </c>
      <c r="O91" s="11">
        <f t="shared" si="30"/>
        <v>8.8161911176157925</v>
      </c>
      <c r="P91" s="345">
        <f t="shared" si="31"/>
        <v>206.3536729209755</v>
      </c>
      <c r="Q91" s="416">
        <f t="shared" si="26"/>
        <v>677.4288391423861</v>
      </c>
      <c r="R91" s="8">
        <f t="shared" si="32"/>
        <v>-0.55000000000000004</v>
      </c>
      <c r="S91" s="552">
        <v>0</v>
      </c>
      <c r="T91" s="8">
        <f t="shared" si="33"/>
        <v>-0.55000000000000004</v>
      </c>
      <c r="U91" s="11">
        <f t="shared" si="34"/>
        <v>-183.85229863129783</v>
      </c>
      <c r="V91" s="345">
        <f t="shared" si="27"/>
        <v>-3550.0239734067482</v>
      </c>
      <c r="W91" s="12"/>
    </row>
    <row r="92" spans="1:23" x14ac:dyDescent="0.25">
      <c r="A92" s="2">
        <v>72</v>
      </c>
      <c r="B92" s="11">
        <f>A92/100*'Inputs-Imperial'!$E$5</f>
        <v>17.338583231999998</v>
      </c>
      <c r="C92" s="8">
        <f>'Inputs-Imperial'!$E$10+('Inputs-Imperial'!$E$9-'Inputs-Imperial'!$E$10)*(100-A92)/100</f>
        <v>3.8038058960000001</v>
      </c>
      <c r="D92" s="8">
        <f t="shared" si="35"/>
        <v>0.24081365600000026</v>
      </c>
      <c r="E92" s="8">
        <f t="shared" si="36"/>
        <v>0.9181514723214641</v>
      </c>
      <c r="F92" s="11">
        <f t="shared" si="21"/>
        <v>88.239553407866737</v>
      </c>
      <c r="G92" s="8">
        <f t="shared" si="22"/>
        <v>3.7070125447371218</v>
      </c>
      <c r="H92" s="8">
        <f t="shared" si="28"/>
        <v>3.755409220368561</v>
      </c>
      <c r="I92" s="8">
        <f t="shared" si="37"/>
        <v>0.90871445147195284</v>
      </c>
      <c r="J92" s="11">
        <f t="shared" si="23"/>
        <v>87.332602288836085</v>
      </c>
      <c r="K92" s="550">
        <v>0</v>
      </c>
      <c r="L92" s="11">
        <f t="shared" si="29"/>
        <v>87.332602288836085</v>
      </c>
      <c r="M92" s="150">
        <f t="shared" si="24"/>
        <v>1976.2041269209185</v>
      </c>
      <c r="N92" s="149">
        <f t="shared" si="25"/>
        <v>6277.3605673725779</v>
      </c>
      <c r="O92" s="11">
        <f t="shared" si="30"/>
        <v>8.7332602288836085</v>
      </c>
      <c r="P92" s="345">
        <f t="shared" si="31"/>
        <v>197.62041269209189</v>
      </c>
      <c r="Q92" s="416">
        <f t="shared" si="26"/>
        <v>627.73605673725774</v>
      </c>
      <c r="R92" s="8">
        <f t="shared" si="32"/>
        <v>-0.55000000000000004</v>
      </c>
      <c r="S92" s="552">
        <v>0</v>
      </c>
      <c r="T92" s="8">
        <f t="shared" si="33"/>
        <v>-0.55000000000000004</v>
      </c>
      <c r="U92" s="11">
        <f t="shared" si="34"/>
        <v>-180.38331293085156</v>
      </c>
      <c r="V92" s="345">
        <f t="shared" si="27"/>
        <v>-3369.6406604758968</v>
      </c>
      <c r="W92" s="12"/>
    </row>
    <row r="93" spans="1:23" x14ac:dyDescent="0.25">
      <c r="A93" s="2">
        <v>73</v>
      </c>
      <c r="B93" s="11">
        <f>A93/100*'Inputs-Imperial'!$E$5</f>
        <v>17.579396887999998</v>
      </c>
      <c r="C93" s="8">
        <f>'Inputs-Imperial'!$E$10+('Inputs-Imperial'!$E$9-'Inputs-Imperial'!$E$10)*(100-A93)/100</f>
        <v>3.7860073390000002</v>
      </c>
      <c r="D93" s="8">
        <f t="shared" si="35"/>
        <v>0.24081365600000026</v>
      </c>
      <c r="E93" s="8">
        <f t="shared" si="36"/>
        <v>0.91386533673876957</v>
      </c>
      <c r="F93" s="11">
        <f t="shared" si="21"/>
        <v>87.827631518000061</v>
      </c>
      <c r="G93" s="8">
        <f t="shared" si="22"/>
        <v>3.6507807359701627</v>
      </c>
      <c r="H93" s="8">
        <f t="shared" si="28"/>
        <v>3.7183940374850817</v>
      </c>
      <c r="I93" s="8">
        <f t="shared" si="37"/>
        <v>0.89989694337422421</v>
      </c>
      <c r="J93" s="11">
        <f t="shared" si="23"/>
        <v>86.485189851815662</v>
      </c>
      <c r="K93" s="550">
        <v>0</v>
      </c>
      <c r="L93" s="11">
        <f t="shared" si="29"/>
        <v>86.485189851815662</v>
      </c>
      <c r="M93" s="150">
        <f t="shared" si="24"/>
        <v>1889.7189370691028</v>
      </c>
      <c r="N93" s="149">
        <f t="shared" si="25"/>
        <v>5801.4636265664631</v>
      </c>
      <c r="O93" s="11">
        <f t="shared" si="30"/>
        <v>8.6485189851815658</v>
      </c>
      <c r="P93" s="345">
        <f t="shared" si="31"/>
        <v>188.97189370691032</v>
      </c>
      <c r="Q93" s="416">
        <f t="shared" si="26"/>
        <v>580.14636265664626</v>
      </c>
      <c r="R93" s="8">
        <f t="shared" si="32"/>
        <v>-0.55000000000000004</v>
      </c>
      <c r="S93" s="552">
        <v>0</v>
      </c>
      <c r="T93" s="8">
        <f t="shared" si="33"/>
        <v>-0.55000000000000004</v>
      </c>
      <c r="U93" s="11">
        <f t="shared" si="34"/>
        <v>-176.87230785166616</v>
      </c>
      <c r="V93" s="345">
        <f t="shared" si="27"/>
        <v>-3192.7683526242304</v>
      </c>
      <c r="W93" s="12"/>
    </row>
    <row r="94" spans="1:23" x14ac:dyDescent="0.25">
      <c r="A94" s="2">
        <v>74</v>
      </c>
      <c r="B94" s="11">
        <f>A94/100*'Inputs-Imperial'!$E$5</f>
        <v>17.820210543999998</v>
      </c>
      <c r="C94" s="8">
        <f>'Inputs-Imperial'!$E$10+('Inputs-Imperial'!$E$9-'Inputs-Imperial'!$E$10)*(100-A94)/100</f>
        <v>3.7682087820000003</v>
      </c>
      <c r="D94" s="8">
        <f t="shared" si="35"/>
        <v>0.24081365600000026</v>
      </c>
      <c r="E94" s="8">
        <f t="shared" si="36"/>
        <v>0.90957920115607527</v>
      </c>
      <c r="F94" s="11">
        <f t="shared" si="21"/>
        <v>87.415709628133399</v>
      </c>
      <c r="G94" s="8">
        <f t="shared" si="22"/>
        <v>3.5928750563964229</v>
      </c>
      <c r="H94" s="8">
        <f t="shared" si="28"/>
        <v>3.6805419191982116</v>
      </c>
      <c r="I94" s="8">
        <f t="shared" si="37"/>
        <v>0.89088240911938177</v>
      </c>
      <c r="J94" s="11">
        <f t="shared" si="23"/>
        <v>85.618842085889824</v>
      </c>
      <c r="K94" s="550">
        <v>0</v>
      </c>
      <c r="L94" s="11">
        <f t="shared" si="29"/>
        <v>85.618842085889824</v>
      </c>
      <c r="M94" s="150">
        <f t="shared" si="24"/>
        <v>1804.100094983213</v>
      </c>
      <c r="N94" s="149">
        <f t="shared" si="25"/>
        <v>5346.3935005184176</v>
      </c>
      <c r="O94" s="11">
        <f t="shared" si="30"/>
        <v>8.5618842085889817</v>
      </c>
      <c r="P94" s="345">
        <f t="shared" si="31"/>
        <v>180.41000949832133</v>
      </c>
      <c r="Q94" s="416">
        <f t="shared" si="26"/>
        <v>534.6393500518418</v>
      </c>
      <c r="R94" s="8">
        <f t="shared" si="32"/>
        <v>-0.55000000000000004</v>
      </c>
      <c r="S94" s="552">
        <v>0</v>
      </c>
      <c r="T94" s="8">
        <f t="shared" si="33"/>
        <v>-0.55000000000000004</v>
      </c>
      <c r="U94" s="11">
        <f t="shared" si="34"/>
        <v>-173.31805555368126</v>
      </c>
      <c r="V94" s="345">
        <f t="shared" si="27"/>
        <v>-3019.4502970705489</v>
      </c>
      <c r="W94" s="12"/>
    </row>
    <row r="95" spans="1:23" x14ac:dyDescent="0.25">
      <c r="A95" s="2">
        <v>75</v>
      </c>
      <c r="B95" s="11">
        <f>A95/100*'Inputs-Imperial'!$E$5</f>
        <v>18.061024199999999</v>
      </c>
      <c r="C95" s="8">
        <f>'Inputs-Imperial'!$E$10+('Inputs-Imperial'!$E$9-'Inputs-Imperial'!$E$10)*(100-A95)/100</f>
        <v>3.7504102250000004</v>
      </c>
      <c r="D95" s="8">
        <f t="shared" si="35"/>
        <v>0.24081365600000026</v>
      </c>
      <c r="E95" s="8">
        <f t="shared" si="36"/>
        <v>0.90529306557338085</v>
      </c>
      <c r="F95" s="11">
        <f t="shared" si="21"/>
        <v>87.003787738266738</v>
      </c>
      <c r="G95" s="8">
        <f t="shared" si="22"/>
        <v>3.5332132079840113</v>
      </c>
      <c r="H95" s="8">
        <f t="shared" si="28"/>
        <v>3.6418117164920059</v>
      </c>
      <c r="I95" s="8">
        <f t="shared" si="37"/>
        <v>0.88166137476772766</v>
      </c>
      <c r="J95" s="11">
        <f t="shared" si="23"/>
        <v>84.732648491829266</v>
      </c>
      <c r="K95" s="550">
        <v>0</v>
      </c>
      <c r="L95" s="11">
        <f t="shared" si="29"/>
        <v>84.732648491829266</v>
      </c>
      <c r="M95" s="150">
        <f t="shared" si="24"/>
        <v>1719.3674464913838</v>
      </c>
      <c r="N95" s="149">
        <f t="shared" si="25"/>
        <v>4911.9415608555628</v>
      </c>
      <c r="O95" s="11">
        <f t="shared" si="30"/>
        <v>8.473264849182927</v>
      </c>
      <c r="P95" s="345">
        <f t="shared" si="31"/>
        <v>171.9367446491384</v>
      </c>
      <c r="Q95" s="416">
        <f t="shared" si="26"/>
        <v>491.1941560855563</v>
      </c>
      <c r="R95" s="8">
        <f t="shared" si="32"/>
        <v>-0.55000000000000004</v>
      </c>
      <c r="S95" s="552">
        <v>0</v>
      </c>
      <c r="T95" s="8">
        <f t="shared" si="33"/>
        <v>-0.55000000000000004</v>
      </c>
      <c r="U95" s="11">
        <f t="shared" si="34"/>
        <v>-169.71919362581841</v>
      </c>
      <c r="V95" s="345">
        <f t="shared" si="27"/>
        <v>-2849.7311034447307</v>
      </c>
      <c r="W95" s="12"/>
    </row>
    <row r="96" spans="1:23" x14ac:dyDescent="0.25">
      <c r="A96" s="2">
        <v>76</v>
      </c>
      <c r="B96" s="11">
        <f>A96/100*'Inputs-Imperial'!$E$5</f>
        <v>18.301837855999999</v>
      </c>
      <c r="C96" s="8">
        <f>'Inputs-Imperial'!$E$10+('Inputs-Imperial'!$E$9-'Inputs-Imperial'!$E$10)*(100-A96)/100</f>
        <v>3.7326116680000001</v>
      </c>
      <c r="D96" s="8">
        <f t="shared" si="35"/>
        <v>0.24081365600000026</v>
      </c>
      <c r="E96" s="8">
        <f t="shared" si="36"/>
        <v>0.90100692999068643</v>
      </c>
      <c r="F96" s="11">
        <f t="shared" si="21"/>
        <v>86.591865848400062</v>
      </c>
      <c r="G96" s="8">
        <f t="shared" si="22"/>
        <v>3.4717046517124763</v>
      </c>
      <c r="H96" s="8">
        <f t="shared" si="28"/>
        <v>3.6021581598562382</v>
      </c>
      <c r="I96" s="8">
        <f t="shared" si="37"/>
        <v>0.87222343493864518</v>
      </c>
      <c r="J96" s="11">
        <f t="shared" si="23"/>
        <v>83.825609053660202</v>
      </c>
      <c r="K96" s="550">
        <v>0</v>
      </c>
      <c r="L96" s="11">
        <f t="shared" si="29"/>
        <v>83.825609053660202</v>
      </c>
      <c r="M96" s="150">
        <f t="shared" si="24"/>
        <v>1635.5418374377236</v>
      </c>
      <c r="N96" s="149">
        <f t="shared" si="25"/>
        <v>4497.894400058588</v>
      </c>
      <c r="O96" s="11">
        <f t="shared" si="30"/>
        <v>8.3825609053660202</v>
      </c>
      <c r="P96" s="345">
        <f t="shared" si="31"/>
        <v>163.55418374377237</v>
      </c>
      <c r="Q96" s="416">
        <f t="shared" si="26"/>
        <v>449.78944000585881</v>
      </c>
      <c r="R96" s="8">
        <f t="shared" si="32"/>
        <v>-0.55000000000000004</v>
      </c>
      <c r="S96" s="552">
        <v>0</v>
      </c>
      <c r="T96" s="8">
        <f t="shared" si="33"/>
        <v>-0.55000000000000004</v>
      </c>
      <c r="U96" s="11">
        <f t="shared" si="34"/>
        <v>-166.07420591165859</v>
      </c>
      <c r="V96" s="345">
        <f t="shared" si="27"/>
        <v>-2683.656897533072</v>
      </c>
      <c r="W96" s="12"/>
    </row>
    <row r="97" spans="1:23" x14ac:dyDescent="0.25">
      <c r="A97" s="2">
        <v>77</v>
      </c>
      <c r="B97" s="11">
        <f>A97/100*'Inputs-Imperial'!$E$5</f>
        <v>18.542651511999999</v>
      </c>
      <c r="C97" s="8">
        <f>'Inputs-Imperial'!$E$10+('Inputs-Imperial'!$E$9-'Inputs-Imperial'!$E$10)*(100-A97)/100</f>
        <v>3.7148131110000002</v>
      </c>
      <c r="D97" s="8">
        <f t="shared" si="35"/>
        <v>0.24081365600000026</v>
      </c>
      <c r="E97" s="8">
        <f t="shared" si="36"/>
        <v>0.89672079440799202</v>
      </c>
      <c r="F97" s="11">
        <f t="shared" si="21"/>
        <v>86.1799439585334</v>
      </c>
      <c r="G97" s="8">
        <f t="shared" si="22"/>
        <v>3.4082494066343991</v>
      </c>
      <c r="H97" s="8">
        <f t="shared" si="28"/>
        <v>3.5615312588171997</v>
      </c>
      <c r="I97" s="8">
        <f t="shared" si="37"/>
        <v>0.86255711967963355</v>
      </c>
      <c r="J97" s="11">
        <f t="shared" si="23"/>
        <v>82.896621444025129</v>
      </c>
      <c r="K97" s="550">
        <v>0</v>
      </c>
      <c r="L97" s="11">
        <f t="shared" si="29"/>
        <v>82.896621444025129</v>
      </c>
      <c r="M97" s="150">
        <f t="shared" si="24"/>
        <v>1552.6452159936985</v>
      </c>
      <c r="N97" s="149">
        <f t="shared" si="25"/>
        <v>4104.0335906442515</v>
      </c>
      <c r="O97" s="11">
        <f t="shared" si="30"/>
        <v>8.2896621444025129</v>
      </c>
      <c r="P97" s="345">
        <f t="shared" si="31"/>
        <v>155.26452159936986</v>
      </c>
      <c r="Q97" s="416">
        <f t="shared" si="26"/>
        <v>410.40335906442516</v>
      </c>
      <c r="R97" s="8">
        <f t="shared" si="32"/>
        <v>-0.55000000000000004</v>
      </c>
      <c r="S97" s="552">
        <v>0</v>
      </c>
      <c r="T97" s="8">
        <f t="shared" si="33"/>
        <v>-0.55000000000000004</v>
      </c>
      <c r="U97" s="11">
        <f t="shared" si="34"/>
        <v>-162.38139968777745</v>
      </c>
      <c r="V97" s="345">
        <f t="shared" si="27"/>
        <v>-2521.2754978452945</v>
      </c>
      <c r="W97" s="12"/>
    </row>
    <row r="98" spans="1:23" x14ac:dyDescent="0.25">
      <c r="A98" s="2">
        <v>78</v>
      </c>
      <c r="B98" s="11">
        <f>A98/100*'Inputs-Imperial'!$E$5</f>
        <v>18.783465167999999</v>
      </c>
      <c r="C98" s="8">
        <f>'Inputs-Imperial'!$E$10+('Inputs-Imperial'!$E$9-'Inputs-Imperial'!$E$10)*(100-A98)/100</f>
        <v>3.6970145540000003</v>
      </c>
      <c r="D98" s="8">
        <f t="shared" si="35"/>
        <v>0.24081365600000026</v>
      </c>
      <c r="E98" s="8">
        <f t="shared" si="36"/>
        <v>0.89243465882529771</v>
      </c>
      <c r="F98" s="11">
        <f t="shared" si="21"/>
        <v>85.768022068666738</v>
      </c>
      <c r="G98" s="8">
        <f t="shared" si="22"/>
        <v>3.3427366124745346</v>
      </c>
      <c r="H98" s="8">
        <f t="shared" si="28"/>
        <v>3.5198755832372672</v>
      </c>
      <c r="I98" s="8">
        <f t="shared" si="37"/>
        <v>0.85264973562927626</v>
      </c>
      <c r="J98" s="11">
        <f t="shared" si="23"/>
        <v>81.944465759045016</v>
      </c>
      <c r="K98" s="550">
        <v>0</v>
      </c>
      <c r="L98" s="11">
        <f t="shared" si="29"/>
        <v>81.944465759045016</v>
      </c>
      <c r="M98" s="150">
        <f t="shared" si="24"/>
        <v>1470.7007502346535</v>
      </c>
      <c r="N98" s="149">
        <f t="shared" si="25"/>
        <v>3730.135419709899</v>
      </c>
      <c r="O98" s="11">
        <f t="shared" si="30"/>
        <v>8.194446575904502</v>
      </c>
      <c r="P98" s="345">
        <f t="shared" si="31"/>
        <v>147.07007502346536</v>
      </c>
      <c r="Q98" s="416">
        <f t="shared" si="26"/>
        <v>373.01354197098988</v>
      </c>
      <c r="R98" s="8">
        <f t="shared" si="32"/>
        <v>-0.55000000000000004</v>
      </c>
      <c r="S98" s="552">
        <v>0</v>
      </c>
      <c r="T98" s="8">
        <f t="shared" si="33"/>
        <v>-0.55000000000000004</v>
      </c>
      <c r="U98" s="11">
        <f t="shared" si="34"/>
        <v>-158.63887831367668</v>
      </c>
      <c r="V98" s="345">
        <f t="shared" si="27"/>
        <v>-2362.6366195316177</v>
      </c>
      <c r="W98" s="12"/>
    </row>
    <row r="99" spans="1:23" x14ac:dyDescent="0.25">
      <c r="A99" s="2">
        <v>79</v>
      </c>
      <c r="B99" s="11">
        <f>A99/100*'Inputs-Imperial'!$E$5</f>
        <v>19.024278824</v>
      </c>
      <c r="C99" s="8">
        <f>'Inputs-Imperial'!$E$10+('Inputs-Imperial'!$E$9-'Inputs-Imperial'!$E$10)*(100-A99)/100</f>
        <v>3.6792159970000005</v>
      </c>
      <c r="D99" s="8">
        <f t="shared" si="35"/>
        <v>0.24081365600000026</v>
      </c>
      <c r="E99" s="8">
        <f t="shared" si="36"/>
        <v>0.88814852324260329</v>
      </c>
      <c r="F99" s="11">
        <f t="shared" si="21"/>
        <v>85.356100178800077</v>
      </c>
      <c r="G99" s="8">
        <f t="shared" si="22"/>
        <v>3.2750427961148896</v>
      </c>
      <c r="H99" s="8">
        <f t="shared" si="28"/>
        <v>3.4771293965574452</v>
      </c>
      <c r="I99" s="8">
        <f t="shared" si="37"/>
        <v>0.84248717511728632</v>
      </c>
      <c r="J99" s="11">
        <f t="shared" si="23"/>
        <v>80.967786171753076</v>
      </c>
      <c r="K99" s="550">
        <v>0</v>
      </c>
      <c r="L99" s="11">
        <f t="shared" si="29"/>
        <v>80.967786171753076</v>
      </c>
      <c r="M99" s="150">
        <f t="shared" si="24"/>
        <v>1389.7329640629005</v>
      </c>
      <c r="N99" s="149">
        <f t="shared" si="25"/>
        <v>3375.9705951639489</v>
      </c>
      <c r="O99" s="11">
        <f t="shared" si="30"/>
        <v>8.0967786171753069</v>
      </c>
      <c r="P99" s="345">
        <f t="shared" si="31"/>
        <v>138.97329640629005</v>
      </c>
      <c r="Q99" s="416">
        <f t="shared" si="26"/>
        <v>337.59705951639484</v>
      </c>
      <c r="R99" s="8">
        <f t="shared" si="32"/>
        <v>-0.55000000000000004</v>
      </c>
      <c r="S99" s="552">
        <v>0</v>
      </c>
      <c r="T99" s="8">
        <f t="shared" si="33"/>
        <v>-0.55000000000000004</v>
      </c>
      <c r="U99" s="11">
        <f t="shared" si="34"/>
        <v>-154.84450820958904</v>
      </c>
      <c r="V99" s="345">
        <f t="shared" si="27"/>
        <v>-2207.7921113220286</v>
      </c>
      <c r="W99" s="12"/>
    </row>
    <row r="100" spans="1:23" x14ac:dyDescent="0.25">
      <c r="A100" s="2">
        <v>80</v>
      </c>
      <c r="B100" s="11">
        <f>A100/100*'Inputs-Imperial'!$E$5</f>
        <v>19.26509248</v>
      </c>
      <c r="C100" s="8">
        <f>'Inputs-Imperial'!$E$10+('Inputs-Imperial'!$E$9-'Inputs-Imperial'!$E$10)*(100-A100)/100</f>
        <v>3.6614174400000001</v>
      </c>
      <c r="D100" s="8">
        <f t="shared" si="35"/>
        <v>0.24081365600000026</v>
      </c>
      <c r="E100" s="8">
        <f t="shared" si="36"/>
        <v>0.88386238765990888</v>
      </c>
      <c r="F100" s="11">
        <f t="shared" si="21"/>
        <v>84.944178288933401</v>
      </c>
      <c r="G100" s="8">
        <f t="shared" si="22"/>
        <v>3.2050297636438021</v>
      </c>
      <c r="H100" s="8">
        <f t="shared" si="28"/>
        <v>3.4332236018219011</v>
      </c>
      <c r="I100" s="8">
        <f t="shared" si="37"/>
        <v>0.83205368489514719</v>
      </c>
      <c r="J100" s="11">
        <f t="shared" si="23"/>
        <v>79.965068705800391</v>
      </c>
      <c r="K100" s="550">
        <v>0</v>
      </c>
      <c r="L100" s="11">
        <f t="shared" si="29"/>
        <v>79.965068705800391</v>
      </c>
      <c r="M100" s="150">
        <f t="shared" si="24"/>
        <v>1309.7678953571001</v>
      </c>
      <c r="N100" s="149">
        <f t="shared" si="25"/>
        <v>3041.303919224245</v>
      </c>
      <c r="O100" s="11">
        <f t="shared" si="30"/>
        <v>7.9965068705800393</v>
      </c>
      <c r="P100" s="345">
        <f t="shared" si="31"/>
        <v>130.97678953571</v>
      </c>
      <c r="Q100" s="416">
        <f t="shared" si="26"/>
        <v>304.13039192242445</v>
      </c>
      <c r="R100" s="8">
        <f t="shared" si="32"/>
        <v>-0.55000000000000004</v>
      </c>
      <c r="S100" s="552">
        <v>0</v>
      </c>
      <c r="T100" s="8">
        <f t="shared" si="33"/>
        <v>-0.55000000000000004</v>
      </c>
      <c r="U100" s="11">
        <f t="shared" si="34"/>
        <v>-150.99587866113512</v>
      </c>
      <c r="V100" s="345">
        <f t="shared" si="27"/>
        <v>-2056.7962326608936</v>
      </c>
      <c r="W100" s="12"/>
    </row>
    <row r="101" spans="1:23" x14ac:dyDescent="0.25">
      <c r="A101" s="2">
        <v>81</v>
      </c>
      <c r="B101" s="11">
        <f>A101/100*'Inputs-Imperial'!$E$5</f>
        <v>19.505906136</v>
      </c>
      <c r="C101" s="8">
        <f>'Inputs-Imperial'!$E$10+('Inputs-Imperial'!$E$9-'Inputs-Imperial'!$E$10)*(100-A101)/100</f>
        <v>3.6436188830000003</v>
      </c>
      <c r="D101" s="8">
        <f t="shared" si="35"/>
        <v>0.24081365600000026</v>
      </c>
      <c r="E101" s="8">
        <f t="shared" si="36"/>
        <v>0.87957625207721446</v>
      </c>
      <c r="F101" s="11">
        <f t="shared" si="21"/>
        <v>84.532256399066739</v>
      </c>
      <c r="G101" s="8">
        <f t="shared" si="22"/>
        <v>3.1325420138848217</v>
      </c>
      <c r="H101" s="8">
        <f t="shared" si="28"/>
        <v>3.3880804484424107</v>
      </c>
      <c r="I101" s="8">
        <f t="shared" si="37"/>
        <v>0.8213315835158792</v>
      </c>
      <c r="J101" s="11">
        <f t="shared" si="23"/>
        <v>78.934614074051765</v>
      </c>
      <c r="K101" s="550">
        <v>0</v>
      </c>
      <c r="L101" s="11">
        <f t="shared" si="29"/>
        <v>78.934614074051765</v>
      </c>
      <c r="M101" s="150">
        <f t="shared" si="24"/>
        <v>1230.8332812830483</v>
      </c>
      <c r="N101" s="149">
        <f t="shared" si="25"/>
        <v>2725.8939238318758</v>
      </c>
      <c r="O101" s="11">
        <f t="shared" si="30"/>
        <v>7.8934614074051765</v>
      </c>
      <c r="P101" s="345">
        <f t="shared" si="31"/>
        <v>123.08332812830483</v>
      </c>
      <c r="Q101" s="416">
        <f t="shared" si="26"/>
        <v>272.58939238318754</v>
      </c>
      <c r="R101" s="8">
        <f t="shared" si="32"/>
        <v>-0.55000000000000004</v>
      </c>
      <c r="S101" s="552">
        <v>0</v>
      </c>
      <c r="T101" s="8">
        <f t="shared" si="33"/>
        <v>-0.55000000000000004</v>
      </c>
      <c r="U101" s="11">
        <f t="shared" si="34"/>
        <v>-147.09025245730308</v>
      </c>
      <c r="V101" s="345">
        <f t="shared" si="27"/>
        <v>-1909.7059802035903</v>
      </c>
      <c r="W101" s="12"/>
    </row>
    <row r="102" spans="1:23" x14ac:dyDescent="0.25">
      <c r="A102" s="2">
        <v>82</v>
      </c>
      <c r="B102" s="11">
        <f>A102/100*'Inputs-Imperial'!$E$5</f>
        <v>19.746719791999997</v>
      </c>
      <c r="C102" s="8">
        <f>'Inputs-Imperial'!$E$10+('Inputs-Imperial'!$E$9-'Inputs-Imperial'!$E$10)*(100-A102)/100</f>
        <v>3.6258203260000004</v>
      </c>
      <c r="D102" s="8">
        <f t="shared" si="35"/>
        <v>0.24081365599999671</v>
      </c>
      <c r="E102" s="8">
        <f t="shared" si="36"/>
        <v>0.87529011649450716</v>
      </c>
      <c r="F102" s="11">
        <f t="shared" si="21"/>
        <v>84.120334509198827</v>
      </c>
      <c r="G102" s="8">
        <f t="shared" si="22"/>
        <v>3.0574035332479119</v>
      </c>
      <c r="H102" s="8">
        <f t="shared" si="28"/>
        <v>3.3416119296239559</v>
      </c>
      <c r="I102" s="8">
        <f t="shared" si="37"/>
        <v>0.81030091265873694</v>
      </c>
      <c r="J102" s="11">
        <f t="shared" si="23"/>
        <v>77.874504168915522</v>
      </c>
      <c r="K102" s="550">
        <v>0</v>
      </c>
      <c r="L102" s="11">
        <f t="shared" si="29"/>
        <v>77.874504168915522</v>
      </c>
      <c r="M102" s="150">
        <f t="shared" si="24"/>
        <v>1152.9587771141328</v>
      </c>
      <c r="N102" s="149">
        <f t="shared" si="25"/>
        <v>2429.4924614396327</v>
      </c>
      <c r="O102" s="11">
        <f t="shared" si="30"/>
        <v>7.7874504168915522</v>
      </c>
      <c r="P102" s="345">
        <f t="shared" si="31"/>
        <v>115.29587771141328</v>
      </c>
      <c r="Q102" s="416">
        <f t="shared" si="26"/>
        <v>242.94924614396325</v>
      </c>
      <c r="R102" s="8">
        <f t="shared" si="32"/>
        <v>-0.55000000000000004</v>
      </c>
      <c r="S102" s="552">
        <v>0</v>
      </c>
      <c r="T102" s="8">
        <f t="shared" si="33"/>
        <v>-0.55000000000000004</v>
      </c>
      <c r="U102" s="11">
        <f t="shared" si="34"/>
        <v>-143.12450467941923</v>
      </c>
      <c r="V102" s="345">
        <f t="shared" si="27"/>
        <v>-1766.5814755241711</v>
      </c>
      <c r="W102" s="12"/>
    </row>
    <row r="103" spans="1:23" x14ac:dyDescent="0.25">
      <c r="A103" s="2">
        <v>83</v>
      </c>
      <c r="B103" s="11">
        <f>A103/100*'Inputs-Imperial'!$E$5</f>
        <v>19.987533447999997</v>
      </c>
      <c r="C103" s="8">
        <f>'Inputs-Imperial'!$E$10+('Inputs-Imperial'!$E$9-'Inputs-Imperial'!$E$10)*(100-A103)/100</f>
        <v>3.6080217690000005</v>
      </c>
      <c r="D103" s="8">
        <f t="shared" si="35"/>
        <v>0.24081365600000026</v>
      </c>
      <c r="E103" s="8">
        <f t="shared" si="36"/>
        <v>0.87100398091182574</v>
      </c>
      <c r="F103" s="11">
        <f t="shared" si="21"/>
        <v>83.708412619333401</v>
      </c>
      <c r="G103" s="8">
        <f t="shared" si="22"/>
        <v>2.9794137804159324</v>
      </c>
      <c r="H103" s="8">
        <f t="shared" si="28"/>
        <v>3.2937177747079662</v>
      </c>
      <c r="I103" s="8">
        <f t="shared" si="37"/>
        <v>0.79893900243278548</v>
      </c>
      <c r="J103" s="11">
        <f t="shared" si="23"/>
        <v>76.782560285556798</v>
      </c>
      <c r="K103" s="550">
        <v>0</v>
      </c>
      <c r="L103" s="11">
        <f t="shared" si="29"/>
        <v>76.782560285556798</v>
      </c>
      <c r="M103" s="150">
        <f t="shared" si="24"/>
        <v>1076.1762168285759</v>
      </c>
      <c r="N103" s="149">
        <f t="shared" si="25"/>
        <v>2151.8442431054891</v>
      </c>
      <c r="O103" s="11">
        <f t="shared" si="30"/>
        <v>7.6782560285556798</v>
      </c>
      <c r="P103" s="345">
        <f t="shared" si="31"/>
        <v>107.6176216828576</v>
      </c>
      <c r="Q103" s="416">
        <f t="shared" si="26"/>
        <v>215.18442431054888</v>
      </c>
      <c r="R103" s="8">
        <f t="shared" si="32"/>
        <v>-0.55000000000000004</v>
      </c>
      <c r="S103" s="552">
        <v>0</v>
      </c>
      <c r="T103" s="8">
        <f t="shared" si="33"/>
        <v>-0.55000000000000004</v>
      </c>
      <c r="U103" s="11">
        <f t="shared" si="34"/>
        <v>-139.09504598006842</v>
      </c>
      <c r="V103" s="345">
        <f t="shared" si="27"/>
        <v>-1627.4864295441027</v>
      </c>
      <c r="W103" s="12"/>
    </row>
    <row r="104" spans="1:23" x14ac:dyDescent="0.25">
      <c r="A104" s="2">
        <v>84</v>
      </c>
      <c r="B104" s="11">
        <f>A104/100*'Inputs-Imperial'!$E$5</f>
        <v>20.228347103999997</v>
      </c>
      <c r="C104" s="8">
        <f>'Inputs-Imperial'!$E$10+('Inputs-Imperial'!$E$9-'Inputs-Imperial'!$E$10)*(100-A104)/100</f>
        <v>3.5902232120000002</v>
      </c>
      <c r="D104" s="8">
        <f t="shared" si="35"/>
        <v>0.24081365600000026</v>
      </c>
      <c r="E104" s="8">
        <f t="shared" si="36"/>
        <v>0.86671784532913121</v>
      </c>
      <c r="F104" s="11">
        <f t="shared" si="21"/>
        <v>83.296490729466726</v>
      </c>
      <c r="G104" s="8">
        <f t="shared" si="22"/>
        <v>2.8983425950360346</v>
      </c>
      <c r="H104" s="8">
        <f t="shared" si="28"/>
        <v>3.2442829035180174</v>
      </c>
      <c r="I104" s="8">
        <f t="shared" si="37"/>
        <v>0.78721992312704026</v>
      </c>
      <c r="J104" s="11">
        <f t="shared" si="23"/>
        <v>75.656290431982711</v>
      </c>
      <c r="K104" s="550">
        <v>0</v>
      </c>
      <c r="L104" s="11">
        <f t="shared" si="29"/>
        <v>75.656290431982711</v>
      </c>
      <c r="M104" s="150">
        <f t="shared" si="24"/>
        <v>1000.5199263965933</v>
      </c>
      <c r="N104" s="149">
        <f t="shared" si="25"/>
        <v>1892.6863138307506</v>
      </c>
      <c r="O104" s="11">
        <f t="shared" si="30"/>
        <v>7.5656290431982711</v>
      </c>
      <c r="P104" s="345">
        <f t="shared" si="31"/>
        <v>100.05199263965933</v>
      </c>
      <c r="Q104" s="416">
        <f t="shared" si="26"/>
        <v>189.26863138307505</v>
      </c>
      <c r="R104" s="8">
        <f t="shared" si="32"/>
        <v>-0.55000000000000004</v>
      </c>
      <c r="S104" s="552">
        <v>0</v>
      </c>
      <c r="T104" s="8">
        <f t="shared" si="33"/>
        <v>-0.55000000000000004</v>
      </c>
      <c r="U104" s="11">
        <f t="shared" si="34"/>
        <v>-134.99772527564139</v>
      </c>
      <c r="V104" s="345">
        <f t="shared" si="27"/>
        <v>-1492.4887042684613</v>
      </c>
      <c r="W104" s="12"/>
    </row>
    <row r="105" spans="1:23" x14ac:dyDescent="0.25">
      <c r="A105" s="2">
        <v>85</v>
      </c>
      <c r="B105" s="11">
        <f>A105/100*'Inputs-Imperial'!$E$5</f>
        <v>20.469160759999998</v>
      </c>
      <c r="C105" s="8">
        <f>'Inputs-Imperial'!$E$10+('Inputs-Imperial'!$E$9-'Inputs-Imperial'!$E$10)*(100-A105)/100</f>
        <v>3.5724246550000003</v>
      </c>
      <c r="D105" s="8">
        <f t="shared" si="35"/>
        <v>0.24081365600000026</v>
      </c>
      <c r="E105" s="8">
        <f t="shared" si="36"/>
        <v>0.8624317097464369</v>
      </c>
      <c r="F105" s="11">
        <f t="shared" si="21"/>
        <v>82.884568839600064</v>
      </c>
      <c r="G105" s="8">
        <f t="shared" si="22"/>
        <v>2.8139236547782138</v>
      </c>
      <c r="H105" s="8">
        <f t="shared" si="28"/>
        <v>3.1931741548891068</v>
      </c>
      <c r="I105" s="8">
        <f t="shared" si="37"/>
        <v>0.77511378478901349</v>
      </c>
      <c r="J105" s="11">
        <f t="shared" si="23"/>
        <v>74.492822014576177</v>
      </c>
      <c r="K105" s="550">
        <v>0</v>
      </c>
      <c r="L105" s="11">
        <f t="shared" si="29"/>
        <v>74.492822014576177</v>
      </c>
      <c r="M105" s="150">
        <f t="shared" si="24"/>
        <v>926.02710438201711</v>
      </c>
      <c r="N105" s="149">
        <f t="shared" si="25"/>
        <v>1651.7474524543359</v>
      </c>
      <c r="O105" s="11">
        <f t="shared" si="30"/>
        <v>7.4492822014576179</v>
      </c>
      <c r="P105" s="345">
        <f t="shared" si="31"/>
        <v>92.602710438201711</v>
      </c>
      <c r="Q105" s="416">
        <f t="shared" si="26"/>
        <v>165.17474524543357</v>
      </c>
      <c r="R105" s="8">
        <f t="shared" si="32"/>
        <v>-0.55000000000000004</v>
      </c>
      <c r="S105" s="552">
        <v>0</v>
      </c>
      <c r="T105" s="8">
        <f t="shared" si="33"/>
        <v>-0.55000000000000004</v>
      </c>
      <c r="U105" s="11">
        <f t="shared" si="34"/>
        <v>-130.82770468993442</v>
      </c>
      <c r="V105" s="345">
        <f t="shared" si="27"/>
        <v>-1361.660999578527</v>
      </c>
      <c r="W105" s="12"/>
    </row>
    <row r="106" spans="1:23" x14ac:dyDescent="0.25">
      <c r="A106" s="2">
        <v>86</v>
      </c>
      <c r="B106" s="11">
        <f>A106/100*'Inputs-Imperial'!$E$5</f>
        <v>20.709974415999998</v>
      </c>
      <c r="C106" s="8">
        <f>'Inputs-Imperial'!$E$10+('Inputs-Imperial'!$E$9-'Inputs-Imperial'!$E$10)*(100-A106)/100</f>
        <v>3.5546260980000004</v>
      </c>
      <c r="D106" s="8">
        <f t="shared" si="35"/>
        <v>0.24081365600000026</v>
      </c>
      <c r="E106" s="8">
        <f t="shared" si="36"/>
        <v>0.85814557416374249</v>
      </c>
      <c r="F106" s="11">
        <f t="shared" si="21"/>
        <v>82.472646949733402</v>
      </c>
      <c r="G106" s="8">
        <f t="shared" si="22"/>
        <v>2.7258459393540297</v>
      </c>
      <c r="H106" s="8">
        <f t="shared" si="28"/>
        <v>3.1402360186770153</v>
      </c>
      <c r="I106" s="8">
        <f t="shared" si="37"/>
        <v>0.76258582942202702</v>
      </c>
      <c r="J106" s="11">
        <f t="shared" si="23"/>
        <v>73.288814593119326</v>
      </c>
      <c r="K106" s="550">
        <v>0</v>
      </c>
      <c r="L106" s="11">
        <f t="shared" si="29"/>
        <v>73.288814593119326</v>
      </c>
      <c r="M106" s="150">
        <f t="shared" si="24"/>
        <v>852.73828978889776</v>
      </c>
      <c r="N106" s="149">
        <f t="shared" si="25"/>
        <v>1428.7474798930084</v>
      </c>
      <c r="O106" s="11">
        <f t="shared" si="30"/>
        <v>7.3288814593119325</v>
      </c>
      <c r="P106" s="345">
        <f t="shared" si="31"/>
        <v>85.273828978889782</v>
      </c>
      <c r="Q106" s="416">
        <f t="shared" si="26"/>
        <v>142.87474798930083</v>
      </c>
      <c r="R106" s="8">
        <f t="shared" si="32"/>
        <v>-0.55000000000000004</v>
      </c>
      <c r="S106" s="552">
        <v>0</v>
      </c>
      <c r="T106" s="8">
        <f t="shared" si="33"/>
        <v>-0.55000000000000004</v>
      </c>
      <c r="U106" s="11">
        <f t="shared" si="34"/>
        <v>-126.57929644330025</v>
      </c>
      <c r="V106" s="345">
        <f t="shared" si="27"/>
        <v>-1235.0817031352267</v>
      </c>
      <c r="W106" s="12"/>
    </row>
    <row r="107" spans="1:23" x14ac:dyDescent="0.25">
      <c r="A107" s="2">
        <v>87</v>
      </c>
      <c r="B107" s="11">
        <f>A107/100*'Inputs-Imperial'!$E$5</f>
        <v>20.950788071999998</v>
      </c>
      <c r="C107" s="8">
        <f>'Inputs-Imperial'!$E$10+('Inputs-Imperial'!$E$9-'Inputs-Imperial'!$E$10)*(100-A107)/100</f>
        <v>3.5368275410000001</v>
      </c>
      <c r="D107" s="8">
        <f t="shared" si="35"/>
        <v>0.24081365600000026</v>
      </c>
      <c r="E107" s="8">
        <f t="shared" si="36"/>
        <v>0.85385943858104818</v>
      </c>
      <c r="F107" s="11">
        <f t="shared" si="21"/>
        <v>82.060725059866741</v>
      </c>
      <c r="G107" s="8">
        <f t="shared" si="22"/>
        <v>2.633742403637386</v>
      </c>
      <c r="H107" s="8">
        <f t="shared" si="28"/>
        <v>3.0852849723186928</v>
      </c>
      <c r="I107" s="8">
        <f t="shared" si="37"/>
        <v>0.74959523517321058</v>
      </c>
      <c r="J107" s="11">
        <f t="shared" si="23"/>
        <v>72.040344956491623</v>
      </c>
      <c r="K107" s="550">
        <v>0</v>
      </c>
      <c r="L107" s="11">
        <f t="shared" si="29"/>
        <v>72.040344956491623</v>
      </c>
      <c r="M107" s="150">
        <f t="shared" si="24"/>
        <v>780.69794483240617</v>
      </c>
      <c r="N107" s="149">
        <f t="shared" si="25"/>
        <v>1223.3964547177563</v>
      </c>
      <c r="O107" s="11">
        <f t="shared" si="30"/>
        <v>7.2040344956491627</v>
      </c>
      <c r="P107" s="345">
        <f t="shared" si="31"/>
        <v>78.069794483240614</v>
      </c>
      <c r="Q107" s="416">
        <f t="shared" si="26"/>
        <v>122.33964547177561</v>
      </c>
      <c r="R107" s="8">
        <f t="shared" si="32"/>
        <v>-0.55000000000000004</v>
      </c>
      <c r="S107" s="552">
        <v>0</v>
      </c>
      <c r="T107" s="8">
        <f t="shared" si="33"/>
        <v>-0.55000000000000004</v>
      </c>
      <c r="U107" s="11">
        <f t="shared" si="34"/>
        <v>-122.24574653220509</v>
      </c>
      <c r="V107" s="345">
        <f t="shared" si="27"/>
        <v>-1112.8359566030217</v>
      </c>
      <c r="W107" s="12"/>
    </row>
    <row r="108" spans="1:23" x14ac:dyDescent="0.25">
      <c r="A108" s="2">
        <v>88</v>
      </c>
      <c r="B108" s="11">
        <f>A108/100*'Inputs-Imperial'!$E$5</f>
        <v>21.191601727999998</v>
      </c>
      <c r="C108" s="8">
        <f>'Inputs-Imperial'!$E$10+('Inputs-Imperial'!$E$9-'Inputs-Imperial'!$E$10)*(100-A108)/100</f>
        <v>3.5190289840000002</v>
      </c>
      <c r="D108" s="8">
        <f t="shared" si="35"/>
        <v>0.24081365600000026</v>
      </c>
      <c r="E108" s="8">
        <f t="shared" si="36"/>
        <v>0.84957330299835365</v>
      </c>
      <c r="F108" s="11">
        <f t="shared" si="21"/>
        <v>81.648803170000065</v>
      </c>
      <c r="G108" s="8">
        <f t="shared" si="22"/>
        <v>2.53717465417632</v>
      </c>
      <c r="H108" s="8">
        <f t="shared" si="28"/>
        <v>3.0281018190881603</v>
      </c>
      <c r="I108" s="8">
        <f t="shared" si="37"/>
        <v>0.73609351189039762</v>
      </c>
      <c r="J108" s="11">
        <f t="shared" si="23"/>
        <v>70.742752926606073</v>
      </c>
      <c r="K108" s="550">
        <v>0</v>
      </c>
      <c r="L108" s="11">
        <f t="shared" si="29"/>
        <v>70.742752926606073</v>
      </c>
      <c r="M108" s="150">
        <f t="shared" si="24"/>
        <v>709.95519190580012</v>
      </c>
      <c r="N108" s="149">
        <f t="shared" si="25"/>
        <v>1035.3937283909781</v>
      </c>
      <c r="O108" s="11">
        <f t="shared" si="30"/>
        <v>7.074275292660607</v>
      </c>
      <c r="P108" s="345">
        <f t="shared" si="31"/>
        <v>70.995519190580012</v>
      </c>
      <c r="Q108" s="416">
        <f t="shared" si="26"/>
        <v>103.53937283909779</v>
      </c>
      <c r="R108" s="8">
        <f t="shared" si="32"/>
        <v>-0.55000000000000004</v>
      </c>
      <c r="S108" s="552">
        <v>0</v>
      </c>
      <c r="T108" s="8">
        <f t="shared" si="33"/>
        <v>-0.55000000000000004</v>
      </c>
      <c r="U108" s="11">
        <f t="shared" si="34"/>
        <v>-117.81894235339809</v>
      </c>
      <c r="V108" s="345">
        <f t="shared" si="27"/>
        <v>-995.01701424962357</v>
      </c>
      <c r="W108" s="12"/>
    </row>
    <row r="109" spans="1:23" x14ac:dyDescent="0.25">
      <c r="A109" s="2">
        <v>89</v>
      </c>
      <c r="B109" s="11">
        <f>A109/100*'Inputs-Imperial'!$E$5</f>
        <v>21.432415383999999</v>
      </c>
      <c r="C109" s="8">
        <f>'Inputs-Imperial'!$E$10+('Inputs-Imperial'!$E$9-'Inputs-Imperial'!$E$10)*(100-A109)/100</f>
        <v>3.5012304270000003</v>
      </c>
      <c r="D109" s="8">
        <f t="shared" si="35"/>
        <v>0.24081365600000026</v>
      </c>
      <c r="E109" s="8">
        <f t="shared" si="36"/>
        <v>0.84528716741565935</v>
      </c>
      <c r="F109" s="11">
        <f t="shared" si="21"/>
        <v>81.236881280133403</v>
      </c>
      <c r="G109" s="8">
        <f t="shared" si="22"/>
        <v>2.4356117540207696</v>
      </c>
      <c r="H109" s="8">
        <f t="shared" si="28"/>
        <v>2.9684210905103852</v>
      </c>
      <c r="I109" s="8">
        <f t="shared" si="37"/>
        <v>0.72202230257409239</v>
      </c>
      <c r="J109" s="11">
        <f t="shared" si="23"/>
        <v>69.390430065499061</v>
      </c>
      <c r="K109" s="550">
        <v>0</v>
      </c>
      <c r="L109" s="11">
        <f t="shared" si="29"/>
        <v>69.390430065499061</v>
      </c>
      <c r="M109" s="150">
        <f t="shared" si="24"/>
        <v>640.56476184030112</v>
      </c>
      <c r="N109" s="149">
        <f t="shared" si="25"/>
        <v>864.42682303196057</v>
      </c>
      <c r="O109" s="11">
        <f t="shared" si="30"/>
        <v>6.9390430065499062</v>
      </c>
      <c r="P109" s="345">
        <f t="shared" si="31"/>
        <v>64.056476184030103</v>
      </c>
      <c r="Q109" s="416">
        <f t="shared" si="26"/>
        <v>86.442682303196037</v>
      </c>
      <c r="R109" s="8">
        <f t="shared" si="32"/>
        <v>-0.55000000000000004</v>
      </c>
      <c r="S109" s="552">
        <v>0</v>
      </c>
      <c r="T109" s="8">
        <f t="shared" si="33"/>
        <v>-0.55000000000000004</v>
      </c>
      <c r="U109" s="11">
        <f t="shared" si="34"/>
        <v>-113.28900884730734</v>
      </c>
      <c r="V109" s="345">
        <f t="shared" si="27"/>
        <v>-881.72800540231628</v>
      </c>
      <c r="W109" s="12"/>
    </row>
    <row r="110" spans="1:23" x14ac:dyDescent="0.25">
      <c r="A110" s="2">
        <v>90</v>
      </c>
      <c r="B110" s="11">
        <f>A110/100*'Inputs-Imperial'!$E$5</f>
        <v>21.673229039999999</v>
      </c>
      <c r="C110" s="8">
        <f>'Inputs-Imperial'!$E$10+('Inputs-Imperial'!$E$9-'Inputs-Imperial'!$E$10)*(100-A110)/100</f>
        <v>3.4834318700000004</v>
      </c>
      <c r="D110" s="8">
        <f t="shared" si="35"/>
        <v>0.24081365600000026</v>
      </c>
      <c r="E110" s="8">
        <f t="shared" si="36"/>
        <v>0.84100103183296493</v>
      </c>
      <c r="F110" s="11">
        <f t="shared" si="21"/>
        <v>80.824959390266741</v>
      </c>
      <c r="G110" s="8">
        <f t="shared" si="22"/>
        <v>2.3284001417938973</v>
      </c>
      <c r="H110" s="8">
        <f t="shared" si="28"/>
        <v>2.9059160058969491</v>
      </c>
      <c r="I110" s="8">
        <f t="shared" si="37"/>
        <v>0.70731029638113807</v>
      </c>
      <c r="J110" s="11">
        <f t="shared" si="23"/>
        <v>67.976522997509804</v>
      </c>
      <c r="K110" s="550">
        <v>0</v>
      </c>
      <c r="L110" s="11">
        <f t="shared" si="29"/>
        <v>67.976522997509804</v>
      </c>
      <c r="M110" s="150">
        <f t="shared" si="24"/>
        <v>572.58823884279127</v>
      </c>
      <c r="N110" s="149">
        <f t="shared" si="25"/>
        <v>710.17008082842813</v>
      </c>
      <c r="O110" s="11">
        <f t="shared" si="30"/>
        <v>6.7976522997509807</v>
      </c>
      <c r="P110" s="345">
        <f t="shared" si="31"/>
        <v>57.258823884279124</v>
      </c>
      <c r="Q110" s="416">
        <f t="shared" si="26"/>
        <v>71.017008082842807</v>
      </c>
      <c r="R110" s="8">
        <f t="shared" si="32"/>
        <v>-0.55000000000000004</v>
      </c>
      <c r="S110" s="552">
        <v>0</v>
      </c>
      <c r="T110" s="8">
        <f t="shared" si="33"/>
        <v>-0.55000000000000004</v>
      </c>
      <c r="U110" s="11">
        <f t="shared" si="34"/>
        <v>-108.64373641202721</v>
      </c>
      <c r="V110" s="345">
        <f t="shared" si="27"/>
        <v>-773.08426899028905</v>
      </c>
      <c r="W110" s="12"/>
    </row>
    <row r="111" spans="1:23" x14ac:dyDescent="0.25">
      <c r="A111" s="2">
        <v>91</v>
      </c>
      <c r="B111" s="11">
        <f>A111/100*'Inputs-Imperial'!$E$5</f>
        <v>21.914042695999999</v>
      </c>
      <c r="C111" s="8">
        <f>'Inputs-Imperial'!$E$10+('Inputs-Imperial'!$E$9-'Inputs-Imperial'!$E$10)*(100-A111)/100</f>
        <v>3.4656333130000001</v>
      </c>
      <c r="D111" s="8">
        <f t="shared" si="35"/>
        <v>0.24081365600000026</v>
      </c>
      <c r="E111" s="8">
        <f t="shared" si="36"/>
        <v>0.8367148962502704</v>
      </c>
      <c r="F111" s="11">
        <f t="shared" si="21"/>
        <v>80.413037500400051</v>
      </c>
      <c r="G111" s="8">
        <f t="shared" si="22"/>
        <v>2.2147196296009715</v>
      </c>
      <c r="H111" s="8">
        <f t="shared" si="28"/>
        <v>2.8401764713004858</v>
      </c>
      <c r="I111" s="8">
        <f t="shared" si="37"/>
        <v>0.69186876857400614</v>
      </c>
      <c r="J111" s="11">
        <f t="shared" si="23"/>
        <v>66.492504773162366</v>
      </c>
      <c r="K111" s="550">
        <v>0</v>
      </c>
      <c r="L111" s="11">
        <f t="shared" si="29"/>
        <v>66.492504773162366</v>
      </c>
      <c r="M111" s="150">
        <f t="shared" si="24"/>
        <v>506.09573406962892</v>
      </c>
      <c r="N111" s="149">
        <f t="shared" si="25"/>
        <v>572.28301365009418</v>
      </c>
      <c r="O111" s="11">
        <f t="shared" si="30"/>
        <v>6.6492504773162366</v>
      </c>
      <c r="P111" s="345">
        <f t="shared" si="31"/>
        <v>50.609573406962888</v>
      </c>
      <c r="Q111" s="416">
        <f t="shared" si="26"/>
        <v>57.228301365009415</v>
      </c>
      <c r="R111" s="8">
        <f t="shared" si="32"/>
        <v>-0.55000000000000004</v>
      </c>
      <c r="S111" s="552">
        <v>0</v>
      </c>
      <c r="T111" s="8">
        <f t="shared" si="33"/>
        <v>-0.55000000000000004</v>
      </c>
      <c r="U111" s="11">
        <f t="shared" si="34"/>
        <v>-103.86774616601406</v>
      </c>
      <c r="V111" s="345">
        <f t="shared" si="27"/>
        <v>-669.21652282427499</v>
      </c>
      <c r="W111" s="12"/>
    </row>
    <row r="112" spans="1:23" x14ac:dyDescent="0.25">
      <c r="A112" s="2">
        <v>92</v>
      </c>
      <c r="B112" s="11">
        <f>A112/100*'Inputs-Imperial'!$E$5</f>
        <v>22.154856351999999</v>
      </c>
      <c r="C112" s="8">
        <f>'Inputs-Imperial'!$E$10+('Inputs-Imperial'!$E$9-'Inputs-Imperial'!$E$10)*(100-A112)/100</f>
        <v>3.4478347560000002</v>
      </c>
      <c r="D112" s="8">
        <f t="shared" si="35"/>
        <v>0.24081365600000026</v>
      </c>
      <c r="E112" s="8">
        <f t="shared" si="36"/>
        <v>0.8324287606675761</v>
      </c>
      <c r="F112" s="11">
        <f t="shared" si="21"/>
        <v>80.001115610533404</v>
      </c>
      <c r="G112" s="8">
        <f t="shared" si="22"/>
        <v>2.0935166750294103</v>
      </c>
      <c r="H112" s="8">
        <f t="shared" si="28"/>
        <v>2.770675715514705</v>
      </c>
      <c r="I112" s="8">
        <f t="shared" si="37"/>
        <v>0.67558491419128119</v>
      </c>
      <c r="J112" s="11">
        <f t="shared" si="23"/>
        <v>64.927534197166494</v>
      </c>
      <c r="K112" s="550">
        <v>0</v>
      </c>
      <c r="L112" s="11">
        <f t="shared" si="29"/>
        <v>64.927534197166494</v>
      </c>
      <c r="M112" s="150">
        <f t="shared" si="24"/>
        <v>441.16819987246242</v>
      </c>
      <c r="N112" s="149">
        <f t="shared" si="25"/>
        <v>450.40824964278295</v>
      </c>
      <c r="O112" s="11">
        <f t="shared" si="30"/>
        <v>6.4927534197166494</v>
      </c>
      <c r="P112" s="345">
        <f t="shared" si="31"/>
        <v>44.116819987246238</v>
      </c>
      <c r="Q112" s="416">
        <f t="shared" si="26"/>
        <v>45.040824964278293</v>
      </c>
      <c r="R112" s="8">
        <f t="shared" si="32"/>
        <v>-0.55000000000000004</v>
      </c>
      <c r="S112" s="552">
        <v>0</v>
      </c>
      <c r="T112" s="8">
        <f t="shared" si="33"/>
        <v>-0.55000000000000004</v>
      </c>
      <c r="U112" s="11">
        <f t="shared" si="34"/>
        <v>-98.941228247586864</v>
      </c>
      <c r="V112" s="345">
        <f t="shared" si="27"/>
        <v>-570.27529457668811</v>
      </c>
      <c r="W112" s="12"/>
    </row>
    <row r="113" spans="1:23" x14ac:dyDescent="0.25">
      <c r="A113" s="2">
        <v>93</v>
      </c>
      <c r="B113" s="11">
        <f>A113/100*'Inputs-Imperial'!$E$5</f>
        <v>22.395670008</v>
      </c>
      <c r="C113" s="8">
        <f>'Inputs-Imperial'!$E$10+('Inputs-Imperial'!$E$9-'Inputs-Imperial'!$E$10)*(100-A113)/100</f>
        <v>3.4300361990000003</v>
      </c>
      <c r="D113" s="8">
        <f t="shared" si="35"/>
        <v>0.24081365600000026</v>
      </c>
      <c r="E113" s="8">
        <f t="shared" si="36"/>
        <v>0.82814262508488168</v>
      </c>
      <c r="F113" s="11">
        <f t="shared" si="21"/>
        <v>79.589193720666728</v>
      </c>
      <c r="G113" s="8">
        <f t="shared" si="22"/>
        <v>1.9633986637880847</v>
      </c>
      <c r="H113" s="8">
        <f t="shared" si="28"/>
        <v>2.6967174313940427</v>
      </c>
      <c r="I113" s="8">
        <f t="shared" si="37"/>
        <v>0.65831146624822101</v>
      </c>
      <c r="J113" s="11">
        <f t="shared" si="23"/>
        <v>63.267458078728374</v>
      </c>
      <c r="K113" s="550">
        <v>0</v>
      </c>
      <c r="L113" s="11">
        <f t="shared" si="29"/>
        <v>63.267458078728374</v>
      </c>
      <c r="M113" s="150">
        <f t="shared" si="24"/>
        <v>377.90074179373403</v>
      </c>
      <c r="N113" s="149">
        <f t="shared" si="25"/>
        <v>344.16892252055641</v>
      </c>
      <c r="O113" s="11">
        <f t="shared" si="30"/>
        <v>6.3267458078728378</v>
      </c>
      <c r="P113" s="345">
        <f t="shared" si="31"/>
        <v>37.790074179373399</v>
      </c>
      <c r="Q113" s="416">
        <f t="shared" si="26"/>
        <v>34.416892252055639</v>
      </c>
      <c r="R113" s="8">
        <f t="shared" si="32"/>
        <v>-0.55000000000000004</v>
      </c>
      <c r="S113" s="552">
        <v>0</v>
      </c>
      <c r="T113" s="8">
        <f t="shared" si="33"/>
        <v>-0.55000000000000004</v>
      </c>
      <c r="U113" s="11">
        <f t="shared" si="34"/>
        <v>-93.837951372494274</v>
      </c>
      <c r="V113" s="345">
        <f t="shared" si="27"/>
        <v>-476.43734320419384</v>
      </c>
      <c r="W113" s="12"/>
    </row>
    <row r="114" spans="1:23" x14ac:dyDescent="0.25">
      <c r="A114" s="2">
        <v>94</v>
      </c>
      <c r="B114" s="11">
        <f>A114/100*'Inputs-Imperial'!$E$5</f>
        <v>22.636483663999996</v>
      </c>
      <c r="C114" s="8">
        <f>'Inputs-Imperial'!$E$10+('Inputs-Imperial'!$E$9-'Inputs-Imperial'!$E$10)*(100-A114)/100</f>
        <v>3.4122376420000005</v>
      </c>
      <c r="D114" s="8">
        <f t="shared" si="35"/>
        <v>0.24081365599999671</v>
      </c>
      <c r="E114" s="8">
        <f t="shared" si="36"/>
        <v>0.82385648950217516</v>
      </c>
      <c r="F114" s="11">
        <f t="shared" si="21"/>
        <v>79.177271830798901</v>
      </c>
      <c r="G114" s="8">
        <f t="shared" si="22"/>
        <v>1.8224570696605702</v>
      </c>
      <c r="H114" s="8">
        <f t="shared" si="28"/>
        <v>2.6173473558302853</v>
      </c>
      <c r="I114" s="8">
        <f t="shared" si="37"/>
        <v>0.63984968481616755</v>
      </c>
      <c r="J114" s="11">
        <f t="shared" si="23"/>
        <v>61.493176385796907</v>
      </c>
      <c r="K114" s="550">
        <v>0</v>
      </c>
      <c r="L114" s="11">
        <f t="shared" si="29"/>
        <v>61.493176385796907</v>
      </c>
      <c r="M114" s="150">
        <f t="shared" si="24"/>
        <v>316.40756540793711</v>
      </c>
      <c r="N114" s="149">
        <f t="shared" si="25"/>
        <v>253.16526328409657</v>
      </c>
      <c r="O114" s="11">
        <f t="shared" si="30"/>
        <v>6.1493176385796904</v>
      </c>
      <c r="P114" s="345">
        <f t="shared" si="31"/>
        <v>31.640756540793706</v>
      </c>
      <c r="Q114" s="416">
        <f t="shared" si="26"/>
        <v>25.316526328409655</v>
      </c>
      <c r="R114" s="8">
        <f t="shared" si="32"/>
        <v>-0.55000000000000004</v>
      </c>
      <c r="S114" s="552">
        <v>0</v>
      </c>
      <c r="T114" s="8">
        <f t="shared" si="33"/>
        <v>-0.55000000000000004</v>
      </c>
      <c r="U114" s="11">
        <f t="shared" si="34"/>
        <v>-88.521951438233984</v>
      </c>
      <c r="V114" s="345">
        <f t="shared" si="27"/>
        <v>-387.91539176595984</v>
      </c>
      <c r="W114" s="12"/>
    </row>
    <row r="115" spans="1:23" x14ac:dyDescent="0.25">
      <c r="A115" s="2">
        <v>95</v>
      </c>
      <c r="B115" s="11">
        <f>A115/100*'Inputs-Imperial'!$E$5</f>
        <v>22.877297319999997</v>
      </c>
      <c r="C115" s="8">
        <f>'Inputs-Imperial'!$E$10+('Inputs-Imperial'!$E$9-'Inputs-Imperial'!$E$10)*(100-A115)/100</f>
        <v>3.3944390850000001</v>
      </c>
      <c r="D115" s="8">
        <f t="shared" si="35"/>
        <v>0.24081365600000026</v>
      </c>
      <c r="E115" s="8">
        <f t="shared" si="36"/>
        <v>0.81957035391949296</v>
      </c>
      <c r="F115" s="11">
        <f t="shared" si="21"/>
        <v>78.765349940933405</v>
      </c>
      <c r="G115" s="8">
        <f t="shared" si="22"/>
        <v>1.6679503715635704</v>
      </c>
      <c r="H115" s="8">
        <f t="shared" si="28"/>
        <v>2.5311947282817853</v>
      </c>
      <c r="I115" s="8">
        <f t="shared" si="37"/>
        <v>0.61991962117244437</v>
      </c>
      <c r="J115" s="11">
        <f t="shared" si="23"/>
        <v>59.57778446155811</v>
      </c>
      <c r="K115" s="550">
        <v>0</v>
      </c>
      <c r="L115" s="11">
        <f t="shared" si="29"/>
        <v>59.57778446155811</v>
      </c>
      <c r="M115" s="150">
        <f t="shared" si="24"/>
        <v>256.829780946379</v>
      </c>
      <c r="N115" s="149">
        <f t="shared" si="25"/>
        <v>176.970000672152</v>
      </c>
      <c r="O115" s="11">
        <f t="shared" si="30"/>
        <v>5.9577784461558112</v>
      </c>
      <c r="P115" s="345">
        <f t="shared" si="31"/>
        <v>25.682978094637896</v>
      </c>
      <c r="Q115" s="416">
        <f t="shared" si="26"/>
        <v>17.6970000672152</v>
      </c>
      <c r="R115" s="8">
        <f t="shared" si="32"/>
        <v>-0.55000000000000004</v>
      </c>
      <c r="S115" s="552">
        <v>0</v>
      </c>
      <c r="T115" s="8">
        <f t="shared" si="33"/>
        <v>-0.55000000000000004</v>
      </c>
      <c r="U115" s="11">
        <f t="shared" si="34"/>
        <v>-82.941635673492399</v>
      </c>
      <c r="V115" s="345">
        <f t="shared" si="27"/>
        <v>-304.97375609246745</v>
      </c>
      <c r="W115" s="12"/>
    </row>
    <row r="116" spans="1:23" x14ac:dyDescent="0.25">
      <c r="A116" s="2">
        <v>96</v>
      </c>
      <c r="B116" s="11">
        <f>A116/100*'Inputs-Imperial'!$E$5</f>
        <v>23.118110975999997</v>
      </c>
      <c r="C116" s="8">
        <f>'Inputs-Imperial'!$E$10+('Inputs-Imperial'!$E$9-'Inputs-Imperial'!$E$10)*(100-A116)/100</f>
        <v>3.3766405280000003</v>
      </c>
      <c r="D116" s="8">
        <f t="shared" si="35"/>
        <v>0.24081365600000026</v>
      </c>
      <c r="E116" s="8">
        <f t="shared" si="36"/>
        <v>0.81528421833679854</v>
      </c>
      <c r="F116" s="11">
        <f t="shared" ref="F116:F120" si="38">E116*$D$9</f>
        <v>78.353428051066729</v>
      </c>
      <c r="G116" s="8">
        <f t="shared" si="22"/>
        <v>1.4956805563671083</v>
      </c>
      <c r="H116" s="8">
        <f t="shared" si="28"/>
        <v>2.4361605421835542</v>
      </c>
      <c r="I116" s="8">
        <f t="shared" si="37"/>
        <v>0.59810349166581422</v>
      </c>
      <c r="J116" s="11">
        <f t="shared" ref="J116:J120" si="39">I116*$D$9</f>
        <v>57.481130932390506</v>
      </c>
      <c r="K116" s="550">
        <v>0</v>
      </c>
      <c r="L116" s="11">
        <f t="shared" si="29"/>
        <v>57.481130932390506</v>
      </c>
      <c r="M116" s="150">
        <f t="shared" si="24"/>
        <v>199.34865001398848</v>
      </c>
      <c r="N116" s="149">
        <f t="shared" ref="N116:N118" si="40">M116*D117+N117</f>
        <v>115.12188215277526</v>
      </c>
      <c r="O116" s="11">
        <f t="shared" si="30"/>
        <v>5.7481130932390503</v>
      </c>
      <c r="P116" s="345">
        <f t="shared" si="31"/>
        <v>19.934865001398848</v>
      </c>
      <c r="Q116" s="416">
        <f t="shared" si="26"/>
        <v>11.512188215277526</v>
      </c>
      <c r="R116" s="8">
        <f t="shared" si="32"/>
        <v>-0.55000000000000004</v>
      </c>
      <c r="S116" s="552">
        <v>0</v>
      </c>
      <c r="T116" s="8">
        <f t="shared" si="33"/>
        <v>-0.55000000000000004</v>
      </c>
      <c r="U116" s="11">
        <f t="shared" si="34"/>
        <v>-77.018294703666982</v>
      </c>
      <c r="V116" s="345">
        <f t="shared" si="27"/>
        <v>-227.95546138880047</v>
      </c>
      <c r="W116" s="12"/>
    </row>
    <row r="117" spans="1:23" x14ac:dyDescent="0.25">
      <c r="A117" s="2">
        <v>97</v>
      </c>
      <c r="B117" s="11">
        <f>A117/100*'Inputs-Imperial'!$E$5</f>
        <v>23.358924631999997</v>
      </c>
      <c r="C117" s="8">
        <f>'Inputs-Imperial'!$E$10+('Inputs-Imperial'!$E$9-'Inputs-Imperial'!$E$10)*(100-A117)/100</f>
        <v>3.3588419710000004</v>
      </c>
      <c r="D117" s="8">
        <f t="shared" si="35"/>
        <v>0.24081365600000026</v>
      </c>
      <c r="E117" s="8">
        <f t="shared" si="36"/>
        <v>0.81099808275410412</v>
      </c>
      <c r="F117" s="11">
        <f t="shared" si="38"/>
        <v>77.941506161200067</v>
      </c>
      <c r="G117" s="8">
        <f t="shared" si="22"/>
        <v>1.2985974837656598</v>
      </c>
      <c r="H117" s="8">
        <f t="shared" si="28"/>
        <v>2.32871972738283</v>
      </c>
      <c r="I117" s="8">
        <f t="shared" si="37"/>
        <v>0.57372411905827392</v>
      </c>
      <c r="J117" s="11">
        <f t="shared" si="39"/>
        <v>55.138135232765741</v>
      </c>
      <c r="K117" s="550">
        <v>0</v>
      </c>
      <c r="L117" s="11">
        <f t="shared" si="29"/>
        <v>55.138135232765741</v>
      </c>
      <c r="M117" s="150">
        <f t="shared" si="24"/>
        <v>144.21051478122274</v>
      </c>
      <c r="N117" s="149">
        <f t="shared" si="40"/>
        <v>67.116004924242191</v>
      </c>
      <c r="O117" s="11">
        <f t="shared" si="30"/>
        <v>5.5138135232765739</v>
      </c>
      <c r="P117" s="345">
        <f t="shared" si="31"/>
        <v>14.421051478122273</v>
      </c>
      <c r="Q117" s="416">
        <f t="shared" si="26"/>
        <v>6.7116004924242185</v>
      </c>
      <c r="R117" s="8">
        <f t="shared" si="32"/>
        <v>-0.55000000000000004</v>
      </c>
      <c r="S117" s="552">
        <v>0</v>
      </c>
      <c r="T117" s="8">
        <f t="shared" si="33"/>
        <v>-0.55000000000000004</v>
      </c>
      <c r="U117" s="11">
        <f t="shared" si="34"/>
        <v>-70.620694786204126</v>
      </c>
      <c r="V117" s="345">
        <f t="shared" si="27"/>
        <v>-157.33476660259635</v>
      </c>
      <c r="W117" s="12"/>
    </row>
    <row r="118" spans="1:23" x14ac:dyDescent="0.25">
      <c r="A118" s="2">
        <v>98</v>
      </c>
      <c r="B118" s="11">
        <f>A118/100*'Inputs-Imperial'!$E$5</f>
        <v>23.599738287999998</v>
      </c>
      <c r="C118" s="8">
        <f>'Inputs-Imperial'!$E$10+('Inputs-Imperial'!$E$9-'Inputs-Imperial'!$E$10)*(100-A118)/100</f>
        <v>3.3410434140000005</v>
      </c>
      <c r="D118" s="8">
        <f t="shared" si="35"/>
        <v>0.24081365600000026</v>
      </c>
      <c r="E118" s="8">
        <f t="shared" si="36"/>
        <v>0.80671194717140982</v>
      </c>
      <c r="F118" s="11">
        <f t="shared" si="38"/>
        <v>77.529584271333405</v>
      </c>
      <c r="G118" s="8">
        <f t="shared" si="22"/>
        <v>1.0629881167927955</v>
      </c>
      <c r="H118" s="8">
        <f t="shared" si="28"/>
        <v>2.2020157653963981</v>
      </c>
      <c r="I118" s="8">
        <f t="shared" si="37"/>
        <v>0.54553148919256433</v>
      </c>
      <c r="J118" s="11">
        <f t="shared" si="39"/>
        <v>52.428663926845424</v>
      </c>
      <c r="K118" s="550">
        <v>0</v>
      </c>
      <c r="L118" s="11">
        <f t="shared" si="29"/>
        <v>52.428663926845424</v>
      </c>
      <c r="M118" s="150">
        <f>M119+L119</f>
        <v>91.781850854377311</v>
      </c>
      <c r="N118" s="149">
        <f t="shared" si="40"/>
        <v>32.388143626133861</v>
      </c>
      <c r="O118" s="11">
        <f t="shared" si="30"/>
        <v>5.242866392684542</v>
      </c>
      <c r="P118" s="345">
        <f t="shared" si="31"/>
        <v>9.1781850854377307</v>
      </c>
      <c r="Q118" s="416">
        <f t="shared" si="26"/>
        <v>3.2388143626133861</v>
      </c>
      <c r="R118" s="8">
        <f t="shared" si="32"/>
        <v>-0.55000000000000004</v>
      </c>
      <c r="S118" s="552">
        <v>0</v>
      </c>
      <c r="T118" s="8">
        <f t="shared" si="33"/>
        <v>-0.55000000000000004</v>
      </c>
      <c r="U118" s="11">
        <f t="shared" si="34"/>
        <v>-63.496809489070685</v>
      </c>
      <c r="V118" s="345">
        <f t="shared" si="27"/>
        <v>-93.837957113525647</v>
      </c>
      <c r="W118" s="12"/>
    </row>
    <row r="119" spans="1:23" ht="15.75" thickBot="1" x14ac:dyDescent="0.3">
      <c r="A119" s="2">
        <v>99</v>
      </c>
      <c r="B119" s="11">
        <f>A119/100*'Inputs-Imperial'!$E$5</f>
        <v>23.840551943999998</v>
      </c>
      <c r="C119" s="8">
        <f>'Inputs-Imperial'!$E$10+('Inputs-Imperial'!$E$9-'Inputs-Imperial'!$E$10)*(100-A119)/100</f>
        <v>3.3232448570000002</v>
      </c>
      <c r="D119" s="8">
        <f t="shared" si="35"/>
        <v>0.24081365600000026</v>
      </c>
      <c r="E119" s="8">
        <f t="shared" si="36"/>
        <v>0.80242581158871529</v>
      </c>
      <c r="F119" s="11">
        <f t="shared" si="38"/>
        <v>77.117662381466729</v>
      </c>
      <c r="G119" s="8">
        <f t="shared" si="22"/>
        <v>0.75354181137823517</v>
      </c>
      <c r="H119" s="8">
        <f t="shared" si="28"/>
        <v>2.0383933341891178</v>
      </c>
      <c r="I119" s="8">
        <f t="shared" si="37"/>
        <v>0.51057420910342866</v>
      </c>
      <c r="J119" s="11">
        <f t="shared" si="39"/>
        <v>49.069071445204166</v>
      </c>
      <c r="K119" s="550">
        <v>0</v>
      </c>
      <c r="L119" s="11">
        <f t="shared" si="29"/>
        <v>49.069071445204166</v>
      </c>
      <c r="M119" s="150">
        <f>M120+L120</f>
        <v>42.712779409173145</v>
      </c>
      <c r="N119" s="149">
        <f>M119*D120+N120</f>
        <v>10.285820567444516</v>
      </c>
      <c r="O119" s="11">
        <f t="shared" si="30"/>
        <v>4.9069071445204164</v>
      </c>
      <c r="P119" s="345">
        <f>P120+O120</f>
        <v>4.2712779409173143</v>
      </c>
      <c r="Q119" s="416">
        <f>P119*D120+Q120</f>
        <v>1.0285820567444515</v>
      </c>
      <c r="R119" s="8">
        <f t="shared" si="32"/>
        <v>-0.55000000000000004</v>
      </c>
      <c r="S119" s="552">
        <v>0</v>
      </c>
      <c r="T119" s="8">
        <f t="shared" si="33"/>
        <v>-0.55000000000000004</v>
      </c>
      <c r="U119" s="11">
        <f t="shared" si="34"/>
        <v>-55.01213748181457</v>
      </c>
      <c r="V119" s="345">
        <f>V120+U120</f>
        <v>-38.825819631711084</v>
      </c>
      <c r="W119" s="12"/>
    </row>
    <row r="120" spans="1:23" ht="15.75" thickBot="1" x14ac:dyDescent="0.3">
      <c r="A120" s="2">
        <v>100</v>
      </c>
      <c r="B120" s="11">
        <f>A120/100*'Inputs-Imperial'!$E$5</f>
        <v>24.081365599999998</v>
      </c>
      <c r="C120" s="8">
        <f>'Inputs-Imperial'!$E$10+('Inputs-Imperial'!$E$9-'Inputs-Imperial'!$E$10)*(100-A120)/100</f>
        <v>3.3054463000000003</v>
      </c>
      <c r="D120" s="8">
        <f t="shared" si="35"/>
        <v>0.24081365600000026</v>
      </c>
      <c r="E120" s="8">
        <f t="shared" si="36"/>
        <v>0.79813967600602098</v>
      </c>
      <c r="F120" s="11">
        <f t="shared" si="38"/>
        <v>76.705740491600068</v>
      </c>
      <c r="G120" s="8">
        <f t="shared" si="22"/>
        <v>0</v>
      </c>
      <c r="H120" s="8">
        <f t="shared" si="28"/>
        <v>1.6527231500000001</v>
      </c>
      <c r="I120" s="8">
        <f t="shared" si="37"/>
        <v>0.44443562763972438</v>
      </c>
      <c r="J120" s="11">
        <f t="shared" si="39"/>
        <v>42.712779409173145</v>
      </c>
      <c r="K120" s="551">
        <v>0</v>
      </c>
      <c r="L120" s="11">
        <f t="shared" si="29"/>
        <v>42.712779409173145</v>
      </c>
      <c r="M120" s="147">
        <v>0</v>
      </c>
      <c r="N120" s="148">
        <v>0</v>
      </c>
      <c r="O120" s="11">
        <f t="shared" si="30"/>
        <v>4.2712779409173143</v>
      </c>
      <c r="P120" s="415">
        <v>0</v>
      </c>
      <c r="Q120" s="417">
        <v>0</v>
      </c>
      <c r="R120" s="8">
        <f t="shared" si="32"/>
        <v>-0.55000000000000004</v>
      </c>
      <c r="S120" s="552">
        <v>0</v>
      </c>
      <c r="T120" s="8">
        <f t="shared" si="33"/>
        <v>-0.55000000000000004</v>
      </c>
      <c r="U120" s="11">
        <f t="shared" si="34"/>
        <v>-38.825819631711084</v>
      </c>
      <c r="V120" s="415">
        <v>0</v>
      </c>
      <c r="W120" s="12"/>
    </row>
  </sheetData>
  <sheetProtection sheet="1" objects="1" scenarios="1"/>
  <pageMargins left="0.7" right="0.7" top="0.75" bottom="0.75" header="0.3" footer="0.3"/>
  <pageSetup orientation="portrait" horizontalDpi="0"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4"/>
  <dimension ref="A1:JF160"/>
  <sheetViews>
    <sheetView zoomScale="85" zoomScaleNormal="85" workbookViewId="0">
      <selection activeCell="DO60" sqref="DO60"/>
    </sheetView>
  </sheetViews>
  <sheetFormatPr defaultRowHeight="15" outlineLevelCol="1" x14ac:dyDescent="0.25"/>
  <cols>
    <col min="1" max="1" width="39.140625" customWidth="1"/>
    <col min="2" max="2" width="47" customWidth="1"/>
    <col min="3" max="3" width="16" customWidth="1"/>
    <col min="4" max="4" width="9.140625" bestFit="1" customWidth="1"/>
    <col min="5" max="5" width="11" customWidth="1"/>
    <col min="6" max="7" width="9.85546875" customWidth="1"/>
    <col min="8" max="8" width="22.5703125" bestFit="1" customWidth="1"/>
    <col min="9" max="10" width="9.85546875" customWidth="1"/>
    <col min="11" max="11" width="8.140625" bestFit="1" customWidth="1"/>
    <col min="12" max="12" width="3.85546875" customWidth="1"/>
    <col min="13" max="13" width="5.85546875" bestFit="1" customWidth="1"/>
    <col min="14" max="14" width="8.5703125" bestFit="1" customWidth="1"/>
    <col min="15" max="15" width="8.85546875" customWidth="1"/>
    <col min="16" max="16" width="9.5703125" customWidth="1"/>
    <col min="17" max="17" width="7.140625" customWidth="1"/>
    <col min="18" max="19" width="8.85546875" customWidth="1"/>
    <col min="20" max="20" width="11.28515625" customWidth="1"/>
    <col min="21" max="23" width="9.5703125" customWidth="1"/>
    <col min="24" max="24" width="10.140625" customWidth="1"/>
    <col min="25" max="25" width="7.85546875" customWidth="1"/>
    <col min="26" max="26" width="9.140625" customWidth="1"/>
    <col min="27" max="27" width="8.5703125" customWidth="1"/>
    <col min="28" max="29" width="6.85546875" customWidth="1"/>
    <col min="30" max="30" width="9.85546875" customWidth="1"/>
    <col min="31" max="31" width="14.5703125" customWidth="1"/>
    <col min="32" max="32" width="18.42578125" customWidth="1"/>
    <col min="33" max="33" width="12.42578125" customWidth="1"/>
    <col min="34" max="34" width="8.7109375" customWidth="1"/>
    <col min="35" max="35" width="11.42578125" customWidth="1"/>
    <col min="36" max="36" width="10.42578125" customWidth="1"/>
    <col min="37" max="37" width="9.140625" hidden="1" customWidth="1" outlineLevel="1"/>
    <col min="38" max="39" width="8.85546875" hidden="1" customWidth="1" outlineLevel="1"/>
    <col min="40" max="40" width="10.140625" hidden="1" customWidth="1" outlineLevel="1"/>
    <col min="41" max="42" width="9.85546875" hidden="1" customWidth="1" outlineLevel="1"/>
    <col min="43" max="43" width="11.85546875" hidden="1" customWidth="1" outlineLevel="1"/>
    <col min="44" max="45" width="8.85546875" hidden="1" customWidth="1" outlineLevel="1"/>
    <col min="46" max="46" width="12.5703125" hidden="1" customWidth="1" outlineLevel="1"/>
    <col min="47" max="48" width="8.85546875" hidden="1" customWidth="1" outlineLevel="1"/>
    <col min="49" max="49" width="10.5703125" hidden="1" customWidth="1" outlineLevel="1"/>
    <col min="50" max="50" width="9.5703125" hidden="1" customWidth="1" outlineLevel="1"/>
    <col min="51" max="56" width="8.85546875" hidden="1" customWidth="1" outlineLevel="1"/>
    <col min="57" max="57" width="10.42578125" hidden="1" customWidth="1" outlineLevel="1"/>
    <col min="58" max="58" width="9.5703125" hidden="1" customWidth="1" outlineLevel="1"/>
    <col min="59" max="64" width="8.85546875" hidden="1" customWidth="1" outlineLevel="1"/>
    <col min="65" max="65" width="10.140625" customWidth="1" collapsed="1"/>
    <col min="66" max="66" width="12" customWidth="1"/>
    <col min="67" max="67" width="11.85546875" customWidth="1"/>
    <col min="68" max="91" width="10.5703125" hidden="1" customWidth="1" outlineLevel="1"/>
    <col min="92" max="92" width="10.5703125" customWidth="1" collapsed="1"/>
    <col min="93" max="94" width="10.5703125" customWidth="1"/>
    <col min="95" max="95" width="10.42578125" customWidth="1"/>
    <col min="96" max="96" width="12.5703125" hidden="1" customWidth="1" outlineLevel="1"/>
    <col min="97" max="97" width="9" hidden="1" customWidth="1" outlineLevel="1"/>
    <col min="98" max="98" width="9.140625" hidden="1" customWidth="1" outlineLevel="1"/>
    <col min="99" max="99" width="9.5703125" hidden="1" customWidth="1" outlineLevel="1"/>
    <col min="100" max="100" width="8.42578125" hidden="1" customWidth="1" outlineLevel="1"/>
    <col min="101" max="101" width="9.140625" hidden="1" customWidth="1" outlineLevel="1"/>
    <col min="102" max="102" width="10.5703125" hidden="1" customWidth="1" outlineLevel="1"/>
    <col min="103" max="103" width="9" hidden="1" customWidth="1" outlineLevel="1"/>
    <col min="104" max="104" width="9.140625" hidden="1" customWidth="1" outlineLevel="1"/>
    <col min="105" max="105" width="9.5703125" hidden="1" customWidth="1" outlineLevel="1"/>
    <col min="106" max="106" width="8.42578125" hidden="1" customWidth="1" outlineLevel="1"/>
    <col min="107" max="107" width="8.85546875" hidden="1" customWidth="1" outlineLevel="1"/>
    <col min="108" max="108" width="12.28515625" hidden="1" customWidth="1" outlineLevel="1"/>
    <col min="109" max="109" width="8.85546875" hidden="1" customWidth="1" outlineLevel="1"/>
    <col min="110" max="110" width="9.28515625" hidden="1" customWidth="1" outlineLevel="1"/>
    <col min="111" max="118" width="8.85546875" hidden="1" customWidth="1" outlineLevel="1"/>
    <col min="119" max="119" width="8.7109375" customWidth="1" collapsed="1"/>
    <col min="120" max="122" width="8.7109375" customWidth="1"/>
    <col min="123" max="123" width="11" customWidth="1"/>
    <col min="124" max="124" width="10.85546875" customWidth="1"/>
    <col min="125" max="125" width="8.7109375" customWidth="1"/>
    <col min="126" max="126" width="13.140625" customWidth="1"/>
    <col min="127" max="127" width="8.7109375" customWidth="1"/>
    <col min="128" max="129" width="11.140625" customWidth="1"/>
    <col min="130" max="130" width="13.42578125" style="343" customWidth="1"/>
    <col min="131" max="131" width="9.7109375" style="343" customWidth="1"/>
    <col min="132" max="133" width="14.140625" style="343" hidden="1" customWidth="1" outlineLevel="1"/>
    <col min="134" max="163" width="11.140625" style="343" hidden="1" customWidth="1" outlineLevel="1"/>
    <col min="164" max="164" width="16" style="343" hidden="1" customWidth="1" outlineLevel="1"/>
    <col min="165" max="165" width="11.140625" style="343" customWidth="1" collapsed="1"/>
    <col min="166" max="167" width="11.140625" style="343" customWidth="1"/>
    <col min="168" max="191" width="11.140625" style="343" hidden="1" customWidth="1" outlineLevel="1"/>
    <col min="192" max="192" width="11.140625" style="343" customWidth="1" collapsed="1"/>
    <col min="193" max="194" width="11.140625" style="343" customWidth="1"/>
    <col min="195" max="195" width="9.5703125" customWidth="1"/>
    <col min="196" max="196" width="8.85546875" bestFit="1" customWidth="1"/>
    <col min="197" max="197" width="10.85546875" customWidth="1"/>
    <col min="198" max="198" width="10.140625" customWidth="1"/>
    <col min="199" max="199" width="10.140625" hidden="1" customWidth="1" outlineLevel="1"/>
    <col min="200" max="200" width="11.5703125" hidden="1" customWidth="1" outlineLevel="1"/>
    <col min="201" max="201" width="10.140625" hidden="1" customWidth="1" outlineLevel="1"/>
    <col min="202" max="202" width="13.85546875" hidden="1" customWidth="1" outlineLevel="1"/>
    <col min="203" max="203" width="9.85546875" hidden="1" customWidth="1" outlineLevel="1"/>
    <col min="204" max="204" width="9.140625" hidden="1" customWidth="1" outlineLevel="1"/>
    <col min="205" max="205" width="10.42578125" hidden="1" customWidth="1" outlineLevel="1"/>
    <col min="206" max="207" width="8.85546875" hidden="1" customWidth="1" outlineLevel="1"/>
    <col min="208" max="208" width="9.5703125" hidden="1" customWidth="1" outlineLevel="1"/>
    <col min="209" max="210" width="8.85546875" hidden="1" customWidth="1" outlineLevel="1"/>
    <col min="211" max="211" width="11.140625" hidden="1" customWidth="1" outlineLevel="1"/>
    <col min="212" max="212" width="10.5703125" hidden="1" customWidth="1" outlineLevel="1"/>
    <col min="213" max="213" width="9.85546875" hidden="1" customWidth="1" outlineLevel="1"/>
    <col min="214" max="218" width="8.85546875" hidden="1" customWidth="1" outlineLevel="1"/>
    <col min="219" max="219" width="10" hidden="1" customWidth="1" outlineLevel="1"/>
    <col min="220" max="220" width="9.85546875" hidden="1" customWidth="1" outlineLevel="1"/>
    <col min="221" max="226" width="8.85546875" hidden="1" customWidth="1" outlineLevel="1"/>
    <col min="227" max="227" width="13.85546875" customWidth="1" collapsed="1"/>
    <col min="228" max="229" width="13.140625" customWidth="1"/>
    <col min="230" max="253" width="10.5703125" hidden="1" customWidth="1" outlineLevel="1"/>
    <col min="254" max="254" width="13.140625" customWidth="1" collapsed="1"/>
    <col min="255" max="255" width="13.42578125" customWidth="1"/>
    <col min="256" max="256" width="13" customWidth="1"/>
    <col min="258" max="259" width="10.85546875" customWidth="1"/>
    <col min="260" max="260" width="12.140625" customWidth="1"/>
    <col min="261" max="261" width="13.5703125" customWidth="1"/>
    <col min="262" max="262" width="14.5703125" customWidth="1"/>
    <col min="263" max="263" width="15.85546875" customWidth="1"/>
    <col min="264" max="266" width="14.5703125" customWidth="1"/>
  </cols>
  <sheetData>
    <row r="1" spans="1:6" x14ac:dyDescent="0.25">
      <c r="A1" s="4" t="s">
        <v>129</v>
      </c>
    </row>
    <row r="2" spans="1:6" x14ac:dyDescent="0.25">
      <c r="A2" t="s">
        <v>486</v>
      </c>
    </row>
    <row r="3" spans="1:6" x14ac:dyDescent="0.25">
      <c r="A3" t="s">
        <v>171</v>
      </c>
    </row>
    <row r="4" spans="1:6" x14ac:dyDescent="0.25">
      <c r="A4" t="s">
        <v>184</v>
      </c>
    </row>
    <row r="5" spans="1:6" x14ac:dyDescent="0.25">
      <c r="A5" t="s">
        <v>185</v>
      </c>
    </row>
    <row r="6" spans="1:6" x14ac:dyDescent="0.25">
      <c r="A6" t="s">
        <v>186</v>
      </c>
    </row>
    <row r="7" spans="1:6" x14ac:dyDescent="0.25">
      <c r="A7" t="s">
        <v>576</v>
      </c>
    </row>
    <row r="8" spans="1:6" x14ac:dyDescent="0.25">
      <c r="A8" t="s">
        <v>577</v>
      </c>
    </row>
    <row r="10" spans="1:6" ht="15.75" thickBot="1" x14ac:dyDescent="0.3"/>
    <row r="11" spans="1:6" ht="15.75" thickBot="1" x14ac:dyDescent="0.3">
      <c r="A11" s="197" t="s">
        <v>152</v>
      </c>
      <c r="B11" s="124" t="str">
        <f>'Inputs-Imperial'!B1</f>
        <v>Description</v>
      </c>
      <c r="C11" s="125" t="str">
        <f>'Inputs-Imperial'!C1</f>
        <v>Symbol</v>
      </c>
      <c r="D11" s="125" t="str">
        <f>'Inputs-Imperial'!D1</f>
        <v>Unit</v>
      </c>
      <c r="E11" s="120" t="s">
        <v>152</v>
      </c>
      <c r="F11" s="174"/>
    </row>
    <row r="12" spans="1:6" x14ac:dyDescent="0.25">
      <c r="A12" s="201" t="s">
        <v>13</v>
      </c>
      <c r="B12" s="136"/>
      <c r="C12" s="136"/>
      <c r="D12" s="136"/>
      <c r="E12" s="271"/>
      <c r="F12" s="174"/>
    </row>
    <row r="13" spans="1:6" x14ac:dyDescent="0.25">
      <c r="A13" s="270"/>
      <c r="B13" s="2" t="str">
        <f>'Inputs-Imperial'!B5</f>
        <v>Half-Span</v>
      </c>
      <c r="C13" s="2" t="str">
        <f>'Inputs-Imperial'!C5</f>
        <v>b/2</v>
      </c>
      <c r="D13" s="2" t="str">
        <f>'Inputs-Imperial'!D5</f>
        <v>ft</v>
      </c>
      <c r="E13" s="272">
        <f>'Inputs-Imperial'!E5</f>
        <v>24.081365599999998</v>
      </c>
      <c r="F13" s="174"/>
    </row>
    <row r="14" spans="1:6" x14ac:dyDescent="0.25">
      <c r="A14" s="270"/>
      <c r="B14" s="2" t="str">
        <f>'Inputs-Imperial'!B6</f>
        <v>Core Zone Split (% Half-Span)</v>
      </c>
      <c r="C14" s="2" t="s">
        <v>581</v>
      </c>
      <c r="D14" s="2" t="s">
        <v>14</v>
      </c>
      <c r="E14" s="272">
        <f>'Inputs-Imperial'!E6</f>
        <v>0.25</v>
      </c>
      <c r="F14" s="174"/>
    </row>
    <row r="15" spans="1:6" x14ac:dyDescent="0.25">
      <c r="A15" s="270"/>
      <c r="B15" s="2" t="str">
        <f>'Inputs-Imperial'!B7</f>
        <v>Core Zone Split (% Half-Span)</v>
      </c>
      <c r="C15" s="2" t="s">
        <v>582</v>
      </c>
      <c r="D15" s="2" t="s">
        <v>14</v>
      </c>
      <c r="E15" s="272">
        <f>'Inputs-Imperial'!E7</f>
        <v>0.5</v>
      </c>
      <c r="F15" s="174"/>
    </row>
    <row r="16" spans="1:6" ht="15.75" thickBot="1" x14ac:dyDescent="0.3">
      <c r="A16" s="270"/>
      <c r="B16" s="2" t="str">
        <f>'Inputs-Imperial'!B8</f>
        <v>Core Zone Split (% Half-Span)</v>
      </c>
      <c r="C16" s="2" t="s">
        <v>583</v>
      </c>
      <c r="D16" s="2" t="s">
        <v>14</v>
      </c>
      <c r="E16" s="272">
        <f>'Inputs-Imperial'!E8</f>
        <v>0.75</v>
      </c>
      <c r="F16" s="174"/>
    </row>
    <row r="17" spans="1:10" x14ac:dyDescent="0.25">
      <c r="A17" s="273" t="str">
        <f>'Inputs-Imperial'!A11</f>
        <v>Main Spar</v>
      </c>
      <c r="B17" s="24" t="str">
        <f>'Inputs-Imperial'!B11</f>
        <v>Spar Height/Chord</v>
      </c>
      <c r="C17" s="24" t="str">
        <f>'Inputs-Imperial'!C11</f>
        <v>Spar_t/c</v>
      </c>
      <c r="D17" s="24" t="str">
        <f>'Inputs-Imperial'!D11</f>
        <v>-</v>
      </c>
      <c r="E17" s="274">
        <f>'Inputs-Imperial'!E11</f>
        <v>0.18</v>
      </c>
      <c r="F17" s="175"/>
      <c r="J17" s="175"/>
    </row>
    <row r="18" spans="1:10" ht="15.75" thickBot="1" x14ac:dyDescent="0.3">
      <c r="A18" s="275"/>
      <c r="B18" s="276" t="str">
        <f>'Inputs-Imperial'!B12</f>
        <v>Spar Location % Chord</v>
      </c>
      <c r="C18" s="29" t="str">
        <f>'Inputs-Imperial'!C12</f>
        <v>Spar_x/c</v>
      </c>
      <c r="D18" s="277" t="str">
        <f>'Inputs-Imperial'!D12</f>
        <v>-</v>
      </c>
      <c r="E18" s="206">
        <f>'Inputs-Imperial'!E12</f>
        <v>0.25</v>
      </c>
      <c r="F18" s="138"/>
      <c r="J18" s="175"/>
    </row>
    <row r="19" spans="1:10" x14ac:dyDescent="0.25">
      <c r="A19" s="156" t="str">
        <f>'Inputs-Imperial'!A14</f>
        <v>Aft Shear Web</v>
      </c>
      <c r="B19" s="2" t="str">
        <f>'Inputs-Imperial'!B14</f>
        <v>Aft Web Height/Chord</v>
      </c>
      <c r="C19" s="2" t="str">
        <f>'Inputs-Imperial'!C14</f>
        <v>AW_t/c</v>
      </c>
      <c r="D19" s="6" t="str">
        <f>'Inputs-Imperial'!D14</f>
        <v>-</v>
      </c>
      <c r="E19" s="17">
        <f>'Inputs-Imperial'!E14</f>
        <v>0.09</v>
      </c>
      <c r="F19" s="138"/>
      <c r="J19" s="2"/>
    </row>
    <row r="20" spans="1:10" x14ac:dyDescent="0.25">
      <c r="A20" s="26"/>
      <c r="B20" s="13" t="str">
        <f>'Inputs-Imperial'!B15</f>
        <v>Aft Web Location % Chord</v>
      </c>
      <c r="C20" s="1" t="str">
        <f>'Inputs-Imperial'!C15</f>
        <v>AW_x/c_tip</v>
      </c>
      <c r="D20" s="10" t="str">
        <f>'Inputs-Imperial'!D15</f>
        <v>-</v>
      </c>
      <c r="E20" s="16">
        <f>'Inputs-Imperial'!E15</f>
        <v>0.75</v>
      </c>
      <c r="F20" s="138"/>
    </row>
    <row r="21" spans="1:10" x14ac:dyDescent="0.25">
      <c r="A21" s="157" t="str">
        <f>'Inputs-Imperial'!A16</f>
        <v>Structural Factors</v>
      </c>
      <c r="B21" s="3" t="str">
        <f>'Inputs-Imperial'!B16</f>
        <v>Factor of Safety, Stress</v>
      </c>
      <c r="C21" s="3" t="str">
        <f>'Inputs-Imperial'!C16</f>
        <v>FS_stress</v>
      </c>
      <c r="D21" s="3" t="str">
        <f>'Inputs-Imperial'!D16</f>
        <v>-</v>
      </c>
      <c r="E21" s="15">
        <f>'Inputs-Imperial'!E16</f>
        <v>1.5</v>
      </c>
      <c r="F21" s="2"/>
    </row>
    <row r="22" spans="1:10" x14ac:dyDescent="0.25">
      <c r="A22" s="26"/>
      <c r="B22" s="1" t="str">
        <f>'Inputs-Imperial'!B17</f>
        <v>Factor of Safety, Buckling/Wrinkling/Crimp</v>
      </c>
      <c r="C22" s="1" t="str">
        <f>'Inputs-Imperial'!C17</f>
        <v>FS_buckling</v>
      </c>
      <c r="D22" s="1" t="str">
        <f>'Inputs-Imperial'!D17</f>
        <v>-</v>
      </c>
      <c r="E22" s="19">
        <f>'Inputs-Imperial'!E17</f>
        <v>1.8</v>
      </c>
      <c r="F22" s="11"/>
      <c r="J22" s="138"/>
    </row>
    <row r="23" spans="1:10" x14ac:dyDescent="0.25">
      <c r="A23" s="157" t="str">
        <f>'Inputs-Imperial'!A18</f>
        <v>Materials - Spar Caps</v>
      </c>
      <c r="B23" s="3" t="str">
        <f>'Inputs-Imperial'!B18</f>
        <v>Spar Cap Compression Ult. Allowable (Uni)</v>
      </c>
      <c r="C23" s="3" t="str">
        <f>'Inputs-Imperial'!C18</f>
        <v>F1_CU_Cap</v>
      </c>
      <c r="D23" s="3" t="str">
        <f>'Inputs-Imperial'!D18</f>
        <v>psi</v>
      </c>
      <c r="E23" s="73">
        <f>'Inputs-Imperial'!E18</f>
        <v>58015.200000000004</v>
      </c>
      <c r="F23" s="116"/>
    </row>
    <row r="24" spans="1:10" x14ac:dyDescent="0.25">
      <c r="A24" s="25"/>
      <c r="B24" s="2" t="str">
        <f>'Inputs-Imperial'!B19</f>
        <v>Spar Cap Tension Ult Allowable (Uni)</v>
      </c>
      <c r="C24" s="2" t="str">
        <f>'Inputs-Imperial'!C19</f>
        <v>F1_TU_Cap</v>
      </c>
      <c r="D24" s="2" t="str">
        <f>'Inputs-Imperial'!D19</f>
        <v>psi</v>
      </c>
      <c r="E24" s="74">
        <f>'Inputs-Imperial'!E19</f>
        <v>58015.200000000004</v>
      </c>
      <c r="F24" s="116"/>
    </row>
    <row r="25" spans="1:10" x14ac:dyDescent="0.25">
      <c r="A25" s="25"/>
      <c r="B25" s="2" t="str">
        <f>'Inputs-Imperial'!B20</f>
        <v>Spar Cap Modulus</v>
      </c>
      <c r="C25" s="2" t="str">
        <f>'Inputs-Imperial'!C20</f>
        <v>E11_Cap</v>
      </c>
      <c r="D25" s="2" t="str">
        <f>'Inputs-Imperial'!D20</f>
        <v>psi</v>
      </c>
      <c r="E25" s="74">
        <f>'Inputs-Imperial'!E20</f>
        <v>15954180</v>
      </c>
      <c r="F25" s="116"/>
    </row>
    <row r="26" spans="1:10" x14ac:dyDescent="0.25">
      <c r="A26" s="26"/>
      <c r="B26" s="1" t="str">
        <f>'Inputs-Imperial'!B22</f>
        <v>Spar Cap Density</v>
      </c>
      <c r="C26" s="1" t="str">
        <f>'Inputs-Imperial'!C22</f>
        <v>rho_Cap</v>
      </c>
      <c r="D26" s="1" t="str">
        <f>'Inputs-Imperial'!D22</f>
        <v>lb/in^3</v>
      </c>
      <c r="E26" s="16">
        <f>'Inputs-Imperial'!E22</f>
        <v>6.141640685118082E-2</v>
      </c>
      <c r="F26" s="138"/>
    </row>
    <row r="27" spans="1:10" x14ac:dyDescent="0.25">
      <c r="A27" s="157" t="str">
        <f>'Inputs-Imperial'!A23</f>
        <v>Material - Skins and Webs</v>
      </c>
      <c r="B27" s="3" t="str">
        <f>'Inputs-Imperial'!B23</f>
        <v>Bias Shear Ult. Allowable</v>
      </c>
      <c r="C27" s="3" t="str">
        <f>'Inputs-Imperial'!C23</f>
        <v>F12_Bias</v>
      </c>
      <c r="D27" s="3" t="str">
        <f>'Inputs-Imperial'!D23</f>
        <v>psi</v>
      </c>
      <c r="E27" s="73">
        <f>'Inputs-Imperial'!E23</f>
        <v>58015.200000000004</v>
      </c>
      <c r="F27" s="116"/>
    </row>
    <row r="28" spans="1:10" x14ac:dyDescent="0.25">
      <c r="A28" s="25"/>
      <c r="B28" s="2" t="str">
        <f>'Inputs-Imperial'!B24</f>
        <v>Bias Shear Modulus</v>
      </c>
      <c r="C28" s="2" t="str">
        <f>'Inputs-Imperial'!C24</f>
        <v>G12_Bias</v>
      </c>
      <c r="D28" s="2" t="str">
        <f>'Inputs-Imperial'!D24</f>
        <v>psi</v>
      </c>
      <c r="E28" s="74">
        <f>'Inputs-Imperial'!E24</f>
        <v>3770988.0000000005</v>
      </c>
      <c r="F28" s="116"/>
      <c r="J28" s="116"/>
    </row>
    <row r="29" spans="1:10" x14ac:dyDescent="0.25">
      <c r="A29" s="25"/>
      <c r="B29" s="2" t="str">
        <f>'Inputs-Imperial'!B25</f>
        <v>Bias Skin Compression Modulus</v>
      </c>
      <c r="C29" s="2" t="str">
        <f>'Inputs-Imperial'!C25</f>
        <v>E11_Bias</v>
      </c>
      <c r="D29" s="2" t="str">
        <f>'Inputs-Imperial'!D25</f>
        <v>psi</v>
      </c>
      <c r="E29" s="74">
        <f>'Inputs-Imperial'!E25</f>
        <v>2175570</v>
      </c>
      <c r="F29" s="116"/>
      <c r="G29" s="116"/>
      <c r="H29" s="116"/>
      <c r="I29" s="116"/>
      <c r="J29" s="116"/>
    </row>
    <row r="30" spans="1:10" x14ac:dyDescent="0.25">
      <c r="A30" s="25"/>
      <c r="B30" s="2" t="str">
        <f>'Inputs-Imperial'!B26</f>
        <v>Warp Fabric Modulus</v>
      </c>
      <c r="C30" s="2" t="str">
        <f>'Inputs-Imperial'!C26</f>
        <v>E11=E22</v>
      </c>
      <c r="D30" s="2" t="str">
        <f>'Inputs-Imperial'!D26</f>
        <v>psi</v>
      </c>
      <c r="E30" s="74">
        <f>'Inputs-Imperial'!E26</f>
        <v>7687014.0000000009</v>
      </c>
      <c r="F30" s="116"/>
      <c r="G30" s="116"/>
      <c r="H30" s="116"/>
      <c r="I30" s="116"/>
      <c r="J30" s="116"/>
    </row>
    <row r="31" spans="1:10" x14ac:dyDescent="0.25">
      <c r="A31" s="25"/>
      <c r="B31" s="2" t="str">
        <f>'Inputs-Imperial'!B27</f>
        <v>Skin Density</v>
      </c>
      <c r="C31" s="2" t="str">
        <f>'Inputs-Imperial'!C27</f>
        <v>rho_Bias</v>
      </c>
      <c r="D31" s="2" t="str">
        <f>'Inputs-Imperial'!D27</f>
        <v>lb/in^3</v>
      </c>
      <c r="E31" s="17">
        <f>'Inputs-Imperial'!E27</f>
        <v>6.141640685118082E-2</v>
      </c>
      <c r="F31" s="138"/>
      <c r="G31" s="138"/>
      <c r="H31" s="138"/>
      <c r="I31" s="138"/>
      <c r="J31" s="138"/>
    </row>
    <row r="32" spans="1:10" x14ac:dyDescent="0.25">
      <c r="A32" s="26"/>
      <c r="B32" s="1" t="str">
        <f>'Inputs-Imperial'!B28</f>
        <v>Skin Cured Ply Thickness</v>
      </c>
      <c r="C32" s="1" t="str">
        <f>'Inputs-Imperial'!C28</f>
        <v>CPT_Bias</v>
      </c>
      <c r="D32" s="1" t="str">
        <f>'Inputs-Imperial'!D28</f>
        <v>in</v>
      </c>
      <c r="E32" s="20">
        <f>'Inputs-Imperial'!E28</f>
        <v>7.8740157480314977E-3</v>
      </c>
      <c r="F32" s="2"/>
      <c r="G32" s="2"/>
      <c r="H32" s="2"/>
      <c r="I32" s="2"/>
      <c r="J32" s="2"/>
    </row>
    <row r="33" spans="1:10" x14ac:dyDescent="0.25">
      <c r="A33" s="157" t="str">
        <f>'Inputs-Imperial'!A29</f>
        <v>Material - Skin and Web Core</v>
      </c>
      <c r="B33" s="3" t="str">
        <f>'Inputs-Imperial'!B29</f>
        <v>Core Modulus (E11=E22=E33)</v>
      </c>
      <c r="C33" s="3" t="str">
        <f>'Inputs-Imperial'!C29</f>
        <v>E_Core</v>
      </c>
      <c r="D33" s="3" t="str">
        <f>'Inputs-Imperial'!D29</f>
        <v>psi</v>
      </c>
      <c r="E33" s="73">
        <f>'Inputs-Imperial'!E29</f>
        <v>8267.1660000000011</v>
      </c>
      <c r="F33" s="116"/>
      <c r="G33" s="116"/>
      <c r="H33" s="116"/>
      <c r="I33" s="116"/>
      <c r="J33" s="116"/>
    </row>
    <row r="34" spans="1:10" x14ac:dyDescent="0.25">
      <c r="B34" s="2" t="str">
        <f>'Inputs-Imperial'!B30</f>
        <v>Core Shear Modulus (G12=G13)</v>
      </c>
      <c r="C34" s="2" t="str">
        <f>'Inputs-Imperial'!C30</f>
        <v>G_Core</v>
      </c>
      <c r="D34" s="2" t="str">
        <f>'Inputs-Imperial'!D30</f>
        <v>psi</v>
      </c>
      <c r="E34" s="74">
        <f>'Inputs-Imperial'!E30</f>
        <v>2610.6840000000002</v>
      </c>
      <c r="F34" s="116"/>
      <c r="G34" s="116"/>
      <c r="H34" s="116"/>
      <c r="I34" s="116"/>
      <c r="J34" s="116"/>
    </row>
    <row r="35" spans="1:10" x14ac:dyDescent="0.25">
      <c r="A35" s="25"/>
      <c r="B35" s="2" t="str">
        <f>'Inputs-Imperial'!B31</f>
        <v>Core Compression Strength</v>
      </c>
      <c r="C35" s="2" t="str">
        <f>'Inputs-Imperial'!C31</f>
        <v>Fc_Core</v>
      </c>
      <c r="D35" s="2" t="str">
        <f>'Inputs-Imperial'!D31</f>
        <v>psi</v>
      </c>
      <c r="E35" s="74">
        <f>'Inputs-Imperial'!E31</f>
        <v>116.03040000000001</v>
      </c>
      <c r="F35" s="116"/>
      <c r="G35" s="116"/>
      <c r="H35" s="116"/>
      <c r="I35" s="116"/>
      <c r="J35" s="116"/>
    </row>
    <row r="36" spans="1:10" x14ac:dyDescent="0.25">
      <c r="A36" s="25"/>
      <c r="B36" s="2" t="str">
        <f>'Inputs-Imperial'!B32</f>
        <v>Core Shear Strength</v>
      </c>
      <c r="C36" s="2" t="str">
        <f>'Inputs-Imperial'!C32</f>
        <v>Fsu_Core</v>
      </c>
      <c r="D36" s="2" t="str">
        <f>'Inputs-Imperial'!D32</f>
        <v>psi</v>
      </c>
      <c r="E36" s="74">
        <f>'Inputs-Imperial'!E32</f>
        <v>101.5266</v>
      </c>
      <c r="F36" s="116"/>
      <c r="G36" s="116"/>
      <c r="H36" s="116"/>
      <c r="I36" s="116"/>
      <c r="J36" s="116"/>
    </row>
    <row r="37" spans="1:10" ht="15.75" thickBot="1" x14ac:dyDescent="0.3">
      <c r="A37" s="26"/>
      <c r="B37" s="1" t="str">
        <f>'Inputs-Imperial'!B33</f>
        <v>Core Density</v>
      </c>
      <c r="C37" s="1" t="str">
        <f>'Inputs-Imperial'!C33</f>
        <v>rho_Core</v>
      </c>
      <c r="D37" s="1" t="str">
        <f>'Inputs-Imperial'!D33</f>
        <v>lb/in^3</v>
      </c>
      <c r="E37" s="18">
        <f>'Inputs-Imperial'!E33</f>
        <v>2.312147081456219E-3</v>
      </c>
      <c r="F37" s="2"/>
      <c r="G37" s="2"/>
      <c r="H37" s="2"/>
      <c r="I37" s="2"/>
      <c r="J37" s="2"/>
    </row>
    <row r="38" spans="1:10" x14ac:dyDescent="0.25">
      <c r="A38" s="157" t="str">
        <f>'Inputs-Imperial'!A34</f>
        <v>Manufacturing Weight Factors</v>
      </c>
      <c r="B38" s="3" t="str">
        <f>'Inputs-Imperial'!B34</f>
        <v>As-Built Sandwich Weight Factor  (W_built/W_laminate)</v>
      </c>
      <c r="C38" s="3" t="str">
        <f>'Inputs-Imperial'!C34</f>
        <v>K_Fab</v>
      </c>
      <c r="D38" s="3" t="str">
        <f>'Inputs-Imperial'!D34</f>
        <v>-</v>
      </c>
      <c r="E38" s="195">
        <f>'Inputs-Imperial'!E34</f>
        <v>1.25</v>
      </c>
      <c r="F38" s="8"/>
      <c r="G38" s="8"/>
      <c r="H38" s="8"/>
      <c r="I38" s="8"/>
      <c r="J38" s="8"/>
    </row>
    <row r="39" spans="1:10" x14ac:dyDescent="0.25">
      <c r="A39" s="25"/>
      <c r="B39" s="2" t="str">
        <f>'Inputs-Imperial'!B35</f>
        <v>Bonded Joint Weight  (W_joints/W_laminate)</v>
      </c>
      <c r="C39" s="2" t="str">
        <f>'Inputs-Imperial'!C35</f>
        <v>K_Fab</v>
      </c>
      <c r="D39" s="2" t="str">
        <f>'Inputs-Imperial'!D35</f>
        <v>-</v>
      </c>
      <c r="E39" s="18">
        <f>'Inputs-Imperial'!E35</f>
        <v>1.05</v>
      </c>
      <c r="F39" s="2"/>
      <c r="G39" s="2"/>
      <c r="H39" s="2"/>
      <c r="I39" s="2"/>
      <c r="J39" s="2"/>
    </row>
    <row r="40" spans="1:10" x14ac:dyDescent="0.25">
      <c r="A40" s="25"/>
      <c r="B40" s="2" t="str">
        <f>'Inputs-Imperial'!B36</f>
        <v>Minimum Number of OML Plies</v>
      </c>
      <c r="C40" s="2" t="str">
        <f>'Inputs-Imperial'!C36</f>
        <v>MG_OML</v>
      </c>
      <c r="D40" s="2" t="str">
        <f>'Inputs-Imperial'!D36</f>
        <v>-</v>
      </c>
      <c r="E40" s="22">
        <f>'Inputs-Imperial'!E36</f>
        <v>3</v>
      </c>
      <c r="F40" s="2"/>
      <c r="G40" s="2"/>
      <c r="H40" s="2"/>
      <c r="I40" s="2"/>
      <c r="J40" s="2"/>
    </row>
    <row r="41" spans="1:10" x14ac:dyDescent="0.25">
      <c r="A41" s="25"/>
      <c r="B41" s="2" t="str">
        <f>'Inputs-Imperial'!B37</f>
        <v>Minimum Number of IML Plies</v>
      </c>
      <c r="C41" s="2" t="str">
        <f>'Inputs-Imperial'!C37</f>
        <v>MG_IML</v>
      </c>
      <c r="D41" s="2" t="str">
        <f>'Inputs-Imperial'!D37</f>
        <v>-</v>
      </c>
      <c r="E41" s="18">
        <f>'Inputs-Imperial'!E37</f>
        <v>2</v>
      </c>
      <c r="F41" s="2"/>
      <c r="G41" s="2"/>
      <c r="H41" s="2"/>
      <c r="I41" s="2"/>
      <c r="J41" s="2"/>
    </row>
    <row r="42" spans="1:10" ht="15.75" thickBot="1" x14ac:dyDescent="0.3">
      <c r="A42" s="28"/>
      <c r="B42" s="29" t="str">
        <f>'Inputs-Imperial'!B38</f>
        <v>Minimum Core Thickness and Increments</v>
      </c>
      <c r="C42" s="29" t="str">
        <f>'Inputs-Imperial'!C38</f>
        <v>MT_Core</v>
      </c>
      <c r="D42" s="29" t="str">
        <f>'Inputs-Imperial'!D38</f>
        <v>in</v>
      </c>
      <c r="E42" s="206">
        <f>'Inputs-Imperial'!E38</f>
        <v>0.25</v>
      </c>
      <c r="F42" s="2"/>
      <c r="G42" s="2"/>
      <c r="H42" s="2"/>
      <c r="I42" s="2"/>
      <c r="J42" s="2"/>
    </row>
    <row r="43" spans="1:10" ht="15.75" thickBot="1" x14ac:dyDescent="0.3">
      <c r="F43" s="2"/>
      <c r="G43" s="2"/>
      <c r="H43" s="2"/>
      <c r="I43" s="2"/>
      <c r="J43" s="2"/>
    </row>
    <row r="44" spans="1:10" ht="15.75" thickBot="1" x14ac:dyDescent="0.3">
      <c r="A44" s="229" t="s">
        <v>259</v>
      </c>
      <c r="B44" s="208"/>
      <c r="C44" s="208"/>
      <c r="D44" s="208"/>
      <c r="E44" s="196"/>
      <c r="F44" s="2"/>
      <c r="G44" s="200" t="s">
        <v>179</v>
      </c>
      <c r="J44" s="2"/>
    </row>
    <row r="45" spans="1:10" ht="15.75" thickBot="1" x14ac:dyDescent="0.3">
      <c r="A45" s="143" t="s">
        <v>208</v>
      </c>
      <c r="B45" s="204" t="s">
        <v>202</v>
      </c>
      <c r="C45" s="2" t="s">
        <v>209</v>
      </c>
      <c r="D45" s="2" t="s">
        <v>5</v>
      </c>
      <c r="E45" s="228">
        <f>0.5*(E30*E34*E33)^(1/3)</f>
        <v>27474.273478342362</v>
      </c>
      <c r="F45" s="2"/>
      <c r="G45" s="198" t="s">
        <v>177</v>
      </c>
      <c r="I45" s="198" t="s">
        <v>181</v>
      </c>
      <c r="J45" s="2"/>
    </row>
    <row r="46" spans="1:10" ht="15.75" thickBot="1" x14ac:dyDescent="0.3">
      <c r="A46" s="225"/>
      <c r="B46" s="204" t="s">
        <v>211</v>
      </c>
      <c r="C46" s="2" t="s">
        <v>210</v>
      </c>
      <c r="D46" s="2" t="s">
        <v>5</v>
      </c>
      <c r="E46" s="265">
        <f>MIN(E45/E22,E27/E21)</f>
        <v>15263.485265745756</v>
      </c>
      <c r="F46" s="2"/>
      <c r="G46" s="198" t="s">
        <v>178</v>
      </c>
      <c r="I46" s="198" t="s">
        <v>181</v>
      </c>
      <c r="J46" s="2"/>
    </row>
    <row r="47" spans="1:10" ht="15.75" thickBot="1" x14ac:dyDescent="0.3">
      <c r="A47" s="143"/>
      <c r="B47" s="204"/>
      <c r="C47" s="2"/>
      <c r="D47" s="2"/>
      <c r="E47" s="134"/>
      <c r="G47" s="199" t="s">
        <v>295</v>
      </c>
      <c r="I47" s="199" t="s">
        <v>182</v>
      </c>
      <c r="J47" s="2"/>
    </row>
    <row r="48" spans="1:10" ht="15.75" thickBot="1" x14ac:dyDescent="0.3">
      <c r="A48" s="229" t="s">
        <v>256</v>
      </c>
      <c r="B48" s="208"/>
      <c r="C48" s="208"/>
      <c r="D48" s="208"/>
      <c r="E48" s="196"/>
      <c r="G48" s="199" t="s">
        <v>180</v>
      </c>
      <c r="I48" s="199" t="s">
        <v>182</v>
      </c>
      <c r="J48" s="2"/>
    </row>
    <row r="49" spans="1:266" x14ac:dyDescent="0.25">
      <c r="A49" s="25" t="s">
        <v>257</v>
      </c>
      <c r="B49" s="204"/>
      <c r="C49" s="2"/>
      <c r="D49" s="2"/>
      <c r="E49" s="226"/>
      <c r="F49" s="2"/>
      <c r="G49" s="5" t="s">
        <v>183</v>
      </c>
      <c r="I49" s="198" t="s">
        <v>181</v>
      </c>
      <c r="J49" s="2"/>
    </row>
    <row r="50" spans="1:266" x14ac:dyDescent="0.25">
      <c r="A50" s="25" t="s">
        <v>258</v>
      </c>
      <c r="B50" s="2"/>
      <c r="C50" s="2"/>
      <c r="D50" s="2"/>
      <c r="E50" s="134"/>
      <c r="F50" s="2"/>
      <c r="G50" s="199" t="s">
        <v>195</v>
      </c>
      <c r="I50" s="199" t="s">
        <v>187</v>
      </c>
      <c r="J50" s="2"/>
    </row>
    <row r="51" spans="1:266" ht="15.75" thickBot="1" x14ac:dyDescent="0.3">
      <c r="A51" s="25" t="s">
        <v>260</v>
      </c>
      <c r="B51" s="2"/>
      <c r="C51" s="2"/>
      <c r="D51" s="2"/>
      <c r="E51" s="134"/>
      <c r="F51" s="2"/>
      <c r="J51" s="2"/>
    </row>
    <row r="52" spans="1:266" ht="15.75" thickBot="1" x14ac:dyDescent="0.3">
      <c r="A52" s="25" t="s">
        <v>346</v>
      </c>
      <c r="B52" s="2"/>
      <c r="C52" s="2"/>
      <c r="D52" s="2"/>
      <c r="E52" s="134"/>
      <c r="F52" s="2"/>
      <c r="G52" s="200" t="s">
        <v>205</v>
      </c>
      <c r="J52" s="2"/>
    </row>
    <row r="53" spans="1:266" x14ac:dyDescent="0.25">
      <c r="A53" s="25"/>
      <c r="B53" s="2"/>
      <c r="C53" s="2"/>
      <c r="D53" s="2"/>
      <c r="E53" s="134"/>
      <c r="F53" s="2"/>
      <c r="G53" s="5" t="s">
        <v>206</v>
      </c>
      <c r="I53" t="s">
        <v>296</v>
      </c>
      <c r="J53" s="2"/>
    </row>
    <row r="54" spans="1:266" x14ac:dyDescent="0.25">
      <c r="A54" s="25"/>
      <c r="B54" s="2"/>
      <c r="C54" s="2"/>
      <c r="D54" s="2"/>
      <c r="E54" s="134"/>
      <c r="F54" s="2"/>
      <c r="G54" s="205" t="s">
        <v>207</v>
      </c>
      <c r="I54" t="s">
        <v>293</v>
      </c>
      <c r="J54" s="2"/>
    </row>
    <row r="55" spans="1:266" ht="15.75" thickBot="1" x14ac:dyDescent="0.3">
      <c r="A55" s="227"/>
      <c r="B55" s="214"/>
      <c r="C55" s="214"/>
      <c r="D55" s="214"/>
      <c r="E55" s="215"/>
      <c r="G55" s="205" t="s">
        <v>220</v>
      </c>
      <c r="H55" s="116"/>
      <c r="I55" s="205" t="s">
        <v>294</v>
      </c>
    </row>
    <row r="56" spans="1:266" ht="15.75" thickBot="1" x14ac:dyDescent="0.3">
      <c r="IW56" t="s">
        <v>586</v>
      </c>
    </row>
    <row r="57" spans="1:266" ht="15.75" thickBot="1" x14ac:dyDescent="0.3">
      <c r="AG57" s="845" t="s">
        <v>277</v>
      </c>
      <c r="AH57" s="846"/>
      <c r="AI57" s="846"/>
      <c r="AJ57" s="846"/>
      <c r="AK57" s="846"/>
      <c r="AL57" s="846"/>
      <c r="AM57" s="846"/>
      <c r="AN57" s="846"/>
      <c r="AO57" s="846"/>
      <c r="AP57" s="846"/>
      <c r="AQ57" s="846"/>
      <c r="AR57" s="846"/>
      <c r="AS57" s="846"/>
      <c r="AT57" s="846"/>
      <c r="AU57" s="846"/>
      <c r="AV57" s="846"/>
      <c r="AW57" s="846"/>
      <c r="AX57" s="846"/>
      <c r="AY57" s="846"/>
      <c r="AZ57" s="846"/>
      <c r="BA57" s="846"/>
      <c r="BB57" s="846"/>
      <c r="BC57" s="846"/>
      <c r="BD57" s="846"/>
      <c r="BE57" s="846"/>
      <c r="BF57" s="846"/>
      <c r="BG57" s="846"/>
      <c r="BH57" s="846"/>
      <c r="BI57" s="846"/>
      <c r="BJ57" s="846"/>
      <c r="BK57" s="846"/>
      <c r="BL57" s="846"/>
      <c r="BM57" s="846"/>
      <c r="BN57" s="846"/>
      <c r="BO57" s="847"/>
      <c r="BP57" s="845" t="s">
        <v>298</v>
      </c>
      <c r="BQ57" s="846"/>
      <c r="BR57" s="846"/>
      <c r="BS57" s="846"/>
      <c r="BT57" s="846"/>
      <c r="BU57" s="846"/>
      <c r="BV57" s="846"/>
      <c r="BW57" s="846"/>
      <c r="BX57" s="846"/>
      <c r="BY57" s="846"/>
      <c r="BZ57" s="846"/>
      <c r="CA57" s="846"/>
      <c r="CB57" s="846"/>
      <c r="CC57" s="846"/>
      <c r="CD57" s="846"/>
      <c r="CE57" s="846"/>
      <c r="CF57" s="846"/>
      <c r="CG57" s="846"/>
      <c r="CH57" s="846"/>
      <c r="CI57" s="846"/>
      <c r="CJ57" s="846"/>
      <c r="CK57" s="846"/>
      <c r="CL57" s="846"/>
      <c r="CM57" s="846"/>
      <c r="CN57" s="846"/>
      <c r="CO57" s="846"/>
      <c r="CP57" s="847"/>
      <c r="CQ57" s="842" t="s">
        <v>276</v>
      </c>
      <c r="CR57" s="843"/>
      <c r="CS57" s="843"/>
      <c r="CT57" s="843"/>
      <c r="CU57" s="843"/>
      <c r="CV57" s="843"/>
      <c r="CW57" s="843"/>
      <c r="CX57" s="843"/>
      <c r="CY57" s="843"/>
      <c r="CZ57" s="843"/>
      <c r="DA57" s="843"/>
      <c r="DB57" s="843"/>
      <c r="DC57" s="843"/>
      <c r="DD57" s="843"/>
      <c r="DE57" s="843"/>
      <c r="DF57" s="843"/>
      <c r="DG57" s="843"/>
      <c r="DH57" s="843"/>
      <c r="DI57" s="843"/>
      <c r="DJ57" s="843"/>
      <c r="DK57" s="843"/>
      <c r="DL57" s="843"/>
      <c r="DM57" s="843"/>
      <c r="DN57" s="843"/>
      <c r="DO57" s="843"/>
      <c r="DP57" s="843"/>
      <c r="DQ57" s="843"/>
      <c r="DR57" s="843"/>
      <c r="DS57" s="843"/>
      <c r="DT57" s="844"/>
      <c r="DU57" s="842" t="s">
        <v>298</v>
      </c>
      <c r="DV57" s="843"/>
      <c r="DW57" s="843"/>
      <c r="DX57" s="843"/>
      <c r="DY57" s="355"/>
      <c r="DZ57"/>
      <c r="EA57" s="851" t="s">
        <v>255</v>
      </c>
      <c r="EB57" s="852"/>
      <c r="EC57" s="852"/>
      <c r="ED57" s="852"/>
      <c r="EE57" s="852"/>
      <c r="EF57" s="852"/>
      <c r="EG57" s="852"/>
      <c r="EH57" s="852"/>
      <c r="EI57" s="852"/>
      <c r="EJ57" s="852"/>
      <c r="EK57" s="852"/>
      <c r="EL57" s="852"/>
      <c r="EM57" s="852"/>
      <c r="EN57" s="852"/>
      <c r="EO57" s="852"/>
      <c r="EP57" s="852"/>
      <c r="EQ57" s="852"/>
      <c r="ER57" s="852"/>
      <c r="ES57" s="852"/>
      <c r="ET57" s="852"/>
      <c r="EU57" s="852"/>
      <c r="EV57" s="852"/>
      <c r="EW57" s="852"/>
      <c r="EX57" s="852"/>
      <c r="EY57" s="852"/>
      <c r="EZ57" s="852"/>
      <c r="FA57" s="852"/>
      <c r="FB57" s="852"/>
      <c r="FC57" s="852"/>
      <c r="FD57" s="852"/>
      <c r="FE57" s="852"/>
      <c r="FF57" s="852"/>
      <c r="FG57" s="852"/>
      <c r="FH57" s="852"/>
      <c r="FI57" s="852"/>
      <c r="FJ57" s="852"/>
      <c r="FK57" s="853"/>
      <c r="FL57" s="848" t="s">
        <v>298</v>
      </c>
      <c r="FM57" s="849"/>
      <c r="FN57" s="849"/>
      <c r="FO57" s="849"/>
      <c r="FP57" s="849"/>
      <c r="FQ57" s="849"/>
      <c r="FR57" s="849"/>
      <c r="FS57" s="849"/>
      <c r="FT57" s="849"/>
      <c r="FU57" s="849"/>
      <c r="FV57" s="849"/>
      <c r="FW57" s="849"/>
      <c r="FX57" s="849"/>
      <c r="FY57" s="849"/>
      <c r="FZ57" s="849"/>
      <c r="GA57" s="849"/>
      <c r="GB57" s="849"/>
      <c r="GC57" s="849"/>
      <c r="GD57" s="849"/>
      <c r="GE57" s="849"/>
      <c r="GF57" s="849"/>
      <c r="GG57" s="849"/>
      <c r="GH57" s="849"/>
      <c r="GI57" s="849"/>
      <c r="GJ57" s="849"/>
      <c r="GK57" s="849"/>
      <c r="GL57" s="850"/>
      <c r="GM57" s="836" t="s">
        <v>283</v>
      </c>
      <c r="GN57" s="837"/>
      <c r="GO57" s="837"/>
      <c r="GP57" s="837"/>
      <c r="GQ57" s="837"/>
      <c r="GR57" s="837"/>
      <c r="GS57" s="837"/>
      <c r="GT57" s="837"/>
      <c r="GU57" s="837"/>
      <c r="GV57" s="837"/>
      <c r="GW57" s="837"/>
      <c r="GX57" s="837"/>
      <c r="GY57" s="837"/>
      <c r="GZ57" s="837"/>
      <c r="HA57" s="837"/>
      <c r="HB57" s="837"/>
      <c r="HC57" s="837"/>
      <c r="HD57" s="837"/>
      <c r="HE57" s="837"/>
      <c r="HF57" s="837"/>
      <c r="HG57" s="837"/>
      <c r="HH57" s="837"/>
      <c r="HI57" s="837"/>
      <c r="HJ57" s="837"/>
      <c r="HK57" s="837"/>
      <c r="HL57" s="837"/>
      <c r="HM57" s="837"/>
      <c r="HN57" s="837"/>
      <c r="HO57" s="837"/>
      <c r="HP57" s="837"/>
      <c r="HQ57" s="837"/>
      <c r="HR57" s="837"/>
      <c r="HS57" s="837"/>
      <c r="HT57" s="837"/>
      <c r="HU57" s="838"/>
      <c r="HV57" s="836" t="s">
        <v>298</v>
      </c>
      <c r="HW57" s="837"/>
      <c r="HX57" s="837"/>
      <c r="HY57" s="837"/>
      <c r="HZ57" s="837"/>
      <c r="IA57" s="837"/>
      <c r="IB57" s="837"/>
      <c r="IC57" s="837"/>
      <c r="ID57" s="837"/>
      <c r="IE57" s="837"/>
      <c r="IF57" s="837"/>
      <c r="IG57" s="837"/>
      <c r="IH57" s="837"/>
      <c r="II57" s="837"/>
      <c r="IJ57" s="837"/>
      <c r="IK57" s="837"/>
      <c r="IL57" s="837"/>
      <c r="IM57" s="837"/>
      <c r="IN57" s="837"/>
      <c r="IO57" s="837"/>
      <c r="IP57" s="837"/>
      <c r="IQ57" s="837"/>
      <c r="IR57" s="837"/>
      <c r="IS57" s="837"/>
      <c r="IT57" s="837"/>
      <c r="IU57" s="837"/>
      <c r="IV57" s="838"/>
      <c r="IW57" s="833" t="s">
        <v>289</v>
      </c>
      <c r="IX57" s="834"/>
      <c r="IY57" s="834"/>
      <c r="IZ57" s="834"/>
      <c r="JA57" s="834"/>
      <c r="JB57" s="835"/>
      <c r="JC57" s="304"/>
      <c r="JD57" s="305"/>
      <c r="JE57" s="14"/>
      <c r="JF57" s="14"/>
    </row>
    <row r="58" spans="1:266" ht="58.5" customHeight="1" thickBot="1" x14ac:dyDescent="0.3">
      <c r="A58" s="854" t="s">
        <v>155</v>
      </c>
      <c r="B58" s="855"/>
      <c r="C58" s="855"/>
      <c r="D58" s="855"/>
      <c r="E58" s="855"/>
      <c r="F58" s="855"/>
      <c r="G58" s="855"/>
      <c r="H58" s="855"/>
      <c r="I58" s="855"/>
      <c r="J58" s="856"/>
      <c r="K58" s="821" t="s">
        <v>13</v>
      </c>
      <c r="L58" s="822"/>
      <c r="M58" s="822"/>
      <c r="N58" s="822"/>
      <c r="O58" s="823"/>
      <c r="P58" s="857" t="s">
        <v>26</v>
      </c>
      <c r="Q58" s="858"/>
      <c r="R58" s="858"/>
      <c r="S58" s="858"/>
      <c r="T58" s="859"/>
      <c r="U58" s="860" t="s">
        <v>262</v>
      </c>
      <c r="V58" s="861"/>
      <c r="W58" s="862"/>
      <c r="X58" s="860" t="s">
        <v>157</v>
      </c>
      <c r="Y58" s="861"/>
      <c r="Z58" s="861"/>
      <c r="AA58" s="862"/>
      <c r="AB58" s="821" t="s">
        <v>158</v>
      </c>
      <c r="AC58" s="822"/>
      <c r="AD58" s="823"/>
      <c r="AE58" s="244" t="s">
        <v>450</v>
      </c>
      <c r="AF58" s="245"/>
      <c r="AG58" s="254" t="s">
        <v>251</v>
      </c>
      <c r="AH58" s="145"/>
      <c r="AI58" s="145"/>
      <c r="AJ58" s="146"/>
      <c r="AK58" s="255" t="s">
        <v>249</v>
      </c>
      <c r="AL58" s="145"/>
      <c r="AM58" s="145"/>
      <c r="AN58" s="146"/>
      <c r="AO58" s="839" t="s">
        <v>243</v>
      </c>
      <c r="AP58" s="840"/>
      <c r="AQ58" s="840"/>
      <c r="AR58" s="840"/>
      <c r="AS58" s="840"/>
      <c r="AT58" s="840"/>
      <c r="AU58" s="840"/>
      <c r="AV58" s="841"/>
      <c r="AW58" s="839" t="s">
        <v>253</v>
      </c>
      <c r="AX58" s="840"/>
      <c r="AY58" s="840"/>
      <c r="AZ58" s="840"/>
      <c r="BA58" s="840"/>
      <c r="BB58" s="840"/>
      <c r="BC58" s="840"/>
      <c r="BD58" s="841"/>
      <c r="BE58" s="839" t="s">
        <v>254</v>
      </c>
      <c r="BF58" s="840"/>
      <c r="BG58" s="840"/>
      <c r="BH58" s="840"/>
      <c r="BI58" s="840"/>
      <c r="BJ58" s="840"/>
      <c r="BK58" s="840"/>
      <c r="BL58" s="840"/>
      <c r="BM58" s="235"/>
      <c r="BN58" s="236"/>
      <c r="BO58" s="237"/>
      <c r="BP58" s="235"/>
      <c r="BQ58" s="236"/>
      <c r="BR58" s="236"/>
      <c r="BS58" s="237"/>
      <c r="BT58" s="235"/>
      <c r="BU58" s="236"/>
      <c r="BV58" s="236"/>
      <c r="BW58" s="237"/>
      <c r="BX58" s="235"/>
      <c r="BY58" s="236"/>
      <c r="BZ58" s="236"/>
      <c r="CA58" s="237"/>
      <c r="CB58" s="235"/>
      <c r="CC58" s="236"/>
      <c r="CD58" s="236"/>
      <c r="CE58" s="237"/>
      <c r="CF58" s="235"/>
      <c r="CG58" s="236"/>
      <c r="CH58" s="236"/>
      <c r="CI58" s="237"/>
      <c r="CJ58" s="235"/>
      <c r="CK58" s="236"/>
      <c r="CL58" s="236"/>
      <c r="CM58" s="237"/>
      <c r="CN58" s="235"/>
      <c r="CO58" s="236"/>
      <c r="CP58" s="237"/>
      <c r="CQ58" s="269"/>
      <c r="CR58" s="821" t="s">
        <v>263</v>
      </c>
      <c r="CS58" s="822"/>
      <c r="CT58" s="822"/>
      <c r="CU58" s="822"/>
      <c r="CV58" s="823"/>
      <c r="CW58" s="821" t="s">
        <v>271</v>
      </c>
      <c r="CX58" s="822"/>
      <c r="CY58" s="822"/>
      <c r="CZ58" s="822"/>
      <c r="DA58" s="822"/>
      <c r="DB58" s="823"/>
      <c r="DC58" s="821" t="s">
        <v>272</v>
      </c>
      <c r="DD58" s="822"/>
      <c r="DE58" s="822"/>
      <c r="DF58" s="822"/>
      <c r="DG58" s="822"/>
      <c r="DH58" s="823"/>
      <c r="DI58" s="821" t="s">
        <v>274</v>
      </c>
      <c r="DJ58" s="822"/>
      <c r="DK58" s="822"/>
      <c r="DL58" s="822"/>
      <c r="DM58" s="822"/>
      <c r="DN58" s="823"/>
      <c r="DO58" s="842" t="s">
        <v>275</v>
      </c>
      <c r="DP58" s="843"/>
      <c r="DQ58" s="843"/>
      <c r="DR58" s="843"/>
      <c r="DS58" s="843"/>
      <c r="DT58" s="844"/>
      <c r="DU58" s="264"/>
      <c r="DV58" s="264"/>
      <c r="DW58" s="264"/>
      <c r="DX58" s="264"/>
      <c r="DY58" s="355"/>
      <c r="DZ58" s="357" t="s">
        <v>451</v>
      </c>
      <c r="EA58" s="124" t="s">
        <v>459</v>
      </c>
      <c r="EB58" s="255"/>
      <c r="EC58" s="255"/>
      <c r="ED58" s="145"/>
      <c r="EE58" s="145"/>
      <c r="EF58" s="146"/>
      <c r="EG58" s="254" t="s">
        <v>249</v>
      </c>
      <c r="EH58" s="145"/>
      <c r="EI58" s="145"/>
      <c r="EJ58" s="146"/>
      <c r="EK58" s="839" t="s">
        <v>243</v>
      </c>
      <c r="EL58" s="840"/>
      <c r="EM58" s="840"/>
      <c r="EN58" s="840"/>
      <c r="EO58" s="840"/>
      <c r="EP58" s="840"/>
      <c r="EQ58" s="840"/>
      <c r="ER58" s="840"/>
      <c r="ES58" s="839" t="s">
        <v>253</v>
      </c>
      <c r="ET58" s="840"/>
      <c r="EU58" s="840"/>
      <c r="EV58" s="840"/>
      <c r="EW58" s="840"/>
      <c r="EX58" s="840"/>
      <c r="EY58" s="840"/>
      <c r="EZ58" s="841"/>
      <c r="FA58" s="839" t="s">
        <v>254</v>
      </c>
      <c r="FB58" s="840"/>
      <c r="FC58" s="840"/>
      <c r="FD58" s="840"/>
      <c r="FE58" s="840"/>
      <c r="FF58" s="840"/>
      <c r="FG58" s="840"/>
      <c r="FH58" s="840"/>
      <c r="FI58" s="230"/>
      <c r="FJ58" s="231"/>
      <c r="FK58" s="232"/>
      <c r="FL58" s="283"/>
      <c r="FM58" s="284"/>
      <c r="FN58" s="284"/>
      <c r="FO58" s="285"/>
      <c r="FP58" s="283"/>
      <c r="FQ58" s="284"/>
      <c r="FR58" s="284"/>
      <c r="FS58" s="285"/>
      <c r="FT58" s="283"/>
      <c r="FU58" s="284"/>
      <c r="FV58" s="284"/>
      <c r="FW58" s="285"/>
      <c r="FX58" s="283"/>
      <c r="FY58" s="284"/>
      <c r="FZ58" s="284"/>
      <c r="GA58" s="285"/>
      <c r="GB58" s="283"/>
      <c r="GC58" s="284"/>
      <c r="GD58" s="284"/>
      <c r="GE58" s="285"/>
      <c r="GF58" s="283"/>
      <c r="GG58" s="284"/>
      <c r="GH58" s="284"/>
      <c r="GI58" s="285"/>
      <c r="GJ58" s="283"/>
      <c r="GK58" s="284"/>
      <c r="GL58" s="285"/>
      <c r="GM58" s="254" t="s">
        <v>280</v>
      </c>
      <c r="GN58" s="145"/>
      <c r="GO58" s="145"/>
      <c r="GP58" s="146"/>
      <c r="GQ58" s="254" t="s">
        <v>249</v>
      </c>
      <c r="GR58" s="145"/>
      <c r="GS58" s="145"/>
      <c r="GT58" s="146"/>
      <c r="GU58" s="839" t="s">
        <v>243</v>
      </c>
      <c r="GV58" s="840"/>
      <c r="GW58" s="840"/>
      <c r="GX58" s="840"/>
      <c r="GY58" s="840"/>
      <c r="GZ58" s="840"/>
      <c r="HA58" s="840"/>
      <c r="HB58" s="840"/>
      <c r="HC58" s="839" t="s">
        <v>253</v>
      </c>
      <c r="HD58" s="840"/>
      <c r="HE58" s="840"/>
      <c r="HF58" s="840"/>
      <c r="HG58" s="840"/>
      <c r="HH58" s="840"/>
      <c r="HI58" s="840"/>
      <c r="HJ58" s="841"/>
      <c r="HK58" s="839" t="s">
        <v>254</v>
      </c>
      <c r="HL58" s="840"/>
      <c r="HM58" s="840"/>
      <c r="HN58" s="840"/>
      <c r="HO58" s="840"/>
      <c r="HP58" s="840"/>
      <c r="HQ58" s="840"/>
      <c r="HR58" s="840"/>
      <c r="HS58" s="246"/>
      <c r="HT58" s="247"/>
      <c r="HU58" s="248"/>
      <c r="HV58" s="294"/>
      <c r="HW58" s="295"/>
      <c r="HX58" s="295"/>
      <c r="HY58" s="296"/>
      <c r="HZ58" s="294"/>
      <c r="IA58" s="295"/>
      <c r="IB58" s="295"/>
      <c r="IC58" s="296"/>
      <c r="ID58" s="294"/>
      <c r="IE58" s="295"/>
      <c r="IF58" s="295"/>
      <c r="IG58" s="296"/>
      <c r="IH58" s="294"/>
      <c r="II58" s="295"/>
      <c r="IJ58" s="295"/>
      <c r="IK58" s="296"/>
      <c r="IL58" s="294"/>
      <c r="IM58" s="295"/>
      <c r="IN58" s="295"/>
      <c r="IO58" s="296"/>
      <c r="IP58" s="294"/>
      <c r="IQ58" s="295"/>
      <c r="IR58" s="295"/>
      <c r="IS58" s="296"/>
      <c r="IT58" s="294"/>
      <c r="IU58" s="295"/>
      <c r="IV58" s="296"/>
      <c r="IW58" s="254" t="s">
        <v>292</v>
      </c>
      <c r="IX58" s="255"/>
      <c r="IY58" s="255"/>
      <c r="IZ58" s="260"/>
      <c r="JA58" s="258"/>
      <c r="JB58" s="259"/>
      <c r="JC58" s="258"/>
      <c r="JD58" s="259"/>
    </row>
    <row r="59" spans="1:266" ht="105.75" thickBot="1" x14ac:dyDescent="0.3">
      <c r="A59" s="176" t="s">
        <v>130</v>
      </c>
      <c r="B59" s="177" t="s">
        <v>132</v>
      </c>
      <c r="C59" s="177" t="s">
        <v>131</v>
      </c>
      <c r="D59" s="178" t="s">
        <v>145</v>
      </c>
      <c r="E59" s="178" t="s">
        <v>153</v>
      </c>
      <c r="F59" s="424" t="str">
        <f>Loads!P19</f>
        <v>Lead-Lag Shear [lbs] -
 Vx</v>
      </c>
      <c r="G59" s="178" t="str">
        <f>Loads!M19</f>
        <v>Shear [lbs] -
 OB Edge - Vz</v>
      </c>
      <c r="H59" s="178" t="str">
        <f>Loads!N19</f>
        <v>Moment [ft-lbs] -
 OB Edge - Mx</v>
      </c>
      <c r="I59" s="178" t="str">
        <f>Loads!V19</f>
        <v>Wing Torsion
[ft-lbs] -
 My</v>
      </c>
      <c r="J59" s="179" t="str">
        <f>Loads!Q19</f>
        <v>Lead-Lag Moment
[ft-lbs] -
Mz</v>
      </c>
      <c r="K59" s="163" t="s">
        <v>176</v>
      </c>
      <c r="L59" s="125" t="s">
        <v>173</v>
      </c>
      <c r="M59" s="125" t="s">
        <v>174</v>
      </c>
      <c r="N59" s="125" t="s">
        <v>175</v>
      </c>
      <c r="O59" s="154" t="s">
        <v>156</v>
      </c>
      <c r="P59" s="124" t="s">
        <v>150</v>
      </c>
      <c r="Q59" s="125" t="s">
        <v>151</v>
      </c>
      <c r="R59" s="125" t="s">
        <v>169</v>
      </c>
      <c r="S59" s="125" t="s">
        <v>170</v>
      </c>
      <c r="T59" s="154" t="s">
        <v>172</v>
      </c>
      <c r="U59" s="125" t="s">
        <v>264</v>
      </c>
      <c r="V59" s="125" t="s">
        <v>190</v>
      </c>
      <c r="W59" s="154" t="s">
        <v>163</v>
      </c>
      <c r="X59" s="124" t="s">
        <v>189</v>
      </c>
      <c r="Y59" s="125" t="s">
        <v>162</v>
      </c>
      <c r="Z59" s="125" t="s">
        <v>188</v>
      </c>
      <c r="AA59" s="154" t="s">
        <v>580</v>
      </c>
      <c r="AB59" s="203" t="s">
        <v>159</v>
      </c>
      <c r="AC59" s="203" t="s">
        <v>161</v>
      </c>
      <c r="AD59" s="135" t="s">
        <v>160</v>
      </c>
      <c r="AE59" s="124" t="s">
        <v>192</v>
      </c>
      <c r="AF59" s="125" t="s">
        <v>193</v>
      </c>
      <c r="AG59" s="124" t="s">
        <v>198</v>
      </c>
      <c r="AH59" s="125" t="s">
        <v>217</v>
      </c>
      <c r="AI59" s="125" t="s">
        <v>218</v>
      </c>
      <c r="AJ59" s="154" t="s">
        <v>252</v>
      </c>
      <c r="AK59" s="125" t="s">
        <v>221</v>
      </c>
      <c r="AL59" s="125" t="s">
        <v>238</v>
      </c>
      <c r="AM59" s="125" t="s">
        <v>250</v>
      </c>
      <c r="AN59" s="154" t="s">
        <v>239</v>
      </c>
      <c r="AO59" s="210" t="s">
        <v>240</v>
      </c>
      <c r="AP59" s="213" t="s">
        <v>242</v>
      </c>
      <c r="AQ59" s="213" t="s">
        <v>241</v>
      </c>
      <c r="AR59" s="213" t="s">
        <v>245</v>
      </c>
      <c r="AS59" s="213" t="s">
        <v>246</v>
      </c>
      <c r="AT59" s="213" t="s">
        <v>247</v>
      </c>
      <c r="AU59" s="213" t="s">
        <v>248</v>
      </c>
      <c r="AV59" s="212" t="s">
        <v>231</v>
      </c>
      <c r="AW59" s="210" t="s">
        <v>240</v>
      </c>
      <c r="AX59" s="213" t="s">
        <v>242</v>
      </c>
      <c r="AY59" s="213" t="s">
        <v>241</v>
      </c>
      <c r="AZ59" s="213" t="s">
        <v>245</v>
      </c>
      <c r="BA59" s="213" t="s">
        <v>246</v>
      </c>
      <c r="BB59" s="213" t="s">
        <v>247</v>
      </c>
      <c r="BC59" s="213" t="s">
        <v>248</v>
      </c>
      <c r="BD59" s="212" t="s">
        <v>231</v>
      </c>
      <c r="BE59" s="210" t="s">
        <v>240</v>
      </c>
      <c r="BF59" s="213" t="s">
        <v>242</v>
      </c>
      <c r="BG59" s="213" t="s">
        <v>241</v>
      </c>
      <c r="BH59" s="213" t="s">
        <v>245</v>
      </c>
      <c r="BI59" s="213" t="s">
        <v>246</v>
      </c>
      <c r="BJ59" s="213" t="s">
        <v>247</v>
      </c>
      <c r="BK59" s="213" t="s">
        <v>248</v>
      </c>
      <c r="BL59" s="211" t="s">
        <v>231</v>
      </c>
      <c r="BM59" s="243" t="s">
        <v>297</v>
      </c>
      <c r="BN59" s="239" t="s">
        <v>267</v>
      </c>
      <c r="BO59" s="268" t="s">
        <v>268</v>
      </c>
      <c r="BP59" s="281" t="s">
        <v>299</v>
      </c>
      <c r="BQ59" s="282" t="s">
        <v>300</v>
      </c>
      <c r="BR59" s="282" t="s">
        <v>301</v>
      </c>
      <c r="BS59" s="280" t="s">
        <v>302</v>
      </c>
      <c r="BT59" s="278" t="s">
        <v>303</v>
      </c>
      <c r="BU59" s="239" t="s">
        <v>304</v>
      </c>
      <c r="BV59" s="239" t="s">
        <v>305</v>
      </c>
      <c r="BW59" s="268" t="s">
        <v>306</v>
      </c>
      <c r="BX59" s="281" t="s">
        <v>308</v>
      </c>
      <c r="BY59" s="282" t="s">
        <v>309</v>
      </c>
      <c r="BZ59" s="282" t="s">
        <v>310</v>
      </c>
      <c r="CA59" s="280" t="s">
        <v>311</v>
      </c>
      <c r="CB59" s="278" t="s">
        <v>312</v>
      </c>
      <c r="CC59" s="239" t="s">
        <v>313</v>
      </c>
      <c r="CD59" s="239" t="s">
        <v>314</v>
      </c>
      <c r="CE59" s="268" t="s">
        <v>315</v>
      </c>
      <c r="CF59" s="281" t="s">
        <v>316</v>
      </c>
      <c r="CG59" s="282" t="s">
        <v>317</v>
      </c>
      <c r="CH59" s="282" t="s">
        <v>318</v>
      </c>
      <c r="CI59" s="280" t="s">
        <v>319</v>
      </c>
      <c r="CJ59" s="278" t="s">
        <v>320</v>
      </c>
      <c r="CK59" s="239" t="s">
        <v>321</v>
      </c>
      <c r="CL59" s="239" t="s">
        <v>322</v>
      </c>
      <c r="CM59" s="268" t="s">
        <v>323</v>
      </c>
      <c r="CN59" s="243" t="s">
        <v>307</v>
      </c>
      <c r="CO59" s="239" t="s">
        <v>324</v>
      </c>
      <c r="CP59" s="268" t="s">
        <v>325</v>
      </c>
      <c r="CQ59" s="120" t="s">
        <v>261</v>
      </c>
      <c r="CR59" s="125" t="s">
        <v>279</v>
      </c>
      <c r="CS59" s="125" t="s">
        <v>196</v>
      </c>
      <c r="CT59" s="125" t="s">
        <v>269</v>
      </c>
      <c r="CU59" s="125" t="s">
        <v>197</v>
      </c>
      <c r="CV59" s="125" t="s">
        <v>270</v>
      </c>
      <c r="CW59" s="261" t="s">
        <v>273</v>
      </c>
      <c r="CX59" s="125" t="s">
        <v>278</v>
      </c>
      <c r="CY59" s="125" t="s">
        <v>196</v>
      </c>
      <c r="CZ59" s="125" t="s">
        <v>269</v>
      </c>
      <c r="DA59" s="125" t="s">
        <v>197</v>
      </c>
      <c r="DB59" s="125" t="s">
        <v>270</v>
      </c>
      <c r="DC59" s="261" t="s">
        <v>273</v>
      </c>
      <c r="DD59" s="125" t="s">
        <v>278</v>
      </c>
      <c r="DE59" s="125" t="s">
        <v>196</v>
      </c>
      <c r="DF59" s="125" t="s">
        <v>269</v>
      </c>
      <c r="DG59" s="125" t="s">
        <v>197</v>
      </c>
      <c r="DH59" s="125" t="s">
        <v>270</v>
      </c>
      <c r="DI59" s="261" t="s">
        <v>273</v>
      </c>
      <c r="DJ59" s="125" t="s">
        <v>278</v>
      </c>
      <c r="DK59" s="125" t="s">
        <v>196</v>
      </c>
      <c r="DL59" s="125" t="s">
        <v>269</v>
      </c>
      <c r="DM59" s="125" t="s">
        <v>197</v>
      </c>
      <c r="DN59" s="125" t="s">
        <v>270</v>
      </c>
      <c r="DO59" s="261" t="s">
        <v>273</v>
      </c>
      <c r="DP59" s="125" t="s">
        <v>278</v>
      </c>
      <c r="DQ59" s="292" t="s">
        <v>196</v>
      </c>
      <c r="DR59" s="262" t="s">
        <v>269</v>
      </c>
      <c r="DS59" s="262" t="s">
        <v>197</v>
      </c>
      <c r="DT59" s="263" t="s">
        <v>270</v>
      </c>
      <c r="DU59" s="292" t="s">
        <v>347</v>
      </c>
      <c r="DV59" s="262" t="s">
        <v>349</v>
      </c>
      <c r="DW59" s="262" t="s">
        <v>348</v>
      </c>
      <c r="DX59" s="262" t="s">
        <v>350</v>
      </c>
      <c r="DY59" s="351" t="s">
        <v>445</v>
      </c>
      <c r="DZ59" s="119" t="s">
        <v>191</v>
      </c>
      <c r="EA59" s="124" t="s">
        <v>244</v>
      </c>
      <c r="EB59" s="125" t="s">
        <v>452</v>
      </c>
      <c r="EC59" s="326" t="s">
        <v>453</v>
      </c>
      <c r="ED59" s="125" t="s">
        <v>199</v>
      </c>
      <c r="EE59" s="125" t="s">
        <v>200</v>
      </c>
      <c r="EF59" s="154" t="s">
        <v>201</v>
      </c>
      <c r="EG59" s="125" t="s">
        <v>221</v>
      </c>
      <c r="EH59" s="125" t="s">
        <v>238</v>
      </c>
      <c r="EI59" s="125" t="s">
        <v>250</v>
      </c>
      <c r="EJ59" s="154" t="s">
        <v>239</v>
      </c>
      <c r="EK59" s="210" t="s">
        <v>240</v>
      </c>
      <c r="EL59" s="213" t="s">
        <v>242</v>
      </c>
      <c r="EM59" s="213" t="s">
        <v>241</v>
      </c>
      <c r="EN59" s="213" t="s">
        <v>245</v>
      </c>
      <c r="EO59" s="213" t="s">
        <v>246</v>
      </c>
      <c r="EP59" s="213" t="s">
        <v>247</v>
      </c>
      <c r="EQ59" s="213" t="s">
        <v>248</v>
      </c>
      <c r="ER59" s="211" t="s">
        <v>231</v>
      </c>
      <c r="ES59" s="210" t="s">
        <v>240</v>
      </c>
      <c r="ET59" s="213" t="s">
        <v>242</v>
      </c>
      <c r="EU59" s="213" t="s">
        <v>241</v>
      </c>
      <c r="EV59" s="213" t="s">
        <v>245</v>
      </c>
      <c r="EW59" s="213" t="s">
        <v>246</v>
      </c>
      <c r="EX59" s="213" t="s">
        <v>247</v>
      </c>
      <c r="EY59" s="213" t="s">
        <v>248</v>
      </c>
      <c r="EZ59" s="212" t="s">
        <v>231</v>
      </c>
      <c r="FA59" s="210" t="s">
        <v>240</v>
      </c>
      <c r="FB59" s="213" t="s">
        <v>242</v>
      </c>
      <c r="FC59" s="213" t="s">
        <v>241</v>
      </c>
      <c r="FD59" s="213" t="s">
        <v>245</v>
      </c>
      <c r="FE59" s="213" t="s">
        <v>245</v>
      </c>
      <c r="FF59" s="213" t="s">
        <v>247</v>
      </c>
      <c r="FG59" s="213" t="s">
        <v>248</v>
      </c>
      <c r="FH59" s="211" t="s">
        <v>231</v>
      </c>
      <c r="FI59" s="242" t="s">
        <v>290</v>
      </c>
      <c r="FJ59" s="233" t="s">
        <v>265</v>
      </c>
      <c r="FK59" s="234" t="s">
        <v>266</v>
      </c>
      <c r="FL59" s="286" t="s">
        <v>299</v>
      </c>
      <c r="FM59" s="287" t="s">
        <v>300</v>
      </c>
      <c r="FN59" s="287" t="s">
        <v>301</v>
      </c>
      <c r="FO59" s="288" t="s">
        <v>302</v>
      </c>
      <c r="FP59" s="289" t="s">
        <v>303</v>
      </c>
      <c r="FQ59" s="290" t="s">
        <v>304</v>
      </c>
      <c r="FR59" s="290" t="s">
        <v>305</v>
      </c>
      <c r="FS59" s="291" t="s">
        <v>306</v>
      </c>
      <c r="FT59" s="286" t="s">
        <v>326</v>
      </c>
      <c r="FU59" s="287" t="s">
        <v>327</v>
      </c>
      <c r="FV59" s="287" t="s">
        <v>328</v>
      </c>
      <c r="FW59" s="288" t="s">
        <v>329</v>
      </c>
      <c r="FX59" s="289" t="s">
        <v>330</v>
      </c>
      <c r="FY59" s="290" t="s">
        <v>331</v>
      </c>
      <c r="FZ59" s="290" t="s">
        <v>332</v>
      </c>
      <c r="GA59" s="291" t="s">
        <v>333</v>
      </c>
      <c r="GB59" s="286" t="s">
        <v>334</v>
      </c>
      <c r="GC59" s="287" t="s">
        <v>335</v>
      </c>
      <c r="GD59" s="287" t="s">
        <v>336</v>
      </c>
      <c r="GE59" s="288" t="s">
        <v>337</v>
      </c>
      <c r="GF59" s="289" t="s">
        <v>338</v>
      </c>
      <c r="GG59" s="290" t="s">
        <v>339</v>
      </c>
      <c r="GH59" s="290" t="s">
        <v>340</v>
      </c>
      <c r="GI59" s="291" t="s">
        <v>341</v>
      </c>
      <c r="GJ59" s="289" t="s">
        <v>352</v>
      </c>
      <c r="GK59" s="290" t="s">
        <v>345</v>
      </c>
      <c r="GL59" s="291" t="s">
        <v>344</v>
      </c>
      <c r="GM59" s="124" t="s">
        <v>281</v>
      </c>
      <c r="GN59" s="125" t="s">
        <v>282</v>
      </c>
      <c r="GO59" s="125" t="s">
        <v>200</v>
      </c>
      <c r="GP59" s="154" t="s">
        <v>201</v>
      </c>
      <c r="GQ59" s="124" t="s">
        <v>221</v>
      </c>
      <c r="GR59" s="125" t="s">
        <v>238</v>
      </c>
      <c r="GS59" s="125" t="s">
        <v>250</v>
      </c>
      <c r="GT59" s="154" t="s">
        <v>239</v>
      </c>
      <c r="GU59" s="210" t="s">
        <v>240</v>
      </c>
      <c r="GV59" s="213" t="s">
        <v>242</v>
      </c>
      <c r="GW59" s="213" t="s">
        <v>241</v>
      </c>
      <c r="GX59" s="213" t="s">
        <v>245</v>
      </c>
      <c r="GY59" s="213" t="s">
        <v>246</v>
      </c>
      <c r="GZ59" s="213" t="s">
        <v>247</v>
      </c>
      <c r="HA59" s="213" t="s">
        <v>248</v>
      </c>
      <c r="HB59" s="211" t="s">
        <v>231</v>
      </c>
      <c r="HC59" s="210" t="s">
        <v>240</v>
      </c>
      <c r="HD59" s="213" t="s">
        <v>242</v>
      </c>
      <c r="HE59" s="213" t="s">
        <v>241</v>
      </c>
      <c r="HF59" s="213" t="s">
        <v>245</v>
      </c>
      <c r="HG59" s="213" t="s">
        <v>246</v>
      </c>
      <c r="HH59" s="213" t="s">
        <v>247</v>
      </c>
      <c r="HI59" s="213" t="s">
        <v>248</v>
      </c>
      <c r="HJ59" s="212" t="s">
        <v>231</v>
      </c>
      <c r="HK59" s="210" t="s">
        <v>240</v>
      </c>
      <c r="HL59" s="213" t="s">
        <v>242</v>
      </c>
      <c r="HM59" s="213" t="s">
        <v>241</v>
      </c>
      <c r="HN59" s="213" t="s">
        <v>245</v>
      </c>
      <c r="HO59" s="213" t="s">
        <v>245</v>
      </c>
      <c r="HP59" s="213" t="s">
        <v>247</v>
      </c>
      <c r="HQ59" s="213" t="s">
        <v>248</v>
      </c>
      <c r="HR59" s="211" t="s">
        <v>231</v>
      </c>
      <c r="HS59" s="249" t="s">
        <v>291</v>
      </c>
      <c r="HT59" s="250" t="s">
        <v>284</v>
      </c>
      <c r="HU59" s="251" t="s">
        <v>285</v>
      </c>
      <c r="HV59" s="297" t="s">
        <v>299</v>
      </c>
      <c r="HW59" s="298" t="s">
        <v>300</v>
      </c>
      <c r="HX59" s="298" t="s">
        <v>301</v>
      </c>
      <c r="HY59" s="299" t="s">
        <v>302</v>
      </c>
      <c r="HZ59" s="300" t="s">
        <v>303</v>
      </c>
      <c r="IA59" s="301" t="s">
        <v>304</v>
      </c>
      <c r="IB59" s="301" t="s">
        <v>305</v>
      </c>
      <c r="IC59" s="302" t="s">
        <v>306</v>
      </c>
      <c r="ID59" s="297" t="s">
        <v>326</v>
      </c>
      <c r="IE59" s="298" t="s">
        <v>327</v>
      </c>
      <c r="IF59" s="298" t="s">
        <v>328</v>
      </c>
      <c r="IG59" s="299" t="s">
        <v>329</v>
      </c>
      <c r="IH59" s="300" t="s">
        <v>330</v>
      </c>
      <c r="II59" s="301" t="s">
        <v>331</v>
      </c>
      <c r="IJ59" s="301" t="s">
        <v>332</v>
      </c>
      <c r="IK59" s="302" t="s">
        <v>333</v>
      </c>
      <c r="IL59" s="297" t="s">
        <v>334</v>
      </c>
      <c r="IM59" s="298" t="s">
        <v>335</v>
      </c>
      <c r="IN59" s="298" t="s">
        <v>336</v>
      </c>
      <c r="IO59" s="299" t="s">
        <v>337</v>
      </c>
      <c r="IP59" s="300" t="s">
        <v>338</v>
      </c>
      <c r="IQ59" s="301" t="s">
        <v>339</v>
      </c>
      <c r="IR59" s="301" t="s">
        <v>340</v>
      </c>
      <c r="IS59" s="302" t="s">
        <v>341</v>
      </c>
      <c r="IT59" s="300" t="s">
        <v>353</v>
      </c>
      <c r="IU59" s="301" t="s">
        <v>342</v>
      </c>
      <c r="IV59" s="302" t="s">
        <v>343</v>
      </c>
      <c r="IW59" s="161" t="s">
        <v>585</v>
      </c>
      <c r="IX59" s="252" t="s">
        <v>194</v>
      </c>
      <c r="IY59" s="252" t="s">
        <v>286</v>
      </c>
      <c r="IZ59" s="252" t="s">
        <v>287</v>
      </c>
      <c r="JA59" s="256" t="s">
        <v>589</v>
      </c>
      <c r="JB59" s="257" t="s">
        <v>288</v>
      </c>
      <c r="JC59" s="256" t="s">
        <v>588</v>
      </c>
      <c r="JD59" s="257" t="s">
        <v>351</v>
      </c>
      <c r="JE59" s="136"/>
      <c r="JF59" s="136"/>
    </row>
    <row r="60" spans="1:266" x14ac:dyDescent="0.25">
      <c r="A60" s="180">
        <v>0</v>
      </c>
      <c r="B60" s="181">
        <f>A60/100*'Inputs-Imperial'!$E$5</f>
        <v>0</v>
      </c>
      <c r="C60" s="182">
        <f>'Inputs-Imperial'!$E$10+('Inputs-Imperial'!$E$9-'Inputs-Imperial'!$E$10)*(100-A60)/100</f>
        <v>5.0853020000000004</v>
      </c>
      <c r="D60" s="183">
        <v>0</v>
      </c>
      <c r="E60" s="183">
        <v>0</v>
      </c>
      <c r="F60" s="423">
        <f>Loads!P20</f>
        <v>970.77706817218188</v>
      </c>
      <c r="G60" s="423">
        <f>Loads!M20</f>
        <v>9707.7706817218186</v>
      </c>
      <c r="H60" s="423">
        <f>Loads!N20</f>
        <v>105068.09904309957</v>
      </c>
      <c r="I60" s="423">
        <f>Loads!V20</f>
        <v>-23217.821192543794</v>
      </c>
      <c r="J60" s="423">
        <f>Loads!Q20</f>
        <v>10506.809904309965</v>
      </c>
      <c r="K60" s="24">
        <v>0</v>
      </c>
      <c r="L60" s="166">
        <f>B60*12</f>
        <v>0</v>
      </c>
      <c r="M60" s="173">
        <f>C60*12</f>
        <v>61.023624000000005</v>
      </c>
      <c r="N60" s="173">
        <f>D60*12</f>
        <v>0</v>
      </c>
      <c r="O60" s="167">
        <f>E60*12*12</f>
        <v>0</v>
      </c>
      <c r="P60" s="151">
        <f>F60</f>
        <v>970.77706817218188</v>
      </c>
      <c r="Q60" s="12">
        <f>G60</f>
        <v>9707.7706817218186</v>
      </c>
      <c r="R60" s="12">
        <f>ABS(H60*12)</f>
        <v>1260817.1885171949</v>
      </c>
      <c r="S60" s="12">
        <f>I60*12</f>
        <v>-278613.85431052552</v>
      </c>
      <c r="T60" s="152">
        <f>J60*12</f>
        <v>126081.71885171958</v>
      </c>
      <c r="U60" s="130">
        <f t="shared" ref="U60:U91" si="0">M60*$E$17</f>
        <v>10.984252320000001</v>
      </c>
      <c r="V60" s="130">
        <f t="shared" ref="V60:V91" si="1">M60*$E$17</f>
        <v>10.984252320000001</v>
      </c>
      <c r="W60" s="133">
        <f t="shared" ref="W60:W91" si="2">M60*$E$19</f>
        <v>5.4921261600000006</v>
      </c>
      <c r="X60" s="311">
        <f t="shared" ref="X60:X91" si="3">M60*$E$18</f>
        <v>15.255906000000001</v>
      </c>
      <c r="Y60" s="11">
        <f t="shared" ref="Y60:Y91" si="4">M60*$E$20</f>
        <v>45.767718000000002</v>
      </c>
      <c r="Z60" s="11">
        <f t="shared" ref="Z60:Z91" si="5">Y60-X60</f>
        <v>30.511811999999999</v>
      </c>
      <c r="AA60" s="316">
        <f>Y60</f>
        <v>45.767718000000002</v>
      </c>
      <c r="AB60" s="202">
        <f>AVERAGE(W60,V60)</f>
        <v>8.2381892400000005</v>
      </c>
      <c r="AC60" s="173">
        <f>AA60</f>
        <v>45.767718000000002</v>
      </c>
      <c r="AD60" s="167">
        <f>PI()*AB60/2*AC60/2</f>
        <v>296.12897551448606</v>
      </c>
      <c r="AE60" s="151">
        <f t="shared" ref="AE60:AE91" si="6">ABS(P60)/AA60</f>
        <v>21.21095633765664</v>
      </c>
      <c r="AF60" s="12">
        <f>ABS(S60)/2/AD60</f>
        <v>470.42653260537867</v>
      </c>
      <c r="AG60" s="216">
        <f t="shared" ref="AG60:AG91" si="7">((AE60+AF60)/$E$46)</f>
        <v>3.2210041178888933E-2</v>
      </c>
      <c r="AH60" s="2">
        <f>ROUNDUP(AG60/$E$32,0)</f>
        <v>5</v>
      </c>
      <c r="AI60" s="2">
        <f>IF(AH60&lt;$E$40,$E$40,MAX($E$40,ROUNDUP(AH60/2,0)))</f>
        <v>3</v>
      </c>
      <c r="AJ60" s="127">
        <f>IF(AH60&lt;$E$41,$E$41,MAX($E$41,ROUNDUP(AH60/2,0)))</f>
        <v>3</v>
      </c>
      <c r="AK60" s="2">
        <f>MIN(AI60*$E$32,AJ60*$E$32)</f>
        <v>2.3622047244094495E-2</v>
      </c>
      <c r="AL60" s="8">
        <f t="shared" ref="AL60:AL91" si="8">$E$22*(AE60+AF60)/$E$34</f>
        <v>0.33897150329088604</v>
      </c>
      <c r="AM60" s="138">
        <f>IF(ROUNDUP(AL60/$E$42,0)*$E$42&gt;$E$42,ROUNDUP(AL60/$E$42,0)*$E$42,$E$42)</f>
        <v>0.5</v>
      </c>
      <c r="AN60" s="12">
        <f t="shared" ref="AN60:AN91" si="9">$E$22*(AE60+AF60)/(2*AK60)</f>
        <v>18731.388328729641</v>
      </c>
      <c r="AO60" s="138">
        <f>AM60</f>
        <v>0.5</v>
      </c>
      <c r="AP60" s="116">
        <f>$E$29</f>
        <v>2175570</v>
      </c>
      <c r="AQ60" s="2">
        <f>$AK60</f>
        <v>2.3622047244094495E-2</v>
      </c>
      <c r="AR60" s="8">
        <f>MAX($X60,$Z60)</f>
        <v>30.511811999999999</v>
      </c>
      <c r="AS60" s="116">
        <f>$E$34</f>
        <v>2610.6840000000002</v>
      </c>
      <c r="AT60" s="217">
        <f>(PI()^2)*AO60*AP60*AQ60/(2*AS60*AR60^2)</f>
        <v>5.2172307126668392E-2</v>
      </c>
      <c r="AU60" s="207">
        <f>IF((-50.995*AT60^3+45.565*AT60^2-18.064*AT60+5.2989)&gt;2,(-50.995*AT60^3+45.565*AT60^2-18.064*AT60+5.2989),2)</f>
        <v>4.4732432590501556</v>
      </c>
      <c r="AV60" s="144">
        <f>(PI()^2)*AU60*(AO60^2)*AP60/(4*AR60^2)</f>
        <v>6448.2124947175798</v>
      </c>
      <c r="AW60" s="138">
        <f>IF(AV60&gt;AN60,AO60,ROUNDUP(AO60*AN60/AV60/$E$42,0)*$E$42)</f>
        <v>1.5</v>
      </c>
      <c r="AX60" s="116">
        <f>$E$29</f>
        <v>2175570</v>
      </c>
      <c r="AY60" s="2">
        <f>$AK60</f>
        <v>2.3622047244094495E-2</v>
      </c>
      <c r="AZ60" s="8">
        <f>MAX($X60,$Z60)</f>
        <v>30.511811999999999</v>
      </c>
      <c r="BA60" s="116">
        <f>$E$34</f>
        <v>2610.6840000000002</v>
      </c>
      <c r="BB60" s="217">
        <f>(PI()^2)*AW60*AX60*AY60/(2*BA60*AZ60^2)</f>
        <v>0.15651692138000517</v>
      </c>
      <c r="BC60" s="207">
        <f>IF((-50.995*BB60^3+45.565*BB60^2-18.064*BB60+5.2989)&gt;2,(-50.995*BB60^3+45.565*BB60^2-18.064*BB60+5.2989),2)</f>
        <v>3.3922799080303383</v>
      </c>
      <c r="BD60" s="144">
        <f>(PI()^2)*BC60*(AW60^2)*AX60/(4*AZ60^2)</f>
        <v>44009.96409005225</v>
      </c>
      <c r="BE60" s="138">
        <f>IF(BD60&gt;AN60,AW60,ROUNDUP(AW60*AN60/BD60/$E$42,0)*$E$42)</f>
        <v>1.5</v>
      </c>
      <c r="BF60" s="116">
        <f>$E$29</f>
        <v>2175570</v>
      </c>
      <c r="BG60" s="2">
        <f>$AK60</f>
        <v>2.3622047244094495E-2</v>
      </c>
      <c r="BH60" s="8">
        <f>MAX($X60,$Z60)</f>
        <v>30.511811999999999</v>
      </c>
      <c r="BI60" s="116">
        <f>$E$34</f>
        <v>2610.6840000000002</v>
      </c>
      <c r="BJ60" s="217">
        <f>(PI()^2)*BE60*BF60*BG60/(2*BI60*BH60^2)</f>
        <v>0.15651692138000517</v>
      </c>
      <c r="BK60" s="207">
        <f>IF((-50.995*BJ60^3+45.565*BJ60^2-18.064*BJ60+5.2989)&gt;2,(-50.995*BJ60^3+45.565*BJ60^2-18.064*BJ60+5.2989),2)</f>
        <v>3.3922799080303383</v>
      </c>
      <c r="BL60" s="144">
        <f>(PI()^2)*BK60*(BE60^2)*BF60/(4*BH60^2)</f>
        <v>44009.96409005225</v>
      </c>
      <c r="BM60" s="240">
        <f>IF(BL60&gt;AN60,BE60,ROUNDUP(BE60*AN60/BL60/$E$42,0)*$E$42)</f>
        <v>1.5</v>
      </c>
      <c r="BN60" s="240">
        <f>AI60*$E$32</f>
        <v>2.3622047244094495E-2</v>
      </c>
      <c r="BO60" s="241">
        <f>AJ60*$E$32</f>
        <v>2.3622047244094495E-2</v>
      </c>
      <c r="BP60" s="240">
        <f>IF($B60&lt;$E$13*$E$14,$BM60,0)</f>
        <v>1.5</v>
      </c>
      <c r="BQ60" s="279">
        <f>IF($B60&lt;$E$13*$E$15,IF($B60&lt;$E$13*$E$14,0,$BM60),0)</f>
        <v>0</v>
      </c>
      <c r="BR60" s="279">
        <f>IF($B60&lt;$E$13*$E$16,IF($B60&lt;$E$13*$E$15,0,$BM60),0)</f>
        <v>0</v>
      </c>
      <c r="BS60" s="241">
        <f>IF($B60&lt;=$E$13*1,IF($B60&lt;$E$13*$E$16,0,$BM60),0)</f>
        <v>0</v>
      </c>
      <c r="BT60" s="279">
        <f>IF(BP60&gt;0,MAX(BP$60:BP$160),0)</f>
        <v>2</v>
      </c>
      <c r="BU60" s="279">
        <f>IF(BQ60&gt;0,MAX(BQ$60:BQ$160),0)</f>
        <v>0</v>
      </c>
      <c r="BV60" s="279">
        <f>IF(BR60&gt;0,MAX(BR$60:BR$160),0)</f>
        <v>0</v>
      </c>
      <c r="BW60" s="241">
        <f>IF(BS60&gt;0,MAX(BS$60:BS$160),0)</f>
        <v>0</v>
      </c>
      <c r="BX60" s="240">
        <f>IF($B60&lt;$E$13*$E$14,$BN60,0)</f>
        <v>2.3622047244094495E-2</v>
      </c>
      <c r="BY60" s="279">
        <f>IF($B60&lt;$E$13*$E$15,IF($B60&lt;$E$13*$E$14,0,$BN60),0)</f>
        <v>0</v>
      </c>
      <c r="BZ60" s="279">
        <f>IF($B60&lt;$E$13*$E$16,IF($B60&lt;$E$13*$E$15,0,$BN60),0)</f>
        <v>0</v>
      </c>
      <c r="CA60" s="241">
        <f>IF($B60&lt;=$E$13*1,IF($B60&lt;$E$13*$E$16,0,$BN60),0)</f>
        <v>0</v>
      </c>
      <c r="CB60" s="279">
        <f>IF(BX60&gt;0,MAX(BX$60:BX$160),0)</f>
        <v>2.3622047244094495E-2</v>
      </c>
      <c r="CC60" s="279">
        <f>IF(BY60&gt;0,MAX(BY$60:BY$160),0)</f>
        <v>0</v>
      </c>
      <c r="CD60" s="279">
        <f>IF(BZ60&gt;0,MAX(BZ$60:BZ$160),0)</f>
        <v>0</v>
      </c>
      <c r="CE60" s="241">
        <f>IF(CA60&gt;0,MAX(CA$60:CA$160),0)</f>
        <v>0</v>
      </c>
      <c r="CF60" s="240">
        <f>IF($B60&lt;$E$13*$E$14,$BO60,0)</f>
        <v>2.3622047244094495E-2</v>
      </c>
      <c r="CG60" s="279">
        <f>IF($B60&lt;$E$13*$E$15,IF($B60&lt;$E$13*$E$14,0,$BO60),0)</f>
        <v>0</v>
      </c>
      <c r="CH60" s="279">
        <f>IF($B60&lt;$E$13*$E$16,IF($B60&lt;$E$13*$E$15,0,$BO60),0)</f>
        <v>0</v>
      </c>
      <c r="CI60" s="241">
        <f>IF($B60&lt;=$E$13*1,IF($B60&lt;$E$13*$E$16,0,$BO60),0)</f>
        <v>0</v>
      </c>
      <c r="CJ60" s="279">
        <f>IF(CF60&gt;0,MAX(CF$60:CF$160),0)</f>
        <v>2.3622047244094495E-2</v>
      </c>
      <c r="CK60" s="279">
        <f>IF(CG60&gt;0,MAX(CG$60:CG$160),0)</f>
        <v>0</v>
      </c>
      <c r="CL60" s="279">
        <f>IF(CH60&gt;0,MAX(CH$60:CH$160),0)</f>
        <v>0</v>
      </c>
      <c r="CM60" s="241">
        <f>IF(CI60&gt;0,MAX(CI$60:CI$160),0)</f>
        <v>0</v>
      </c>
      <c r="CN60" s="293">
        <f>MAX(BT60:BW60)</f>
        <v>2</v>
      </c>
      <c r="CO60" s="293">
        <f>MAX(CB60:CE60)</f>
        <v>2.3622047244094495E-2</v>
      </c>
      <c r="CP60" s="293">
        <f>MAX(CJ60:CM60)</f>
        <v>2.3622047244094495E-2</v>
      </c>
      <c r="CQ60" s="17">
        <f>$U60-IF('Inputs-Imperial'!$E$13,0,2)*($CO60+$CN60+$CP60)</f>
        <v>10.984252320000001</v>
      </c>
      <c r="CR60" s="116">
        <f>$R60/CQ60</f>
        <v>114784.07012023144</v>
      </c>
      <c r="CS60" s="8">
        <f t="shared" ref="CS60:CS123" si="10">CR60/($E$23/$E$21)</f>
        <v>2.9677757756647765</v>
      </c>
      <c r="CT60" s="8">
        <f>SQRT(CS60)</f>
        <v>1.7227233601669121</v>
      </c>
      <c r="CU60" s="8">
        <f t="shared" ref="CU60:CU91" si="11">CR60/($E$24/$E$21)</f>
        <v>2.9677757756647765</v>
      </c>
      <c r="CV60" s="8">
        <f>SQRT(CU60)</f>
        <v>1.7227233601669121</v>
      </c>
      <c r="CW60" s="216">
        <f>$CQ60-CT60/2-CV60/2</f>
        <v>9.2615289598330879</v>
      </c>
      <c r="CX60" s="116">
        <f>$R60/CW60</f>
        <v>136134.88593355514</v>
      </c>
      <c r="CY60" s="8">
        <f>CX60/($E$23/$E$21)</f>
        <v>3.5198073763484863</v>
      </c>
      <c r="CZ60" s="8">
        <f>SQRT(CY60)</f>
        <v>1.8761149688514525</v>
      </c>
      <c r="DA60" s="8">
        <f>CX60/($E$24/$E$21)</f>
        <v>3.5198073763484863</v>
      </c>
      <c r="DB60" s="8">
        <f>SQRT(DA60)</f>
        <v>1.8761149688514525</v>
      </c>
      <c r="DC60" s="216">
        <f>$CQ60-CZ60/2-DB60/2</f>
        <v>9.1081373511485477</v>
      </c>
      <c r="DD60" s="116">
        <f>$R60/DC60</f>
        <v>138427.5554823736</v>
      </c>
      <c r="DE60" s="8">
        <f>DD60/($E$23/$E$21)</f>
        <v>3.5790850195045505</v>
      </c>
      <c r="DF60" s="8">
        <f>SQRT(DE60)</f>
        <v>1.8918469862820699</v>
      </c>
      <c r="DG60" s="8">
        <f>DD60/($E$24/$E$21)</f>
        <v>3.5790850195045505</v>
      </c>
      <c r="DH60" s="8">
        <f>SQRT(DG60)</f>
        <v>1.8918469862820699</v>
      </c>
      <c r="DI60" s="216">
        <f>$CQ60-DF60/2-DH60/2</f>
        <v>9.0924053337179327</v>
      </c>
      <c r="DJ60" s="116">
        <f>$R60/DI60</f>
        <v>138667.06798052965</v>
      </c>
      <c r="DK60" s="8">
        <f>DJ60/($E$23/$E$21)</f>
        <v>3.585277685344435</v>
      </c>
      <c r="DL60" s="8">
        <f>SQRT(DK60)</f>
        <v>1.893482950898802</v>
      </c>
      <c r="DM60" s="8">
        <f>DJ60/($E$24/$E$21)</f>
        <v>3.585277685344435</v>
      </c>
      <c r="DN60" s="8">
        <f>SQRT(DM60)</f>
        <v>1.893482950898802</v>
      </c>
      <c r="DO60" s="216">
        <f>$CQ60-DL60/2-DN60/2</f>
        <v>9.0907693691011993</v>
      </c>
      <c r="DP60" s="116">
        <f>$R60/DO60</f>
        <v>138692.02234990275</v>
      </c>
      <c r="DQ60" s="170">
        <f>DP60/($E$23/$E$21)</f>
        <v>3.5859228878785925</v>
      </c>
      <c r="DR60" s="8">
        <f>SQRT(DQ60)</f>
        <v>1.8936533177639967</v>
      </c>
      <c r="DS60" s="8">
        <f>DP60/($E$24/$E$21)</f>
        <v>3.5859228878785925</v>
      </c>
      <c r="DT60" s="134">
        <f>SQRT(DS60)</f>
        <v>1.8936533177639967</v>
      </c>
      <c r="DU60" s="202">
        <f>MAX(DQ$60:DQ$69)</f>
        <v>3.5859228878785925</v>
      </c>
      <c r="DV60" s="202">
        <f>MAX(DR$60:DR$69)</f>
        <v>1.8936533177639967</v>
      </c>
      <c r="DW60" s="202">
        <f>MAX(DS$60:DS$69)</f>
        <v>3.5859228878785925</v>
      </c>
      <c r="DX60" s="195">
        <f>MAX(DT$60:DT$69)</f>
        <v>1.8936533177639967</v>
      </c>
      <c r="DY60" s="272">
        <f>CQ60-DV60-DX60</f>
        <v>7.1969456844720074</v>
      </c>
      <c r="DZ60" s="22">
        <f t="shared" ref="DZ60:DZ91" si="12">ABS(Q60)/CQ60</f>
        <v>883.7898474023599</v>
      </c>
      <c r="EA60" s="216">
        <f t="shared" ref="EA60:EA91" si="13">(DZ60/$E$46)</f>
        <v>5.7902230848006719E-2</v>
      </c>
      <c r="EB60" s="12">
        <f>ROUNDUP(EA60/$E$32,0)</f>
        <v>8</v>
      </c>
      <c r="EC60" s="7">
        <f>ROUND(MAX(DV60,DX60)/'Inputs-Imperial'!$E$21,0)</f>
        <v>16</v>
      </c>
      <c r="ED60" s="12">
        <f>MAX(EB60:EC60)</f>
        <v>16</v>
      </c>
      <c r="EE60" s="2">
        <f>IF(ED60&lt;$E$41,$E$41,MAX($E$41,ROUNDUP(ED60/2,0)))</f>
        <v>8</v>
      </c>
      <c r="EF60" s="127">
        <f>IF(ED60&lt;$E$41,$E$41,MAX($E$41,ROUNDUP(ED60/2,0)))</f>
        <v>8</v>
      </c>
      <c r="EG60" s="2">
        <f>MIN(EE60*$E$32,EF60*$E$32)</f>
        <v>6.2992125984251982E-2</v>
      </c>
      <c r="EH60" s="8">
        <f t="shared" ref="EH60:EH91" si="14">$E$22*DZ60/$E$34</f>
        <v>0.60935054772015596</v>
      </c>
      <c r="EI60" s="138">
        <f>IF(ROUNDUP(EH60/$E$42,0)*$E$42&gt;$E$42,ROUNDUP(EH60/$E$42,0)*$E$42,$E$42)</f>
        <v>0.75</v>
      </c>
      <c r="EJ60" s="12">
        <f t="shared" ref="EJ60:EJ91" si="15">$E$22*DZ60/(2*EG60)</f>
        <v>12627.147444761215</v>
      </c>
      <c r="EK60" s="138">
        <f>EI60</f>
        <v>0.75</v>
      </c>
      <c r="EL60" s="116">
        <f>$E$29</f>
        <v>2175570</v>
      </c>
      <c r="EM60" s="2">
        <f t="shared" ref="EM60:EM91" si="16">$EG60</f>
        <v>6.2992125984251982E-2</v>
      </c>
      <c r="EN60" s="8">
        <f>$U60</f>
        <v>10.984252320000001</v>
      </c>
      <c r="EO60" s="116">
        <f>$E$34</f>
        <v>2610.6840000000002</v>
      </c>
      <c r="EP60" s="217">
        <f>(PI()^2)*EK60*EL60*EM60/(2*EO60*EN60^2)</f>
        <v>1.6102563927984066</v>
      </c>
      <c r="EQ60" s="207">
        <f>IF((-50.995*EP60^3+45.565*EP60^2-18.064*EP60+5.2989)&gt;2,(-50.995*EP60^3+45.565*EP60^2-18.064*EP60+5.2989),2)</f>
        <v>2</v>
      </c>
      <c r="ER60" s="144">
        <f>(PI()^2)*EQ60*(EK60^2)*EL60/(4*EN60^2)</f>
        <v>50052.334338114124</v>
      </c>
      <c r="ES60" s="138">
        <f t="shared" ref="ES60:ES91" si="17">IF(ER60&gt;$EJ60,EK60,ROUNDUP(EK60*$EJ60/ER60/$E$42,0)*$E$42)</f>
        <v>0.75</v>
      </c>
      <c r="ET60" s="116">
        <f>$E$29</f>
        <v>2175570</v>
      </c>
      <c r="EU60" s="2">
        <f t="shared" ref="EU60:EU91" si="18">$EG60</f>
        <v>6.2992125984251982E-2</v>
      </c>
      <c r="EV60" s="8">
        <f>$U60</f>
        <v>10.984252320000001</v>
      </c>
      <c r="EW60" s="116">
        <f>$E$34</f>
        <v>2610.6840000000002</v>
      </c>
      <c r="EX60" s="217">
        <f>(PI()^2)*ES60*ET60*EU60/(2*EW60*EV60^2)</f>
        <v>1.6102563927984066</v>
      </c>
      <c r="EY60" s="207">
        <f>IF((-50.995*EX60^3+45.565*EX60^2-18.064*EX60+5.2989)&gt;2,(-50.995*EX60^3+45.565*EX60^2-18.064*EX60+5.2989),2)</f>
        <v>2</v>
      </c>
      <c r="EZ60" s="144">
        <f>(PI()^2)*EY60*(ES60^2)*ET60/(4*EV60^2)</f>
        <v>50052.334338114124</v>
      </c>
      <c r="FA60" s="138">
        <f t="shared" ref="FA60:FA91" si="19">IF(EZ60&gt;$EJ60,ES60,ROUNDUP(ES60*$EJ60/EZ60/$E$42,0)*$E$42)</f>
        <v>0.75</v>
      </c>
      <c r="FB60" s="116">
        <f>$E$29</f>
        <v>2175570</v>
      </c>
      <c r="FC60" s="2">
        <f t="shared" ref="FC60:FC91" si="20">$EG60</f>
        <v>6.2992125984251982E-2</v>
      </c>
      <c r="FD60" s="8">
        <f>$U60</f>
        <v>10.984252320000001</v>
      </c>
      <c r="FE60" s="116">
        <f>$E$34</f>
        <v>2610.6840000000002</v>
      </c>
      <c r="FF60" s="217">
        <f>(PI()^2)*FA60*FB60*FC60/(2*FE60*FD60^2)</f>
        <v>1.6102563927984066</v>
      </c>
      <c r="FG60" s="207">
        <f>IF((-50.995*FF60^3+45.565*FF60^2-18.064*FF60+5.2989)&gt;2,(-50.995*FF60^3+45.565*FF60^2-18.064*FF60+5.2989),2)</f>
        <v>2</v>
      </c>
      <c r="FH60" s="144">
        <f>(PI()^2)*FG60*(FA60^2)*FB60/(4*FD60^2)</f>
        <v>50052.334338114124</v>
      </c>
      <c r="FI60" s="128">
        <f>IF(FH60&gt;EJ60,FA60,ROUNDUP(FA60*(EJ60/FH60)/$E$42,0)*$E$42)</f>
        <v>0.75</v>
      </c>
      <c r="FJ60" s="2">
        <f>EE60*$E$32</f>
        <v>6.2992125984251982E-2</v>
      </c>
      <c r="FK60" s="127">
        <f>EF60*$E$32</f>
        <v>6.2992125984251982E-2</v>
      </c>
      <c r="FL60" s="240">
        <f>IF($B60&lt;$E$13*$E$14,$FI60,0)</f>
        <v>0.75</v>
      </c>
      <c r="FM60" s="279">
        <f>IF($B60&lt;$E$13*$E$15,IF($B60&lt;$E$13*$E$14,0,$FI60),0)</f>
        <v>0</v>
      </c>
      <c r="FN60" s="279">
        <f>IF($B60&lt;$E$13*$E$16,IF($B60&lt;$E$13*$E$15,0,$FI60),0)</f>
        <v>0</v>
      </c>
      <c r="FO60" s="241">
        <f>IF($B60&lt;=$E$13*1,IF($B60&lt;$E$13*$E$16,0,$FI60),0)</f>
        <v>0</v>
      </c>
      <c r="FP60" s="240">
        <f t="shared" ref="FP60:FP91" si="21">IF(FL60&gt;0,MAX(FL$60:FL$160),0)</f>
        <v>0.75</v>
      </c>
      <c r="FQ60" s="279">
        <f t="shared" ref="FQ60:FQ91" si="22">IF(FM60&gt;0,MAX(FM$60:FM$160),0)</f>
        <v>0</v>
      </c>
      <c r="FR60" s="279">
        <f t="shared" ref="FR60:FR91" si="23">IF(FN60&gt;0,MAX(FN$60:FN$160),0)</f>
        <v>0</v>
      </c>
      <c r="FS60" s="241">
        <f t="shared" ref="FS60:FS91" si="24">IF(FO60&gt;0,MAX(FO$60:FO$160),0)</f>
        <v>0</v>
      </c>
      <c r="FT60" s="240">
        <f>IF($B60&lt;$E$13*$E$14,$FJ60,0)</f>
        <v>6.2992125984251982E-2</v>
      </c>
      <c r="FU60" s="279">
        <f>IF($B60&lt;$E$13*$E$15,IF($B60&lt;$E$13*$E$14,0,$FJ60),0)</f>
        <v>0</v>
      </c>
      <c r="FV60" s="279">
        <f>IF($B60&lt;$E$13*$E$16,IF($B60&lt;$E$13*$E$15,0,$FJ60),0)</f>
        <v>0</v>
      </c>
      <c r="FW60" s="241">
        <f>IF($B60&lt;=$E$13*1,IF($B60&lt;$E$13*$E$16,0,$FJ60),0)</f>
        <v>0</v>
      </c>
      <c r="FX60" s="240">
        <f t="shared" ref="FX60:FX91" si="25">IF(FT60&gt;0,MAX(FT$60:FT$160),0)</f>
        <v>6.2992125984251982E-2</v>
      </c>
      <c r="FY60" s="279">
        <f t="shared" ref="FY60:FY91" si="26">IF(FU60&gt;0,MAX(FU$60:FU$160),0)</f>
        <v>0</v>
      </c>
      <c r="FZ60" s="279">
        <f t="shared" ref="FZ60:FZ91" si="27">IF(FV60&gt;0,MAX(FV$60:FV$160),0)</f>
        <v>0</v>
      </c>
      <c r="GA60" s="241">
        <f t="shared" ref="GA60:GA91" si="28">IF(FW60&gt;0,MAX(FW$60:FW$160),0)</f>
        <v>0</v>
      </c>
      <c r="GB60" s="240">
        <f>IF($B60&lt;$E$13*$E$14,$FK60,0)</f>
        <v>6.2992125984251982E-2</v>
      </c>
      <c r="GC60" s="279">
        <f>IF($B60&lt;$E$13*$E$15,IF($B60&lt;$E$13*$E$14,0,$FK60),0)</f>
        <v>0</v>
      </c>
      <c r="GD60" s="279">
        <f>IF($B60&lt;$E$13*$E$16,IF($B60&lt;$E$13*$E$15,0,$FK60),0)</f>
        <v>0</v>
      </c>
      <c r="GE60" s="241">
        <f>IF($B60&lt;=$E$13*1,IF($B60&lt;$E$13*$E$16,0,$FK60),0)</f>
        <v>0</v>
      </c>
      <c r="GF60" s="240">
        <f t="shared" ref="GF60:GF91" si="29">IF(GB60&gt;0,MAX(GB$60:GB$160),0)</f>
        <v>6.2992125984251982E-2</v>
      </c>
      <c r="GG60" s="279">
        <f t="shared" ref="GG60:GG91" si="30">IF(GC60&gt;0,MAX(GC$60:GC$160),0)</f>
        <v>0</v>
      </c>
      <c r="GH60" s="279">
        <f t="shared" ref="GH60:GH91" si="31">IF(GD60&gt;0,MAX(GD$60:GD$160),0)</f>
        <v>0</v>
      </c>
      <c r="GI60" s="241">
        <f t="shared" ref="GI60:GI91" si="32">IF(GE60&gt;0,MAX(GE$60:GE$160),0)</f>
        <v>0</v>
      </c>
      <c r="GJ60" s="240">
        <f>MAX(FP60:FS60)</f>
        <v>0.75</v>
      </c>
      <c r="GK60" s="240">
        <f>MAX(FX60:GA60)</f>
        <v>6.2992125984251982E-2</v>
      </c>
      <c r="GL60" s="293">
        <f>MAX(GF60:GI60)</f>
        <v>6.2992125984251982E-2</v>
      </c>
      <c r="GM60" s="216">
        <f>(AF60/$E$46)</f>
        <v>3.0820387638536773E-2</v>
      </c>
      <c r="GN60" s="2">
        <f>ROUNDUP(GM60/$E$32,0)</f>
        <v>4</v>
      </c>
      <c r="GO60" s="2">
        <f>IF(GN60&lt;$E$41,$E$41,MAX($E$41,ROUNDUP(GN60/2,0)))</f>
        <v>2</v>
      </c>
      <c r="GP60" s="142">
        <f>IF(GN60&lt;$E$41,$E$41,MAX($E$41,ROUNDUP(GN60/2,0)))</f>
        <v>2</v>
      </c>
      <c r="GQ60" s="2">
        <f>MIN(GO60*$E$32,GP60*$E$32)</f>
        <v>1.5748031496062995E-2</v>
      </c>
      <c r="GR60" s="8">
        <f t="shared" ref="GR60:GR91" si="33">$E$22*AF60/$E$34</f>
        <v>0.32434709014560226</v>
      </c>
      <c r="GS60" s="138">
        <f>IF(ROUNDUP(GR60/$E$42,0)*$E$42&gt;$E$42,ROUNDUP(GR60/$E$42,0)*$E$42,$E$42)</f>
        <v>0.5</v>
      </c>
      <c r="GT60" s="12">
        <f t="shared" ref="GT60:GT91" si="34">$E$22*AF60/(2*GQ60)</f>
        <v>26884.876338397386</v>
      </c>
      <c r="GU60" s="138">
        <f>GS60</f>
        <v>0.5</v>
      </c>
      <c r="GV60" s="116">
        <f>$E$29</f>
        <v>2175570</v>
      </c>
      <c r="GW60" s="2">
        <f t="shared" ref="GW60:GW91" si="35">$EG60</f>
        <v>6.2992125984251982E-2</v>
      </c>
      <c r="GX60" s="8">
        <f t="shared" ref="GX60:GX91" si="36">W60</f>
        <v>5.4921261600000006</v>
      </c>
      <c r="GY60" s="116">
        <f>$E$34</f>
        <v>2610.6840000000002</v>
      </c>
      <c r="GZ60" s="217">
        <f>(PI()^2)*GU60*GV60*GW60/(2*GY60*GX60^2)</f>
        <v>4.2940170474624182</v>
      </c>
      <c r="HA60" s="207">
        <f>IF((-50.995*GZ60^3+45.565*GZ60^2-18.064*GZ60+5.2989)&gt;2,(-50.995*GZ60^3+45.565*GZ60^2-18.064*GZ60+5.2989),2)</f>
        <v>2</v>
      </c>
      <c r="HB60" s="144">
        <f>(PI()^2)*HA60*(GU60^2)*GV60/(4*GX60^2)</f>
        <v>88981.927712202887</v>
      </c>
      <c r="HC60" s="138">
        <f t="shared" ref="HC60:HC91" si="37">IF(HB60&gt;$GT60,GU60,ROUNDUP(GU60*$GT60/HB60/$E$42,0)*$E$42)</f>
        <v>0.5</v>
      </c>
      <c r="HD60" s="116">
        <f>$E$29</f>
        <v>2175570</v>
      </c>
      <c r="HE60" s="2">
        <f t="shared" ref="HE60:HE91" si="38">$EG60</f>
        <v>6.2992125984251982E-2</v>
      </c>
      <c r="HF60" s="8">
        <f>GX60</f>
        <v>5.4921261600000006</v>
      </c>
      <c r="HG60" s="116">
        <f>$E$34</f>
        <v>2610.6840000000002</v>
      </c>
      <c r="HH60" s="217">
        <f>(PI()^2)*HC60*HD60*HE60/(2*HG60*HF60^2)</f>
        <v>4.2940170474624182</v>
      </c>
      <c r="HI60" s="207">
        <f>IF((-50.995*HH60^3+45.565*HH60^2-18.064*HH60+5.2989)&gt;2,(-50.995*HH60^3+45.565*HH60^2-18.064*HH60+5.2989),2)</f>
        <v>2</v>
      </c>
      <c r="HJ60" s="144">
        <f>(PI()^2)*HI60*(HC60^2)*HD60/(4*HF60^2)</f>
        <v>88981.927712202887</v>
      </c>
      <c r="HK60" s="138">
        <f t="shared" ref="HK60:HK91" si="39">IF(HJ60&gt;$GT60,HC60,ROUNDUP(HC60*$GT60/HJ60/$E$42,0)*$E$42)</f>
        <v>0.5</v>
      </c>
      <c r="HL60" s="116">
        <f>$E$29</f>
        <v>2175570</v>
      </c>
      <c r="HM60" s="2">
        <f t="shared" ref="HM60:HM91" si="40">$EG60</f>
        <v>6.2992125984251982E-2</v>
      </c>
      <c r="HN60" s="8">
        <f>GX60</f>
        <v>5.4921261600000006</v>
      </c>
      <c r="HO60" s="116">
        <f>$E$34</f>
        <v>2610.6840000000002</v>
      </c>
      <c r="HP60" s="217">
        <f>(PI()^2)*HK60*HL60*HM60/(2*HO60*HN60^2)</f>
        <v>4.2940170474624182</v>
      </c>
      <c r="HQ60" s="207">
        <f>IF((-50.995*HP60^3+45.565*HP60^2-18.064*HP60+5.2989)&gt;2,(-50.995*HP60^3+45.565*HP60^2-18.064*HP60+5.2989),2)</f>
        <v>2</v>
      </c>
      <c r="HR60" s="144">
        <f>(PI()^2)*HQ60*(HK60^2)*HL60/(4*HN60^2)</f>
        <v>88981.927712202887</v>
      </c>
      <c r="HS60" s="128">
        <f>IF(HR60&gt;GT60,HK60,ROUNDUP(HK60*(GT60/HR60)/$E$42,0)*$E$42)</f>
        <v>0.5</v>
      </c>
      <c r="HT60" s="2">
        <f>GO60*$E$32</f>
        <v>1.5748031496062995E-2</v>
      </c>
      <c r="HU60" s="127">
        <f>GP60*$E$32</f>
        <v>1.5748031496062995E-2</v>
      </c>
      <c r="HV60" s="240">
        <f>IF($B60&lt;$E$13*$E$14,$HS60,0)</f>
        <v>0.5</v>
      </c>
      <c r="HW60" s="279">
        <f>IF($B60&lt;$E$13*$E$15,IF($B60&lt;$E$13*$E$14,0,$HS60),0)</f>
        <v>0</v>
      </c>
      <c r="HX60" s="279">
        <f>IF($B60&lt;$E$13*$E$16,IF($B60&lt;$E$13*$E$15,0,$HS60),0)</f>
        <v>0</v>
      </c>
      <c r="HY60" s="241">
        <f>IF($B60&lt;=$E$13*1,IF($B60&lt;$E$13*$E$16,0,$HS60),0)</f>
        <v>0</v>
      </c>
      <c r="HZ60" s="279">
        <f>IF(HV60&gt;0,MAX(HV$60:HV$160),0)</f>
        <v>0.5</v>
      </c>
      <c r="IA60" s="279">
        <f>IF(HW60&gt;0,MAX(HW$60:HW$160),0)</f>
        <v>0</v>
      </c>
      <c r="IB60" s="279">
        <f>IF(HX60&gt;0,MAX(HX$60:HX$160),0)</f>
        <v>0</v>
      </c>
      <c r="IC60" s="279">
        <f>IF(HY60&gt;0,MAX(HY$60:HY$160),0)</f>
        <v>0</v>
      </c>
      <c r="ID60" s="240">
        <f>IF($B60&lt;$E$13*$E$14,$HT60,0)</f>
        <v>1.5748031496062995E-2</v>
      </c>
      <c r="IE60" s="279">
        <f>IF($B60&lt;$E$13*$E$15,IF($B60&lt;$E$13*$E$14,0,$HT60),0)</f>
        <v>0</v>
      </c>
      <c r="IF60" s="279">
        <f>IF($B60&lt;$E$13*$E$16,IF($B60&lt;$E$13*$E$15,0,$HT60),0)</f>
        <v>0</v>
      </c>
      <c r="IG60" s="241">
        <f>IF($B60&lt;=$E$13*1,IF($B60&lt;$E$13*$E$16,0,$HT60),0)</f>
        <v>0</v>
      </c>
      <c r="IH60" s="279">
        <f>IF(ID60&gt;0,MAX(ID$60:ID$160),0)</f>
        <v>1.5748031496062995E-2</v>
      </c>
      <c r="II60" s="279">
        <f>IF(IE60&gt;0,MAX(IE$60:IE$160),0)</f>
        <v>0</v>
      </c>
      <c r="IJ60" s="279">
        <f>IF(IF60&gt;0,MAX(IF$60:IF$160),0)</f>
        <v>0</v>
      </c>
      <c r="IK60" s="279">
        <f>IF(IG60&gt;0,MAX(IG$60:IG$160),0)</f>
        <v>0</v>
      </c>
      <c r="IL60" s="240">
        <f>IF($B60&lt;$E$13*$E$14,$HU60,0)</f>
        <v>1.5748031496062995E-2</v>
      </c>
      <c r="IM60" s="279">
        <f>IF($B60&lt;$E$13*$E$15,IF($B60&lt;$E$13*$E$14,0,$HU60),0)</f>
        <v>0</v>
      </c>
      <c r="IN60" s="279">
        <f>IF($B60&lt;$E$13*$E$16,IF($B60&lt;$E$13*$E$15,0,$HU60),0)</f>
        <v>0</v>
      </c>
      <c r="IO60" s="241">
        <f>IF($B60&lt;=$E$13*1,IF($B60&lt;$E$13*$E$16,0,$HU60),0)</f>
        <v>0</v>
      </c>
      <c r="IP60" s="279">
        <f>IF(IL60&gt;0,MAX(IL$60:IL$160),0)</f>
        <v>1.5748031496062995E-2</v>
      </c>
      <c r="IQ60" s="279">
        <f>IF(IM60&gt;0,MAX(IM$60:IM$160),0)</f>
        <v>0</v>
      </c>
      <c r="IR60" s="279">
        <f>IF(IN60&gt;0,MAX(IN$60:IN$160),0)</f>
        <v>0</v>
      </c>
      <c r="IS60" s="279">
        <f>IF(IO60&gt;0,MAX(IO$60:IO$160),0)</f>
        <v>0</v>
      </c>
      <c r="IT60" s="293">
        <f>MAX(HZ60:IC60)</f>
        <v>0.5</v>
      </c>
      <c r="IU60" s="293">
        <f>MAX(IH60:IK60)</f>
        <v>1.5748031496062995E-2</v>
      </c>
      <c r="IV60" s="293">
        <f>MAX(IP60:IS60)</f>
        <v>1.5748031496062995E-2</v>
      </c>
      <c r="IW60" s="253">
        <f>Z60</f>
        <v>30.511811999999999</v>
      </c>
      <c r="IX60" s="116">
        <f>$T60/IW60</f>
        <v>4132.2265243283346</v>
      </c>
      <c r="IY60" s="8">
        <f>IX60/($E$23/$E$21)</f>
        <v>0.10683992792393203</v>
      </c>
      <c r="IZ60" s="8">
        <f>IX60/($E$24/$E$21)</f>
        <v>0.10683992792393203</v>
      </c>
      <c r="JA60" s="8">
        <f>MAX(IY60:IZ60)/2</f>
        <v>5.3419963961966015E-2</v>
      </c>
      <c r="JB60" s="134">
        <f>SQRT(JA60)</f>
        <v>0.23112759238560421</v>
      </c>
      <c r="JC60" s="202">
        <f>MAX(JA$60:JA$69)</f>
        <v>5.3419963961966015E-2</v>
      </c>
      <c r="JD60" s="195">
        <f>MAX(JB$60:JB$69)</f>
        <v>0.23112759238560421</v>
      </c>
      <c r="JE60" s="8"/>
      <c r="JF60" s="8"/>
    </row>
    <row r="61" spans="1:266" x14ac:dyDescent="0.25">
      <c r="A61" s="186">
        <v>1</v>
      </c>
      <c r="B61" s="187">
        <f>A61/100*'Inputs-Imperial'!$E$5</f>
        <v>0.24081365599999999</v>
      </c>
      <c r="C61" s="188">
        <f>'Inputs-Imperial'!$E$10+('Inputs-Imperial'!$E$9-'Inputs-Imperial'!$E$10)*(100-A61)/100</f>
        <v>5.0675034430000006</v>
      </c>
      <c r="D61" s="187">
        <f>B61-B60</f>
        <v>0.24081365599999999</v>
      </c>
      <c r="E61" s="188">
        <f>D61*AVERAGE(C60:C61)</f>
        <v>1.222467098692765</v>
      </c>
      <c r="F61" s="423">
        <f>Loads!P21</f>
        <v>958.72160700659083</v>
      </c>
      <c r="G61" s="423">
        <f>Loads!M21</f>
        <v>9587.2160700659078</v>
      </c>
      <c r="H61" s="423">
        <f>Loads!N21</f>
        <v>102730.33529362454</v>
      </c>
      <c r="I61" s="423">
        <f>Loads!V21</f>
        <v>-22872.738201202657</v>
      </c>
      <c r="J61" s="423">
        <f>Loads!Q21</f>
        <v>10273.033529362461</v>
      </c>
      <c r="K61" s="2">
        <v>1</v>
      </c>
      <c r="L61" s="12">
        <f t="shared" ref="L61:L124" si="41">B61*12</f>
        <v>2.8897638719999996</v>
      </c>
      <c r="M61" s="11">
        <f t="shared" ref="M61:M124" si="42">C61*12</f>
        <v>60.81004131600001</v>
      </c>
      <c r="N61" s="11">
        <f t="shared" ref="N61:N124" si="43">D61*12</f>
        <v>2.8897638719999996</v>
      </c>
      <c r="O61" s="152">
        <f t="shared" ref="O61:O124" si="44">E61*12*12</f>
        <v>176.03526221175815</v>
      </c>
      <c r="P61" s="151">
        <f t="shared" ref="P61:P124" si="45">F61</f>
        <v>958.72160700659083</v>
      </c>
      <c r="Q61" s="12">
        <f t="shared" ref="Q61:Q124" si="46">G61</f>
        <v>9587.2160700659078</v>
      </c>
      <c r="R61" s="12">
        <f t="shared" ref="R61:R124" si="47">ABS(H61*12)</f>
        <v>1232764.0235234944</v>
      </c>
      <c r="S61" s="12">
        <f t="shared" ref="S61:S124" si="48">I61*12</f>
        <v>-274472.85841443192</v>
      </c>
      <c r="T61" s="152">
        <f t="shared" ref="T61:T124" si="49">J61*12</f>
        <v>123276.40235234954</v>
      </c>
      <c r="U61" s="8">
        <f t="shared" si="0"/>
        <v>10.945807436880001</v>
      </c>
      <c r="V61" s="8">
        <f t="shared" si="1"/>
        <v>10.945807436880001</v>
      </c>
      <c r="W61" s="134">
        <f t="shared" si="2"/>
        <v>5.4729037184400005</v>
      </c>
      <c r="X61" s="311">
        <f t="shared" si="3"/>
        <v>15.202510329000003</v>
      </c>
      <c r="Y61" s="11">
        <f t="shared" si="4"/>
        <v>45.607530987000004</v>
      </c>
      <c r="Z61" s="11">
        <f t="shared" si="5"/>
        <v>30.405020658000002</v>
      </c>
      <c r="AA61" s="316">
        <f t="shared" ref="AA61:AA124" si="50">Y61</f>
        <v>45.607530987000004</v>
      </c>
      <c r="AB61" s="170">
        <f t="shared" ref="AB61:AB124" si="51">AVERAGE(W61,V61)</f>
        <v>8.2093555776600002</v>
      </c>
      <c r="AC61" s="11">
        <f t="shared" ref="AC61:AC124" si="52">AA61</f>
        <v>45.607530987000004</v>
      </c>
      <c r="AD61" s="152">
        <f t="shared" ref="AD61:AD124" si="53">PI()*AB61/2*AC61/2</f>
        <v>294.05970026583469</v>
      </c>
      <c r="AE61" s="151">
        <f t="shared" si="6"/>
        <v>21.021124938332342</v>
      </c>
      <c r="AF61" s="12">
        <f t="shared" ref="AF61:AF91" si="54">ABS(S61)/2/AD61</f>
        <v>466.69580729066928</v>
      </c>
      <c r="AG61" s="216">
        <f t="shared" si="7"/>
        <v>3.1953182627530927E-2</v>
      </c>
      <c r="AH61" s="2">
        <f t="shared" ref="AH61:AH124" si="55">ROUNDUP(AG61/$E$32,0)</f>
        <v>5</v>
      </c>
      <c r="AI61" s="2">
        <f t="shared" ref="AI61:AI124" si="56">IF(AH61&lt;$E$40,$E$40,MAX($E$40,ROUNDUP(AH61/2,0)))</f>
        <v>3</v>
      </c>
      <c r="AJ61" s="127">
        <f t="shared" ref="AJ61:AJ124" si="57">IF(AH61&lt;$E$41,$E$41,MAX($E$41,ROUNDUP(AH61/2,0)))</f>
        <v>3</v>
      </c>
      <c r="AK61" s="2">
        <f t="shared" ref="AK61:AK124" si="58">MIN(AI61*$E$32,AJ61*$E$32)</f>
        <v>2.3622047244094495E-2</v>
      </c>
      <c r="AL61" s="8">
        <f t="shared" si="8"/>
        <v>0.3362683794791721</v>
      </c>
      <c r="AM61" s="138">
        <f t="shared" ref="AM61:AM124" si="59">IF(ROUNDUP(AL61/$E$42,0)*$E$42&gt;$E$42,ROUNDUP(AL61/$E$42,0)*$E$42,$E$42)</f>
        <v>0.5</v>
      </c>
      <c r="AN61" s="12">
        <f t="shared" si="9"/>
        <v>18582.015117924959</v>
      </c>
      <c r="AO61" s="138">
        <f t="shared" ref="AO61:AO124" si="60">AM61</f>
        <v>0.5</v>
      </c>
      <c r="AP61" s="116">
        <f t="shared" ref="AP61:AP124" si="61">$E$29</f>
        <v>2175570</v>
      </c>
      <c r="AQ61" s="2">
        <f t="shared" ref="AQ61:AQ124" si="62">$AK61</f>
        <v>2.3622047244094495E-2</v>
      </c>
      <c r="AR61" s="8">
        <f t="shared" ref="AR61:AR124" si="63">MAX($X61,$Z61)</f>
        <v>30.405020658000002</v>
      </c>
      <c r="AS61" s="116">
        <f t="shared" ref="AS61:AS124" si="64">$E$34</f>
        <v>2610.6840000000002</v>
      </c>
      <c r="AT61" s="217">
        <f t="shared" ref="AT61:AT124" si="65">(PI()^2)*AO61*AP61*AQ61/(2*AS61*AR61^2)</f>
        <v>5.2539439595703265E-2</v>
      </c>
      <c r="AU61" s="207">
        <f t="shared" ref="AU61:AU124" si="66">IF((-50.995*AT61^3+45.565*AT61^2-18.064*AT61+5.2989)&gt;2,(-50.995*AT61^3+45.565*AT61^2-18.064*AT61+5.2989),2)</f>
        <v>4.4682090784633433</v>
      </c>
      <c r="AV61" s="144">
        <f t="shared" ref="AV61:AV124" si="67">(PI()^2)*AU61*(AO61^2)*AP61/(4*AR61^2)</f>
        <v>6486.280191417487</v>
      </c>
      <c r="AW61" s="138">
        <f t="shared" ref="AW61:AW124" si="68">IF(AV61&gt;AN61,AO61,ROUNDUP(AO61*AN61/AV61/$E$42,0)*$E$42)</f>
        <v>1.5</v>
      </c>
      <c r="AX61" s="116">
        <f t="shared" ref="AX61:AX124" si="69">$E$29</f>
        <v>2175570</v>
      </c>
      <c r="AY61" s="2">
        <f t="shared" ref="AY61:AY124" si="70">$AK61</f>
        <v>2.3622047244094495E-2</v>
      </c>
      <c r="AZ61" s="8">
        <f t="shared" ref="AZ61:AZ124" si="71">MAX($X61,$Z61)</f>
        <v>30.405020658000002</v>
      </c>
      <c r="BA61" s="116">
        <f t="shared" ref="BA61:BA124" si="72">$E$34</f>
        <v>2610.6840000000002</v>
      </c>
      <c r="BB61" s="217">
        <f t="shared" ref="BB61:BB124" si="73">(PI()^2)*AW61*AX61*AY61/(2*BA61*AZ61^2)</f>
        <v>0.1576183187871098</v>
      </c>
      <c r="BC61" s="207">
        <f t="shared" ref="BC61:BC124" si="74">IF((-50.995*BB61^3+45.565*BB61^2-18.064*BB61+5.2989)&gt;2,(-50.995*BB61^3+45.565*BB61^2-18.064*BB61+5.2989),2)</f>
        <v>3.3839923116268107</v>
      </c>
      <c r="BD61" s="144">
        <f t="shared" ref="BD61:BD124" si="75">(PI()^2)*BC61*(AW61^2)*AX61/(4*AZ61^2)</f>
        <v>44211.382507029921</v>
      </c>
      <c r="BE61" s="138">
        <f t="shared" ref="BE61:BE124" si="76">IF(BD61&gt;AN61,AW61,ROUNDUP(AW61*AN61/BD61/$E$42,0)*$E$42)</f>
        <v>1.5</v>
      </c>
      <c r="BF61" s="116">
        <f t="shared" ref="BF61:BF124" si="77">$E$29</f>
        <v>2175570</v>
      </c>
      <c r="BG61" s="2">
        <f t="shared" ref="BG61:BG124" si="78">$AK61</f>
        <v>2.3622047244094495E-2</v>
      </c>
      <c r="BH61" s="8">
        <f t="shared" ref="BH61:BH124" si="79">MAX($X61,$Z61)</f>
        <v>30.405020658000002</v>
      </c>
      <c r="BI61" s="116">
        <f t="shared" ref="BI61:BI124" si="80">$E$34</f>
        <v>2610.6840000000002</v>
      </c>
      <c r="BJ61" s="217">
        <f t="shared" ref="BJ61:BJ124" si="81">(PI()^2)*BE61*BF61*BG61/(2*BI61*BH61^2)</f>
        <v>0.1576183187871098</v>
      </c>
      <c r="BK61" s="207">
        <f t="shared" ref="BK61:BK124" si="82">IF((-50.995*BJ61^3+45.565*BJ61^2-18.064*BJ61+5.2989)&gt;2,(-50.995*BJ61^3+45.565*BJ61^2-18.064*BJ61+5.2989),2)</f>
        <v>3.3839923116268107</v>
      </c>
      <c r="BL61" s="144">
        <f t="shared" ref="BL61:BL124" si="83">(PI()^2)*BK61*(BE61^2)*BF61/(4*BH61^2)</f>
        <v>44211.382507029921</v>
      </c>
      <c r="BM61" s="216">
        <f t="shared" ref="BM61:BM124" si="84">IF(BL61&gt;AN61,BE61,ROUNDUP(BE61*AN61/BL61/$E$42,0)*$E$42)</f>
        <v>1.5</v>
      </c>
      <c r="BN61" s="216">
        <f t="shared" ref="BN61:BN124" si="85">AI61*$E$32</f>
        <v>2.3622047244094495E-2</v>
      </c>
      <c r="BO61" s="238">
        <f t="shared" ref="BO61:BO124" si="86">AJ61*$E$32</f>
        <v>2.3622047244094495E-2</v>
      </c>
      <c r="BP61" s="216">
        <f t="shared" ref="BP61:BP124" si="87">IF($B61&lt;$E$13*$E$14,$BM61,0)</f>
        <v>1.5</v>
      </c>
      <c r="BQ61" s="138">
        <f t="shared" ref="BQ61:BQ124" si="88">IF($B61&lt;$E$13*$E$15,IF($B61&lt;$E$13*$E$14,0,$BM61),0)</f>
        <v>0</v>
      </c>
      <c r="BR61" s="138">
        <f t="shared" ref="BR61:BR124" si="89">IF($B61&lt;$E$13*$E$16,IF($B61&lt;$E$13*$E$15,0,$BM61),0)</f>
        <v>0</v>
      </c>
      <c r="BS61" s="238">
        <f t="shared" ref="BS61:BS124" si="90">IF($B61&lt;=$E$13*1,IF($B61&lt;$E$13*$E$16,0,$BM61),0)</f>
        <v>0</v>
      </c>
      <c r="BT61" s="138">
        <f t="shared" ref="BT61:BT124" si="91">IF(BP61&gt;0,MAX(BP$60:BP$160),0)</f>
        <v>2</v>
      </c>
      <c r="BU61" s="138">
        <f t="shared" ref="BU61:BU124" si="92">IF(BQ61&gt;0,MAX(BQ$60:BQ$160),0)</f>
        <v>0</v>
      </c>
      <c r="BV61" s="138">
        <f t="shared" ref="BV61:BV124" si="93">IF(BR61&gt;0,MAX(BR$60:BR$160),0)</f>
        <v>0</v>
      </c>
      <c r="BW61" s="238">
        <f t="shared" ref="BW61:BW124" si="94">IF(BS61&gt;0,MAX(BS$60:BS$160),0)</f>
        <v>0</v>
      </c>
      <c r="BX61" s="216">
        <f t="shared" ref="BX61:BX124" si="95">IF($B61&lt;$E$13*$E$14,$BN61,0)</f>
        <v>2.3622047244094495E-2</v>
      </c>
      <c r="BY61" s="138">
        <f t="shared" ref="BY61:BY124" si="96">IF($B61&lt;$E$13*$E$15,IF($B61&lt;$E$13*$E$14,0,$BN61),0)</f>
        <v>0</v>
      </c>
      <c r="BZ61" s="138">
        <f t="shared" ref="BZ61:BZ124" si="97">IF($B61&lt;$E$13*$E$16,IF($B61&lt;$E$13*$E$15,0,$BN61),0)</f>
        <v>0</v>
      </c>
      <c r="CA61" s="238">
        <f t="shared" ref="CA61:CA124" si="98">IF($B61&lt;=$E$13*1,IF($B61&lt;$E$13*$E$16,0,$BN61),0)</f>
        <v>0</v>
      </c>
      <c r="CB61" s="138">
        <f t="shared" ref="CB61:CB124" si="99">IF(BX61&gt;0,MAX(BX$60:BX$160),0)</f>
        <v>2.3622047244094495E-2</v>
      </c>
      <c r="CC61" s="138">
        <f t="shared" ref="CC61:CC124" si="100">IF(BY61&gt;0,MAX(BY$60:BY$160),0)</f>
        <v>0</v>
      </c>
      <c r="CD61" s="138">
        <f t="shared" ref="CD61:CD124" si="101">IF(BZ61&gt;0,MAX(BZ$60:BZ$160),0)</f>
        <v>0</v>
      </c>
      <c r="CE61" s="238">
        <f t="shared" ref="CE61:CE124" si="102">IF(CA61&gt;0,MAX(CA$60:CA$160),0)</f>
        <v>0</v>
      </c>
      <c r="CF61" s="216">
        <f t="shared" ref="CF61:CF124" si="103">IF($B61&lt;$E$13*$E$14,$BO61,0)</f>
        <v>2.3622047244094495E-2</v>
      </c>
      <c r="CG61" s="138">
        <f t="shared" ref="CG61:CG124" si="104">IF($B61&lt;$E$13*$E$15,IF($B61&lt;$E$13*$E$14,0,$BO61),0)</f>
        <v>0</v>
      </c>
      <c r="CH61" s="138">
        <f t="shared" ref="CH61:CH124" si="105">IF($B61&lt;$E$13*$E$16,IF($B61&lt;$E$13*$E$15,0,$BO61),0)</f>
        <v>0</v>
      </c>
      <c r="CI61" s="238">
        <f t="shared" ref="CI61:CI124" si="106">IF($B61&lt;=$E$13*1,IF($B61&lt;$E$13*$E$16,0,$BO61),0)</f>
        <v>0</v>
      </c>
      <c r="CJ61" s="138">
        <f t="shared" ref="CJ61:CJ124" si="107">IF(CF61&gt;0,MAX(CF$60:CF$160),0)</f>
        <v>2.3622047244094495E-2</v>
      </c>
      <c r="CK61" s="138">
        <f t="shared" ref="CK61:CK124" si="108">IF(CG61&gt;0,MAX(CG$60:CG$160),0)</f>
        <v>0</v>
      </c>
      <c r="CL61" s="138">
        <f t="shared" ref="CL61:CL124" si="109">IF(CH61&gt;0,MAX(CH$60:CH$160),0)</f>
        <v>0</v>
      </c>
      <c r="CM61" s="238">
        <f t="shared" ref="CM61:CM124" si="110">IF(CI61&gt;0,MAX(CI$60:CI$160),0)</f>
        <v>0</v>
      </c>
      <c r="CN61" s="17">
        <f t="shared" ref="CN61:CN124" si="111">MAX(BT61:BW61)</f>
        <v>2</v>
      </c>
      <c r="CO61" s="17">
        <f t="shared" ref="CO61:CO124" si="112">MAX(CB61:CE61)</f>
        <v>2.3622047244094495E-2</v>
      </c>
      <c r="CP61" s="17">
        <f t="shared" ref="CP61:CP124" si="113">MAX(CJ61:CM61)</f>
        <v>2.3622047244094495E-2</v>
      </c>
      <c r="CQ61" s="17">
        <f>$U61-IF('Inputs-Imperial'!$E$13,0,2)*($CO61+$CN61+$CP61)</f>
        <v>10.945807436880001</v>
      </c>
      <c r="CR61" s="116">
        <f t="shared" ref="CR61:CR124" si="114">$R61/CQ61</f>
        <v>112624.31123810106</v>
      </c>
      <c r="CS61" s="8">
        <f t="shared" si="10"/>
        <v>2.9119345767514648</v>
      </c>
      <c r="CT61" s="8">
        <f t="shared" ref="CT61:CT124" si="115">SQRT(CS61)</f>
        <v>1.7064391512009636</v>
      </c>
      <c r="CU61" s="8">
        <f t="shared" si="11"/>
        <v>2.9119345767514648</v>
      </c>
      <c r="CV61" s="8">
        <f t="shared" ref="CV61:CV124" si="116">SQRT(CU61)</f>
        <v>1.7064391512009636</v>
      </c>
      <c r="CW61" s="216">
        <f t="shared" ref="CW61:CW124" si="117">$CQ61-CT61/2-CV61/2</f>
        <v>9.2393682856790367</v>
      </c>
      <c r="CX61" s="116">
        <f t="shared" ref="CX61:CX124" si="118">$R61/CW61</f>
        <v>133425.14178531783</v>
      </c>
      <c r="CY61" s="8">
        <f t="shared" ref="CY61:CY124" si="119">CX61/($E$23/$E$21)</f>
        <v>3.4497461471817168</v>
      </c>
      <c r="CZ61" s="8">
        <f t="shared" ref="CZ61:CZ124" si="120">SQRT(CY61)</f>
        <v>1.8573492259620206</v>
      </c>
      <c r="DA61" s="8">
        <f t="shared" ref="DA61:DA124" si="121">CX61/($E$24/$E$21)</f>
        <v>3.4497461471817168</v>
      </c>
      <c r="DB61" s="8">
        <f t="shared" ref="DB61:DB124" si="122">SQRT(DA61)</f>
        <v>1.8573492259620206</v>
      </c>
      <c r="DC61" s="216">
        <f t="shared" ref="DC61:DC124" si="123">$CQ61-CZ61/2-DB61/2</f>
        <v>9.0884582109179792</v>
      </c>
      <c r="DD61" s="116">
        <f t="shared" ref="DD61:DD124" si="124">$R61/DC61</f>
        <v>135640.61086209022</v>
      </c>
      <c r="DE61" s="8">
        <f t="shared" ref="DE61:DE124" si="125">DD61/($E$23/$E$21)</f>
        <v>3.507027749505911</v>
      </c>
      <c r="DF61" s="8">
        <f t="shared" ref="DF61:DF124" si="126">SQRT(DE61)</f>
        <v>1.8727059965477526</v>
      </c>
      <c r="DG61" s="8">
        <f t="shared" ref="DG61:DG124" si="127">DD61/($E$24/$E$21)</f>
        <v>3.507027749505911</v>
      </c>
      <c r="DH61" s="8">
        <f t="shared" ref="DH61:DH124" si="128">SQRT(DG61)</f>
        <v>1.8727059965477526</v>
      </c>
      <c r="DI61" s="216">
        <f t="shared" ref="DI61:DI124" si="129">$CQ61-DF61/2-DH61/2</f>
        <v>9.0731014403322483</v>
      </c>
      <c r="DJ61" s="116">
        <f t="shared" ref="DJ61:DJ124" si="130">$R61/DI61</f>
        <v>135870.1907644881</v>
      </c>
      <c r="DK61" s="8">
        <f t="shared" ref="DK61:DK124" si="131">DJ61/($E$23/$E$21)</f>
        <v>3.5129636051712678</v>
      </c>
      <c r="DL61" s="8">
        <f t="shared" ref="DL61:DL124" si="132">SQRT(DK61)</f>
        <v>1.8742901603463824</v>
      </c>
      <c r="DM61" s="8">
        <f t="shared" ref="DM61:DM124" si="133">DJ61/($E$24/$E$21)</f>
        <v>3.5129636051712678</v>
      </c>
      <c r="DN61" s="8">
        <f t="shared" ref="DN61:DN124" si="134">SQRT(DM61)</f>
        <v>1.8742901603463824</v>
      </c>
      <c r="DO61" s="216">
        <f t="shared" ref="DO61:DO124" si="135">$CQ61-DL61/2-DN61/2</f>
        <v>9.0715172765336174</v>
      </c>
      <c r="DP61" s="116">
        <f t="shared" ref="DP61:DP124" si="136">$R61/DO61</f>
        <v>135893.917846845</v>
      </c>
      <c r="DQ61" s="170">
        <f t="shared" ref="DQ61:DQ124" si="137">DP61/($E$23/$E$21)</f>
        <v>3.5135770758399087</v>
      </c>
      <c r="DR61" s="8">
        <f t="shared" ref="DR61:DR124" si="138">SQRT(DQ61)</f>
        <v>1.874453807336929</v>
      </c>
      <c r="DS61" s="8">
        <f t="shared" ref="DS61:DS124" si="139">DP61/($E$24/$E$21)</f>
        <v>3.5135770758399087</v>
      </c>
      <c r="DT61" s="134">
        <f t="shared" ref="DT61:DT124" si="140">SQRT(DS61)</f>
        <v>1.874453807336929</v>
      </c>
      <c r="DU61" s="170">
        <f t="shared" ref="DU61:DX69" si="141">MAX(DQ$60:DQ$69)</f>
        <v>3.5859228878785925</v>
      </c>
      <c r="DV61" s="170">
        <f t="shared" si="141"/>
        <v>1.8936533177639967</v>
      </c>
      <c r="DW61" s="170">
        <f t="shared" si="141"/>
        <v>3.5859228878785925</v>
      </c>
      <c r="DX61" s="272">
        <f t="shared" si="141"/>
        <v>1.8936533177639967</v>
      </c>
      <c r="DY61" s="272">
        <f t="shared" ref="DY61:DY124" si="142">CQ61-DV61-DX61</f>
        <v>7.1585008013520071</v>
      </c>
      <c r="DZ61" s="22">
        <f t="shared" si="12"/>
        <v>875.88020576384758</v>
      </c>
      <c r="EA61" s="216">
        <f t="shared" si="13"/>
        <v>5.7384024062282414E-2</v>
      </c>
      <c r="EB61" s="12">
        <f t="shared" ref="EB61:EB124" si="143">ROUNDUP(EA61/$E$32,0)</f>
        <v>8</v>
      </c>
      <c r="EC61" s="7">
        <f>ROUND(MAX(DV61,DX61)/'Inputs-Imperial'!$E$21,0)</f>
        <v>16</v>
      </c>
      <c r="ED61" s="12">
        <f t="shared" ref="ED61:ED124" si="144">MAX(EB61:EC61)</f>
        <v>16</v>
      </c>
      <c r="EE61" s="2">
        <f t="shared" ref="EE61:EE124" si="145">IF(ED61&lt;$E$41,$E$41,MAX($E$41,ROUNDUP(ED61/2,0)))</f>
        <v>8</v>
      </c>
      <c r="EF61" s="127">
        <f t="shared" ref="EF61:EF124" si="146">IF(ED61&lt;$E$41,$E$41,MAX($E$41,ROUNDUP(ED61/2,0)))</f>
        <v>8</v>
      </c>
      <c r="EG61" s="2">
        <f t="shared" ref="EG61:EG124" si="147">MIN(EE61*$E$32,EF61*$E$32)</f>
        <v>6.2992125984251982E-2</v>
      </c>
      <c r="EH61" s="8">
        <f t="shared" si="14"/>
        <v>0.60389705164429153</v>
      </c>
      <c r="EI61" s="138">
        <f t="shared" ref="EI61:EI124" si="148">IF(ROUNDUP(EH61/$E$42,0)*$E$42&gt;$E$42,ROUNDUP(EH61/$E$42,0)*$E$42,$E$42)</f>
        <v>0.75</v>
      </c>
      <c r="EJ61" s="12">
        <f t="shared" si="15"/>
        <v>12514.138439850969</v>
      </c>
      <c r="EK61" s="138">
        <f t="shared" ref="EK61:EK124" si="149">EI61</f>
        <v>0.75</v>
      </c>
      <c r="EL61" s="116">
        <f t="shared" ref="EL61:EL124" si="150">$E$29</f>
        <v>2175570</v>
      </c>
      <c r="EM61" s="2">
        <f t="shared" si="16"/>
        <v>6.2992125984251982E-2</v>
      </c>
      <c r="EN61" s="8">
        <f t="shared" ref="EN61:EN124" si="151">$U61</f>
        <v>10.945807436880001</v>
      </c>
      <c r="EO61" s="116">
        <f t="shared" ref="EO61:EO124" si="152">$E$34</f>
        <v>2610.6840000000002</v>
      </c>
      <c r="EP61" s="217">
        <f t="shared" ref="EP61:EP124" si="153">(PI()^2)*EK61*EL61*EM61/(2*EO61*EN61^2)</f>
        <v>1.6215876418426931</v>
      </c>
      <c r="EQ61" s="207">
        <f t="shared" ref="EQ61:EQ124" si="154">IF((-50.995*EP61^3+45.565*EP61^2-18.064*EP61+5.2989)&gt;2,(-50.995*EP61^3+45.565*EP61^2-18.064*EP61+5.2989),2)</f>
        <v>2</v>
      </c>
      <c r="ER61" s="144">
        <f t="shared" ref="ER61:ER124" si="155">(PI()^2)*EQ61*(EK61^2)*EL61/(4*EN61^2)</f>
        <v>50404.548723456464</v>
      </c>
      <c r="ES61" s="138">
        <f t="shared" si="17"/>
        <v>0.75</v>
      </c>
      <c r="ET61" s="116">
        <f t="shared" ref="ET61:ET124" si="156">$E$29</f>
        <v>2175570</v>
      </c>
      <c r="EU61" s="2">
        <f t="shared" si="18"/>
        <v>6.2992125984251982E-2</v>
      </c>
      <c r="EV61" s="8">
        <f t="shared" ref="EV61:EV124" si="157">$U61</f>
        <v>10.945807436880001</v>
      </c>
      <c r="EW61" s="116">
        <f t="shared" ref="EW61:EW124" si="158">$E$34</f>
        <v>2610.6840000000002</v>
      </c>
      <c r="EX61" s="217">
        <f t="shared" ref="EX61:EX124" si="159">(PI()^2)*ES61*ET61*EU61/(2*EW61*EV61^2)</f>
        <v>1.6215876418426931</v>
      </c>
      <c r="EY61" s="207">
        <f t="shared" ref="EY61:EY124" si="160">IF((-50.995*EX61^3+45.565*EX61^2-18.064*EX61+5.2989)&gt;2,(-50.995*EX61^3+45.565*EX61^2-18.064*EX61+5.2989),2)</f>
        <v>2</v>
      </c>
      <c r="EZ61" s="144">
        <f t="shared" ref="EZ61:EZ124" si="161">(PI()^2)*EY61*(ES61^2)*ET61/(4*EV61^2)</f>
        <v>50404.548723456464</v>
      </c>
      <c r="FA61" s="138">
        <f t="shared" si="19"/>
        <v>0.75</v>
      </c>
      <c r="FB61" s="116">
        <f t="shared" ref="FB61:FB124" si="162">$E$29</f>
        <v>2175570</v>
      </c>
      <c r="FC61" s="2">
        <f t="shared" si="20"/>
        <v>6.2992125984251982E-2</v>
      </c>
      <c r="FD61" s="8">
        <f t="shared" ref="FD61:FD124" si="163">$U61</f>
        <v>10.945807436880001</v>
      </c>
      <c r="FE61" s="116">
        <f t="shared" ref="FE61:FE124" si="164">$E$34</f>
        <v>2610.6840000000002</v>
      </c>
      <c r="FF61" s="217">
        <f t="shared" ref="FF61:FF124" si="165">(PI()^2)*FA61*FB61*FC61/(2*FE61*FD61^2)</f>
        <v>1.6215876418426931</v>
      </c>
      <c r="FG61" s="207">
        <f t="shared" ref="FG61:FG124" si="166">IF((-50.995*FF61^3+45.565*FF61^2-18.064*FF61+5.2989)&gt;2,(-50.995*FF61^3+45.565*FF61^2-18.064*FF61+5.2989),2)</f>
        <v>2</v>
      </c>
      <c r="FH61" s="144">
        <f t="shared" ref="FH61:FH124" si="167">(PI()^2)*FG61*(FA61^2)*FB61/(4*FD61^2)</f>
        <v>50404.548723456464</v>
      </c>
      <c r="FI61" s="128">
        <f t="shared" ref="FI61:FI124" si="168">IF(FH61&gt;EJ61,FA61,ROUNDUP(FA61*(EJ61/FH61)/$E$42,0)*$E$42)</f>
        <v>0.75</v>
      </c>
      <c r="FJ61" s="2">
        <f t="shared" ref="FJ61:FJ124" si="169">EE61*$E$32</f>
        <v>6.2992125984251982E-2</v>
      </c>
      <c r="FK61" s="127">
        <f t="shared" ref="FK61:FK124" si="170">EF61*$E$32</f>
        <v>6.2992125984251982E-2</v>
      </c>
      <c r="FL61" s="216">
        <f t="shared" ref="FL61:FL124" si="171">IF($B61&lt;$E$13*$E$14,$FI61,0)</f>
        <v>0.75</v>
      </c>
      <c r="FM61" s="138">
        <f t="shared" ref="FM61:FM124" si="172">IF($B61&lt;$E$13*$E$15,IF($B61&lt;$E$13*$E$14,0,$FI61),0)</f>
        <v>0</v>
      </c>
      <c r="FN61" s="138">
        <f t="shared" ref="FN61:FN124" si="173">IF($B61&lt;$E$13*$E$16,IF($B61&lt;$E$13*$E$15,0,$FI61),0)</f>
        <v>0</v>
      </c>
      <c r="FO61" s="238">
        <f t="shared" ref="FO61:FO124" si="174">IF($B61&lt;=$E$13*1,IF($B61&lt;$E$13*$E$16,0,$FI61),0)</f>
        <v>0</v>
      </c>
      <c r="FP61" s="216">
        <f t="shared" si="21"/>
        <v>0.75</v>
      </c>
      <c r="FQ61" s="138">
        <f t="shared" si="22"/>
        <v>0</v>
      </c>
      <c r="FR61" s="138">
        <f t="shared" si="23"/>
        <v>0</v>
      </c>
      <c r="FS61" s="238">
        <f t="shared" si="24"/>
        <v>0</v>
      </c>
      <c r="FT61" s="216">
        <f t="shared" ref="FT61:FT124" si="175">IF($B61&lt;$E$13*$E$14,$FJ61,0)</f>
        <v>6.2992125984251982E-2</v>
      </c>
      <c r="FU61" s="138">
        <f t="shared" ref="FU61:FU124" si="176">IF($B61&lt;$E$13*$E$15,IF($B61&lt;$E$13*$E$14,0,$FJ61),0)</f>
        <v>0</v>
      </c>
      <c r="FV61" s="138">
        <f t="shared" ref="FV61:FV124" si="177">IF($B61&lt;$E$13*$E$16,IF($B61&lt;$E$13*$E$15,0,$FJ61),0)</f>
        <v>0</v>
      </c>
      <c r="FW61" s="238">
        <f t="shared" ref="FW61:FW124" si="178">IF($B61&lt;=$E$13*1,IF($B61&lt;$E$13*$E$16,0,$FJ61),0)</f>
        <v>0</v>
      </c>
      <c r="FX61" s="216">
        <f t="shared" si="25"/>
        <v>6.2992125984251982E-2</v>
      </c>
      <c r="FY61" s="138">
        <f t="shared" si="26"/>
        <v>0</v>
      </c>
      <c r="FZ61" s="138">
        <f t="shared" si="27"/>
        <v>0</v>
      </c>
      <c r="GA61" s="238">
        <f t="shared" si="28"/>
        <v>0</v>
      </c>
      <c r="GB61" s="216">
        <f t="shared" ref="GB61:GB124" si="179">IF($B61&lt;$E$13*$E$14,$FK61,0)</f>
        <v>6.2992125984251982E-2</v>
      </c>
      <c r="GC61" s="138">
        <f t="shared" ref="GC61:GC124" si="180">IF($B61&lt;$E$13*$E$15,IF($B61&lt;$E$13*$E$14,0,$FK61),0)</f>
        <v>0</v>
      </c>
      <c r="GD61" s="138">
        <f t="shared" ref="GD61:GD124" si="181">IF($B61&lt;$E$13*$E$16,IF($B61&lt;$E$13*$E$15,0,$FK61),0)</f>
        <v>0</v>
      </c>
      <c r="GE61" s="238">
        <f t="shared" ref="GE61:GE124" si="182">IF($B61&lt;=$E$13*1,IF($B61&lt;$E$13*$E$16,0,$FK61),0)</f>
        <v>0</v>
      </c>
      <c r="GF61" s="216">
        <f t="shared" si="29"/>
        <v>6.2992125984251982E-2</v>
      </c>
      <c r="GG61" s="138">
        <f t="shared" si="30"/>
        <v>0</v>
      </c>
      <c r="GH61" s="138">
        <f t="shared" si="31"/>
        <v>0</v>
      </c>
      <c r="GI61" s="238">
        <f t="shared" si="32"/>
        <v>0</v>
      </c>
      <c r="GJ61" s="216">
        <f t="shared" ref="GJ61:GJ124" si="183">MAX(FP61:FS61)</f>
        <v>0.75</v>
      </c>
      <c r="GK61" s="216">
        <f t="shared" ref="GK61:GK124" si="184">MAX(FX61:GA61)</f>
        <v>6.2992125984251982E-2</v>
      </c>
      <c r="GL61" s="17">
        <f t="shared" ref="GL61:GL124" si="185">MAX(GF61:GI61)</f>
        <v>6.2992125984251982E-2</v>
      </c>
      <c r="GM61" s="216">
        <f t="shared" ref="GM61:GM91" si="186">(AF61/$E$46)</f>
        <v>3.0575966050036152E-2</v>
      </c>
      <c r="GN61" s="2">
        <f t="shared" ref="GN61:GN124" si="187">ROUNDUP(GM61/$E$32,0)</f>
        <v>4</v>
      </c>
      <c r="GO61" s="2">
        <f t="shared" ref="GO61:GO124" si="188">IF(GN61&lt;$E$41,$E$41,MAX($E$41,ROUNDUP(GN61/2,0)))</f>
        <v>2</v>
      </c>
      <c r="GP61" s="142">
        <f t="shared" ref="GP61:GP124" si="189">IF(GN61&lt;$E$41,$E$41,MAX($E$41,ROUNDUP(GN61/2,0)))</f>
        <v>2</v>
      </c>
      <c r="GQ61" s="2">
        <f t="shared" ref="GQ61:GQ124" si="190">MIN(GO61*$E$32,GP61*$E$32)</f>
        <v>1.5748031496062995E-2</v>
      </c>
      <c r="GR61" s="8">
        <f t="shared" si="33"/>
        <v>0.32177485023970909</v>
      </c>
      <c r="GS61" s="138">
        <f t="shared" ref="GS61:GS124" si="191">IF(ROUNDUP(GR61/$E$42,0)*$E$42&gt;$E$42,ROUNDUP(GR61/$E$42,0)*$E$42,$E$42)</f>
        <v>0.5</v>
      </c>
      <c r="GT61" s="12">
        <f t="shared" si="34"/>
        <v>26671.665386661745</v>
      </c>
      <c r="GU61" s="138">
        <f t="shared" ref="GU61:GU124" si="192">GS61</f>
        <v>0.5</v>
      </c>
      <c r="GV61" s="116">
        <f t="shared" ref="GV61:GV124" si="193">$E$29</f>
        <v>2175570</v>
      </c>
      <c r="GW61" s="2">
        <f t="shared" si="35"/>
        <v>6.2992125984251982E-2</v>
      </c>
      <c r="GX61" s="8">
        <f t="shared" si="36"/>
        <v>5.4729037184400005</v>
      </c>
      <c r="GY61" s="116">
        <f t="shared" ref="GY61:GY124" si="194">$E$34</f>
        <v>2610.6840000000002</v>
      </c>
      <c r="GZ61" s="217">
        <f t="shared" ref="GZ61:GZ124" si="195">(PI()^2)*GU61*GV61*GW61/(2*GY61*GX61^2)</f>
        <v>4.3242337115805149</v>
      </c>
      <c r="HA61" s="207">
        <f t="shared" ref="HA61:HA124" si="196">IF((-50.995*GZ61^3+45.565*GZ61^2-18.064*GZ61+5.2989)&gt;2,(-50.995*GZ61^3+45.565*GZ61^2-18.064*GZ61+5.2989),2)</f>
        <v>2</v>
      </c>
      <c r="HB61" s="144">
        <f t="shared" ref="HB61:HB124" si="197">(PI()^2)*HA61*(GU61^2)*GV61/(4*GX61^2)</f>
        <v>89608.086619478156</v>
      </c>
      <c r="HC61" s="138">
        <f t="shared" si="37"/>
        <v>0.5</v>
      </c>
      <c r="HD61" s="116">
        <f t="shared" ref="HD61:HD124" si="198">$E$29</f>
        <v>2175570</v>
      </c>
      <c r="HE61" s="2">
        <f t="shared" si="38"/>
        <v>6.2992125984251982E-2</v>
      </c>
      <c r="HF61" s="8">
        <f t="shared" ref="HF61:HF124" si="199">GX61</f>
        <v>5.4729037184400005</v>
      </c>
      <c r="HG61" s="116">
        <f t="shared" ref="HG61:HG124" si="200">$E$34</f>
        <v>2610.6840000000002</v>
      </c>
      <c r="HH61" s="217">
        <f t="shared" ref="HH61:HH124" si="201">(PI()^2)*HC61*HD61*HE61/(2*HG61*HF61^2)</f>
        <v>4.3242337115805149</v>
      </c>
      <c r="HI61" s="207">
        <f t="shared" ref="HI61:HI124" si="202">IF((-50.995*HH61^3+45.565*HH61^2-18.064*HH61+5.2989)&gt;2,(-50.995*HH61^3+45.565*HH61^2-18.064*HH61+5.2989),2)</f>
        <v>2</v>
      </c>
      <c r="HJ61" s="144">
        <f t="shared" ref="HJ61:HJ124" si="203">(PI()^2)*HI61*(HC61^2)*HD61/(4*HF61^2)</f>
        <v>89608.086619478156</v>
      </c>
      <c r="HK61" s="138">
        <f t="shared" si="39"/>
        <v>0.5</v>
      </c>
      <c r="HL61" s="116">
        <f t="shared" ref="HL61:HL124" si="204">$E$29</f>
        <v>2175570</v>
      </c>
      <c r="HM61" s="2">
        <f t="shared" si="40"/>
        <v>6.2992125984251982E-2</v>
      </c>
      <c r="HN61" s="8">
        <f t="shared" ref="HN61:HN124" si="205">GX61</f>
        <v>5.4729037184400005</v>
      </c>
      <c r="HO61" s="116">
        <f t="shared" ref="HO61:HO124" si="206">$E$34</f>
        <v>2610.6840000000002</v>
      </c>
      <c r="HP61" s="217">
        <f t="shared" ref="HP61:HP124" si="207">(PI()^2)*HK61*HL61*HM61/(2*HO61*HN61^2)</f>
        <v>4.3242337115805149</v>
      </c>
      <c r="HQ61" s="207">
        <f t="shared" ref="HQ61:HQ124" si="208">IF((-50.995*HP61^3+45.565*HP61^2-18.064*HP61+5.2989)&gt;2,(-50.995*HP61^3+45.565*HP61^2-18.064*HP61+5.2989),2)</f>
        <v>2</v>
      </c>
      <c r="HR61" s="144">
        <f t="shared" ref="HR61:HR124" si="209">(PI()^2)*HQ61*(HK61^2)*HL61/(4*HN61^2)</f>
        <v>89608.086619478156</v>
      </c>
      <c r="HS61" s="128">
        <f t="shared" ref="HS61:HS124" si="210">IF(HR61&gt;GT61,HK61,ROUNDUP(HK61*(GT61/HR61)/$E$42,0)*$E$42)</f>
        <v>0.5</v>
      </c>
      <c r="HT61" s="2">
        <f t="shared" ref="HT61:HT124" si="211">GO61*$E$32</f>
        <v>1.5748031496062995E-2</v>
      </c>
      <c r="HU61" s="127">
        <f t="shared" ref="HU61:HU124" si="212">GP61*$E$32</f>
        <v>1.5748031496062995E-2</v>
      </c>
      <c r="HV61" s="216">
        <f t="shared" ref="HV61:HV124" si="213">IF($B61&lt;$E$13*$E$14,$HS61,0)</f>
        <v>0.5</v>
      </c>
      <c r="HW61" s="138">
        <f t="shared" ref="HW61:HW124" si="214">IF($B61&lt;$E$13*$E$15,IF($B61&lt;$E$13*$E$14,0,$HS61),0)</f>
        <v>0</v>
      </c>
      <c r="HX61" s="138">
        <f t="shared" ref="HX61:HX124" si="215">IF($B61&lt;$E$13*$E$16,IF($B61&lt;$E$13*$E$15,0,$HS61),0)</f>
        <v>0</v>
      </c>
      <c r="HY61" s="238">
        <f t="shared" ref="HY61:HY124" si="216">IF($B61&lt;=$E$13*1,IF($B61&lt;$E$13*$E$16,0,$HS61),0)</f>
        <v>0</v>
      </c>
      <c r="HZ61" s="138">
        <f t="shared" ref="HZ61:HZ124" si="217">IF(HV61&gt;0,MAX(HV$60:HV$160),0)</f>
        <v>0.5</v>
      </c>
      <c r="IA61" s="138">
        <f t="shared" ref="IA61:IA124" si="218">IF(HW61&gt;0,MAX(HW$60:HW$160),0)</f>
        <v>0</v>
      </c>
      <c r="IB61" s="138">
        <f t="shared" ref="IB61:IB124" si="219">IF(HX61&gt;0,MAX(HX$60:HX$160),0)</f>
        <v>0</v>
      </c>
      <c r="IC61" s="138">
        <f t="shared" ref="IC61:IC124" si="220">IF(HY61&gt;0,MAX(HY$60:HY$160),0)</f>
        <v>0</v>
      </c>
      <c r="ID61" s="216">
        <f t="shared" ref="ID61:ID124" si="221">IF($B61&lt;$E$13*$E$14,$HT61,0)</f>
        <v>1.5748031496062995E-2</v>
      </c>
      <c r="IE61" s="138">
        <f t="shared" ref="IE61:IE124" si="222">IF($B61&lt;$E$13*$E$15,IF($B61&lt;$E$13*$E$14,0,$HT61),0)</f>
        <v>0</v>
      </c>
      <c r="IF61" s="138">
        <f t="shared" ref="IF61:IF124" si="223">IF($B61&lt;$E$13*$E$16,IF($B61&lt;$E$13*$E$15,0,$HT61),0)</f>
        <v>0</v>
      </c>
      <c r="IG61" s="238">
        <f t="shared" ref="IG61:IG124" si="224">IF($B61&lt;=$E$13*1,IF($B61&lt;$E$13*$E$16,0,$HT61),0)</f>
        <v>0</v>
      </c>
      <c r="IH61" s="138">
        <f t="shared" ref="IH61:IH124" si="225">IF(ID61&gt;0,MAX(ID$60:ID$160),0)</f>
        <v>1.5748031496062995E-2</v>
      </c>
      <c r="II61" s="138">
        <f t="shared" ref="II61:II124" si="226">IF(IE61&gt;0,MAX(IE$60:IE$160),0)</f>
        <v>0</v>
      </c>
      <c r="IJ61" s="138">
        <f t="shared" ref="IJ61:IJ124" si="227">IF(IF61&gt;0,MAX(IF$60:IF$160),0)</f>
        <v>0</v>
      </c>
      <c r="IK61" s="138">
        <f t="shared" ref="IK61:IK124" si="228">IF(IG61&gt;0,MAX(IG$60:IG$160),0)</f>
        <v>0</v>
      </c>
      <c r="IL61" s="216">
        <f t="shared" ref="IL61:IL124" si="229">IF($B61&lt;$E$13*$E$14,$HU61,0)</f>
        <v>1.5748031496062995E-2</v>
      </c>
      <c r="IM61" s="138">
        <f t="shared" ref="IM61:IM124" si="230">IF($B61&lt;$E$13*$E$15,IF($B61&lt;$E$13*$E$14,0,$HU61),0)</f>
        <v>0</v>
      </c>
      <c r="IN61" s="138">
        <f t="shared" ref="IN61:IN124" si="231">IF($B61&lt;$E$13*$E$16,IF($B61&lt;$E$13*$E$15,0,$HU61),0)</f>
        <v>0</v>
      </c>
      <c r="IO61" s="238">
        <f t="shared" ref="IO61:IO124" si="232">IF($B61&lt;=$E$13*1,IF($B61&lt;$E$13*$E$16,0,$HU61),0)</f>
        <v>0</v>
      </c>
      <c r="IP61" s="138">
        <f t="shared" ref="IP61:IP124" si="233">IF(IL61&gt;0,MAX(IL$60:IL$160),0)</f>
        <v>1.5748031496062995E-2</v>
      </c>
      <c r="IQ61" s="138">
        <f t="shared" ref="IQ61:IQ124" si="234">IF(IM61&gt;0,MAX(IM$60:IM$160),0)</f>
        <v>0</v>
      </c>
      <c r="IR61" s="138">
        <f t="shared" ref="IR61:IR124" si="235">IF(IN61&gt;0,MAX(IN$60:IN$160),0)</f>
        <v>0</v>
      </c>
      <c r="IS61" s="138">
        <f t="shared" ref="IS61:IS124" si="236">IF(IO61&gt;0,MAX(IO$60:IO$160),0)</f>
        <v>0</v>
      </c>
      <c r="IT61" s="17">
        <f t="shared" ref="IT61:IT124" si="237">MAX(HZ61:IC61)</f>
        <v>0.5</v>
      </c>
      <c r="IU61" s="17">
        <f t="shared" ref="IU61:IU124" si="238">MAX(IH61:IK61)</f>
        <v>1.5748031496062995E-2</v>
      </c>
      <c r="IV61" s="17">
        <f t="shared" ref="IV61:IV124" si="239">MAX(IP61:IS61)</f>
        <v>1.5748031496062995E-2</v>
      </c>
      <c r="IW61" s="253">
        <f t="shared" ref="IW61:IW124" si="240">Z61</f>
        <v>30.405020658000002</v>
      </c>
      <c r="IX61" s="116">
        <f t="shared" ref="IX61:IX91" si="241">$T61/IW61</f>
        <v>4054.4752045716414</v>
      </c>
      <c r="IY61" s="8">
        <f t="shared" ref="IY61:IY123" si="242">IX61/($E$23/$E$21)</f>
        <v>0.10482964476305281</v>
      </c>
      <c r="IZ61" s="8">
        <f t="shared" ref="IZ61:IZ124" si="243">IX61/($E$24/$E$21)</f>
        <v>0.10482964476305281</v>
      </c>
      <c r="JA61" s="8">
        <f t="shared" ref="JA61:JA124" si="244">MAX(IY61:IZ61)/2</f>
        <v>5.2414822381526407E-2</v>
      </c>
      <c r="JB61" s="134">
        <f t="shared" ref="JB61:JB124" si="245">SQRT(JA61)</f>
        <v>0.22894283649314387</v>
      </c>
      <c r="JC61" s="170">
        <f t="shared" ref="JC61:JC69" si="246">MAX(JA$60:JA$69)</f>
        <v>5.3419963961966015E-2</v>
      </c>
      <c r="JD61" s="272">
        <f t="shared" ref="JD61:JD69" si="247">MAX(JB$60:JB$69)</f>
        <v>0.23112759238560421</v>
      </c>
      <c r="JE61" s="8"/>
      <c r="JF61" s="8"/>
    </row>
    <row r="62" spans="1:266" x14ac:dyDescent="0.25">
      <c r="A62" s="186">
        <v>2</v>
      </c>
      <c r="B62" s="187">
        <f>A62/100*'Inputs-Imperial'!$E$5</f>
        <v>0.48162731199999997</v>
      </c>
      <c r="C62" s="188">
        <f>'Inputs-Imperial'!$E$10+('Inputs-Imperial'!$E$9-'Inputs-Imperial'!$E$10)*(100-A62)/100</f>
        <v>5.0497048860000007</v>
      </c>
      <c r="D62" s="187">
        <f t="shared" ref="D62:D125" si="248">B62-B61</f>
        <v>0.24081365599999999</v>
      </c>
      <c r="E62" s="188">
        <f t="shared" ref="E62:E125" si="249">D62*AVERAGE(C61:C62)</f>
        <v>1.2181809631100704</v>
      </c>
      <c r="F62" s="423">
        <f>Loads!P22</f>
        <v>946.68736012885097</v>
      </c>
      <c r="G62" s="423">
        <f>Loads!M22</f>
        <v>9466.8736012885092</v>
      </c>
      <c r="H62" s="423">
        <f>Loads!N22</f>
        <v>100421.60274093001</v>
      </c>
      <c r="I62" s="423">
        <f>Loads!V22</f>
        <v>-22528.878009685948</v>
      </c>
      <c r="J62" s="423">
        <f>Loads!Q22</f>
        <v>10042.160274093008</v>
      </c>
      <c r="K62" s="2">
        <v>2</v>
      </c>
      <c r="L62" s="12">
        <f t="shared" si="41"/>
        <v>5.7795277439999992</v>
      </c>
      <c r="M62" s="11">
        <f t="shared" si="42"/>
        <v>60.596458632000008</v>
      </c>
      <c r="N62" s="11">
        <f t="shared" si="43"/>
        <v>2.8897638719999996</v>
      </c>
      <c r="O62" s="152">
        <f t="shared" si="44"/>
        <v>175.41805868785013</v>
      </c>
      <c r="P62" s="151">
        <f t="shared" si="45"/>
        <v>946.68736012885097</v>
      </c>
      <c r="Q62" s="12">
        <f t="shared" si="46"/>
        <v>9466.8736012885092</v>
      </c>
      <c r="R62" s="12">
        <f t="shared" si="47"/>
        <v>1205059.2328911601</v>
      </c>
      <c r="S62" s="12">
        <f t="shared" si="48"/>
        <v>-270346.53611623135</v>
      </c>
      <c r="T62" s="152">
        <f t="shared" si="49"/>
        <v>120505.92328911609</v>
      </c>
      <c r="U62" s="8">
        <f t="shared" si="0"/>
        <v>10.907362553760001</v>
      </c>
      <c r="V62" s="8">
        <f t="shared" si="1"/>
        <v>10.907362553760001</v>
      </c>
      <c r="W62" s="134">
        <f t="shared" si="2"/>
        <v>5.4536812768800003</v>
      </c>
      <c r="X62" s="311">
        <f t="shared" si="3"/>
        <v>15.149114658000002</v>
      </c>
      <c r="Y62" s="11">
        <f t="shared" si="4"/>
        <v>45.447343974000006</v>
      </c>
      <c r="Z62" s="11">
        <f t="shared" si="5"/>
        <v>30.298229316000004</v>
      </c>
      <c r="AA62" s="316">
        <f t="shared" si="50"/>
        <v>45.447343974000006</v>
      </c>
      <c r="AB62" s="170">
        <f t="shared" si="51"/>
        <v>8.1805219153199999</v>
      </c>
      <c r="AC62" s="11">
        <f t="shared" si="52"/>
        <v>45.447343974000006</v>
      </c>
      <c r="AD62" s="152">
        <f t="shared" si="53"/>
        <v>291.99768017708345</v>
      </c>
      <c r="AE62" s="151">
        <f t="shared" si="6"/>
        <v>20.830422140190233</v>
      </c>
      <c r="AF62" s="12">
        <f t="shared" si="54"/>
        <v>462.92582864404665</v>
      </c>
      <c r="AG62" s="216">
        <f t="shared" si="7"/>
        <v>3.1693695270888125E-2</v>
      </c>
      <c r="AH62" s="2">
        <f t="shared" si="55"/>
        <v>5</v>
      </c>
      <c r="AI62" s="2">
        <f t="shared" si="56"/>
        <v>3</v>
      </c>
      <c r="AJ62" s="127">
        <f t="shared" si="57"/>
        <v>3</v>
      </c>
      <c r="AK62" s="2">
        <f t="shared" si="58"/>
        <v>2.3622047244094495E-2</v>
      </c>
      <c r="AL62" s="8">
        <f t="shared" si="8"/>
        <v>0.3335375906894999</v>
      </c>
      <c r="AM62" s="138">
        <f t="shared" si="59"/>
        <v>0.5</v>
      </c>
      <c r="AN62" s="12">
        <f t="shared" si="9"/>
        <v>18431.113154879422</v>
      </c>
      <c r="AO62" s="138">
        <f t="shared" si="60"/>
        <v>0.5</v>
      </c>
      <c r="AP62" s="116">
        <f t="shared" si="61"/>
        <v>2175570</v>
      </c>
      <c r="AQ62" s="2">
        <f t="shared" si="62"/>
        <v>2.3622047244094495E-2</v>
      </c>
      <c r="AR62" s="8">
        <f t="shared" si="63"/>
        <v>30.298229316000004</v>
      </c>
      <c r="AS62" s="116">
        <f t="shared" si="64"/>
        <v>2610.6840000000002</v>
      </c>
      <c r="AT62" s="217">
        <f t="shared" si="65"/>
        <v>5.2910460967627755E-2</v>
      </c>
      <c r="AU62" s="207">
        <f t="shared" si="66"/>
        <v>4.4631318501693551</v>
      </c>
      <c r="AV62" s="144">
        <f t="shared" si="67"/>
        <v>6524.6623907342928</v>
      </c>
      <c r="AW62" s="138">
        <f t="shared" si="68"/>
        <v>1.5</v>
      </c>
      <c r="AX62" s="116">
        <f t="shared" si="69"/>
        <v>2175570</v>
      </c>
      <c r="AY62" s="2">
        <f t="shared" si="70"/>
        <v>2.3622047244094495E-2</v>
      </c>
      <c r="AZ62" s="8">
        <f t="shared" si="71"/>
        <v>30.298229316000004</v>
      </c>
      <c r="BA62" s="116">
        <f t="shared" si="72"/>
        <v>2610.6840000000002</v>
      </c>
      <c r="BB62" s="217">
        <f t="shared" si="73"/>
        <v>0.15873138290288327</v>
      </c>
      <c r="BC62" s="207">
        <f t="shared" si="74"/>
        <v>3.3756698013228794</v>
      </c>
      <c r="BD62" s="144">
        <f t="shared" si="75"/>
        <v>44414.092798656238</v>
      </c>
      <c r="BE62" s="138">
        <f t="shared" si="76"/>
        <v>1.5</v>
      </c>
      <c r="BF62" s="116">
        <f t="shared" si="77"/>
        <v>2175570</v>
      </c>
      <c r="BG62" s="2">
        <f t="shared" si="78"/>
        <v>2.3622047244094495E-2</v>
      </c>
      <c r="BH62" s="8">
        <f t="shared" si="79"/>
        <v>30.298229316000004</v>
      </c>
      <c r="BI62" s="116">
        <f t="shared" si="80"/>
        <v>2610.6840000000002</v>
      </c>
      <c r="BJ62" s="217">
        <f t="shared" si="81"/>
        <v>0.15873138290288327</v>
      </c>
      <c r="BK62" s="207">
        <f t="shared" si="82"/>
        <v>3.3756698013228794</v>
      </c>
      <c r="BL62" s="144">
        <f t="shared" si="83"/>
        <v>44414.092798656238</v>
      </c>
      <c r="BM62" s="216">
        <f t="shared" si="84"/>
        <v>1.5</v>
      </c>
      <c r="BN62" s="216">
        <f t="shared" si="85"/>
        <v>2.3622047244094495E-2</v>
      </c>
      <c r="BO62" s="238">
        <f t="shared" si="86"/>
        <v>2.3622047244094495E-2</v>
      </c>
      <c r="BP62" s="216">
        <f t="shared" si="87"/>
        <v>1.5</v>
      </c>
      <c r="BQ62" s="138">
        <f t="shared" si="88"/>
        <v>0</v>
      </c>
      <c r="BR62" s="138">
        <f t="shared" si="89"/>
        <v>0</v>
      </c>
      <c r="BS62" s="238">
        <f t="shared" si="90"/>
        <v>0</v>
      </c>
      <c r="BT62" s="138">
        <f t="shared" si="91"/>
        <v>2</v>
      </c>
      <c r="BU62" s="138">
        <f t="shared" si="92"/>
        <v>0</v>
      </c>
      <c r="BV62" s="138">
        <f t="shared" si="93"/>
        <v>0</v>
      </c>
      <c r="BW62" s="238">
        <f t="shared" si="94"/>
        <v>0</v>
      </c>
      <c r="BX62" s="216">
        <f t="shared" si="95"/>
        <v>2.3622047244094495E-2</v>
      </c>
      <c r="BY62" s="138">
        <f t="shared" si="96"/>
        <v>0</v>
      </c>
      <c r="BZ62" s="138">
        <f t="shared" si="97"/>
        <v>0</v>
      </c>
      <c r="CA62" s="238">
        <f t="shared" si="98"/>
        <v>0</v>
      </c>
      <c r="CB62" s="138">
        <f t="shared" si="99"/>
        <v>2.3622047244094495E-2</v>
      </c>
      <c r="CC62" s="138">
        <f t="shared" si="100"/>
        <v>0</v>
      </c>
      <c r="CD62" s="138">
        <f t="shared" si="101"/>
        <v>0</v>
      </c>
      <c r="CE62" s="238">
        <f t="shared" si="102"/>
        <v>0</v>
      </c>
      <c r="CF62" s="216">
        <f t="shared" si="103"/>
        <v>2.3622047244094495E-2</v>
      </c>
      <c r="CG62" s="138">
        <f t="shared" si="104"/>
        <v>0</v>
      </c>
      <c r="CH62" s="138">
        <f t="shared" si="105"/>
        <v>0</v>
      </c>
      <c r="CI62" s="238">
        <f t="shared" si="106"/>
        <v>0</v>
      </c>
      <c r="CJ62" s="138">
        <f t="shared" si="107"/>
        <v>2.3622047244094495E-2</v>
      </c>
      <c r="CK62" s="138">
        <f t="shared" si="108"/>
        <v>0</v>
      </c>
      <c r="CL62" s="138">
        <f t="shared" si="109"/>
        <v>0</v>
      </c>
      <c r="CM62" s="238">
        <f t="shared" si="110"/>
        <v>0</v>
      </c>
      <c r="CN62" s="17">
        <f t="shared" si="111"/>
        <v>2</v>
      </c>
      <c r="CO62" s="17">
        <f t="shared" si="112"/>
        <v>2.3622047244094495E-2</v>
      </c>
      <c r="CP62" s="17">
        <f t="shared" si="113"/>
        <v>2.3622047244094495E-2</v>
      </c>
      <c r="CQ62" s="17">
        <f>$U62-IF('Inputs-Imperial'!$E$13,0,2)*($CO62+$CN62+$CP62)</f>
        <v>10.907362553760001</v>
      </c>
      <c r="CR62" s="116">
        <f t="shared" si="114"/>
        <v>110481.26684628728</v>
      </c>
      <c r="CS62" s="8">
        <f t="shared" si="10"/>
        <v>2.8565255358842321</v>
      </c>
      <c r="CT62" s="8">
        <f t="shared" si="115"/>
        <v>1.6901258935014964</v>
      </c>
      <c r="CU62" s="8">
        <f t="shared" si="11"/>
        <v>2.8565255358842321</v>
      </c>
      <c r="CV62" s="8">
        <f t="shared" si="116"/>
        <v>1.6901258935014964</v>
      </c>
      <c r="CW62" s="216">
        <f t="shared" si="117"/>
        <v>9.2172366602585054</v>
      </c>
      <c r="CX62" s="116">
        <f t="shared" si="118"/>
        <v>130739.75176171327</v>
      </c>
      <c r="CY62" s="8">
        <f t="shared" si="119"/>
        <v>3.3803146010454137</v>
      </c>
      <c r="CZ62" s="8">
        <f t="shared" si="120"/>
        <v>1.838563189299028</v>
      </c>
      <c r="DA62" s="8">
        <f t="shared" si="121"/>
        <v>3.3803146010454137</v>
      </c>
      <c r="DB62" s="8">
        <f t="shared" si="122"/>
        <v>1.838563189299028</v>
      </c>
      <c r="DC62" s="216">
        <f t="shared" si="123"/>
        <v>9.0687993644609737</v>
      </c>
      <c r="DD62" s="116">
        <f t="shared" si="124"/>
        <v>132879.68830952141</v>
      </c>
      <c r="DE62" s="8">
        <f t="shared" si="125"/>
        <v>3.4356432876949854</v>
      </c>
      <c r="DF62" s="8">
        <f t="shared" si="126"/>
        <v>1.8535488360696044</v>
      </c>
      <c r="DG62" s="8">
        <f t="shared" si="127"/>
        <v>3.4356432876949854</v>
      </c>
      <c r="DH62" s="8">
        <f t="shared" si="128"/>
        <v>1.8535488360696044</v>
      </c>
      <c r="DI62" s="216">
        <f t="shared" si="129"/>
        <v>9.0538137176903977</v>
      </c>
      <c r="DJ62" s="116">
        <f t="shared" si="130"/>
        <v>133099.62745716478</v>
      </c>
      <c r="DK62" s="8">
        <f t="shared" si="131"/>
        <v>3.4413298788205013</v>
      </c>
      <c r="DL62" s="8">
        <f t="shared" si="132"/>
        <v>1.8550821757594733</v>
      </c>
      <c r="DM62" s="8">
        <f t="shared" si="133"/>
        <v>3.4413298788205013</v>
      </c>
      <c r="DN62" s="8">
        <f t="shared" si="134"/>
        <v>1.8550821757594733</v>
      </c>
      <c r="DO62" s="216">
        <f t="shared" si="135"/>
        <v>9.0522803780005265</v>
      </c>
      <c r="DP62" s="116">
        <f t="shared" si="136"/>
        <v>133122.17281954476</v>
      </c>
      <c r="DQ62" s="170">
        <f t="shared" si="137"/>
        <v>3.4419127957727826</v>
      </c>
      <c r="DR62" s="8">
        <f t="shared" si="138"/>
        <v>1.8552392826190325</v>
      </c>
      <c r="DS62" s="8">
        <f t="shared" si="139"/>
        <v>3.4419127957727826</v>
      </c>
      <c r="DT62" s="134">
        <f t="shared" si="140"/>
        <v>1.8552392826190325</v>
      </c>
      <c r="DU62" s="170">
        <f t="shared" si="141"/>
        <v>3.5859228878785925</v>
      </c>
      <c r="DV62" s="170">
        <f t="shared" si="141"/>
        <v>1.8936533177639967</v>
      </c>
      <c r="DW62" s="170">
        <f t="shared" si="141"/>
        <v>3.5859228878785925</v>
      </c>
      <c r="DX62" s="272">
        <f t="shared" si="141"/>
        <v>1.8936533177639967</v>
      </c>
      <c r="DY62" s="272">
        <f t="shared" si="142"/>
        <v>7.1200559182320067</v>
      </c>
      <c r="DZ62" s="22">
        <f t="shared" si="12"/>
        <v>867.93425584125976</v>
      </c>
      <c r="EA62" s="216">
        <f t="shared" si="13"/>
        <v>5.6863438508967142E-2</v>
      </c>
      <c r="EB62" s="12">
        <f t="shared" si="143"/>
        <v>8</v>
      </c>
      <c r="EC62" s="7">
        <f>ROUND(MAX(DV62,DX62)/'Inputs-Imperial'!$E$21,0)</f>
        <v>16</v>
      </c>
      <c r="ED62" s="12">
        <f t="shared" si="144"/>
        <v>16</v>
      </c>
      <c r="EE62" s="2">
        <f t="shared" si="145"/>
        <v>8</v>
      </c>
      <c r="EF62" s="127">
        <f t="shared" si="146"/>
        <v>8</v>
      </c>
      <c r="EG62" s="2">
        <f t="shared" si="147"/>
        <v>6.2992125984251982E-2</v>
      </c>
      <c r="EH62" s="8">
        <f t="shared" si="14"/>
        <v>0.59841852193305178</v>
      </c>
      <c r="EI62" s="138">
        <f t="shared" si="148"/>
        <v>0.75</v>
      </c>
      <c r="EJ62" s="12">
        <f t="shared" si="15"/>
        <v>12400.610680331996</v>
      </c>
      <c r="EK62" s="138">
        <f t="shared" si="149"/>
        <v>0.75</v>
      </c>
      <c r="EL62" s="116">
        <f t="shared" si="150"/>
        <v>2175570</v>
      </c>
      <c r="EM62" s="2">
        <f t="shared" si="16"/>
        <v>6.2992125984251982E-2</v>
      </c>
      <c r="EN62" s="8">
        <f t="shared" si="151"/>
        <v>10.907362553760001</v>
      </c>
      <c r="EO62" s="116">
        <f t="shared" si="152"/>
        <v>2610.6840000000002</v>
      </c>
      <c r="EP62" s="217">
        <f t="shared" si="153"/>
        <v>1.6330389187539431</v>
      </c>
      <c r="EQ62" s="207">
        <f t="shared" si="154"/>
        <v>2</v>
      </c>
      <c r="ER62" s="144">
        <f t="shared" si="155"/>
        <v>50760.493989765353</v>
      </c>
      <c r="ES62" s="138">
        <f t="shared" si="17"/>
        <v>0.75</v>
      </c>
      <c r="ET62" s="116">
        <f t="shared" si="156"/>
        <v>2175570</v>
      </c>
      <c r="EU62" s="2">
        <f t="shared" si="18"/>
        <v>6.2992125984251982E-2</v>
      </c>
      <c r="EV62" s="8">
        <f t="shared" si="157"/>
        <v>10.907362553760001</v>
      </c>
      <c r="EW62" s="116">
        <f t="shared" si="158"/>
        <v>2610.6840000000002</v>
      </c>
      <c r="EX62" s="217">
        <f t="shared" si="159"/>
        <v>1.6330389187539431</v>
      </c>
      <c r="EY62" s="207">
        <f t="shared" si="160"/>
        <v>2</v>
      </c>
      <c r="EZ62" s="144">
        <f t="shared" si="161"/>
        <v>50760.493989765353</v>
      </c>
      <c r="FA62" s="138">
        <f t="shared" si="19"/>
        <v>0.75</v>
      </c>
      <c r="FB62" s="116">
        <f t="shared" si="162"/>
        <v>2175570</v>
      </c>
      <c r="FC62" s="2">
        <f t="shared" si="20"/>
        <v>6.2992125984251982E-2</v>
      </c>
      <c r="FD62" s="8">
        <f t="shared" si="163"/>
        <v>10.907362553760001</v>
      </c>
      <c r="FE62" s="116">
        <f t="shared" si="164"/>
        <v>2610.6840000000002</v>
      </c>
      <c r="FF62" s="217">
        <f t="shared" si="165"/>
        <v>1.6330389187539431</v>
      </c>
      <c r="FG62" s="207">
        <f t="shared" si="166"/>
        <v>2</v>
      </c>
      <c r="FH62" s="144">
        <f t="shared" si="167"/>
        <v>50760.493989765353</v>
      </c>
      <c r="FI62" s="128">
        <f t="shared" si="168"/>
        <v>0.75</v>
      </c>
      <c r="FJ62" s="2">
        <f t="shared" si="169"/>
        <v>6.2992125984251982E-2</v>
      </c>
      <c r="FK62" s="127">
        <f t="shared" si="170"/>
        <v>6.2992125984251982E-2</v>
      </c>
      <c r="FL62" s="216">
        <f t="shared" si="171"/>
        <v>0.75</v>
      </c>
      <c r="FM62" s="138">
        <f t="shared" si="172"/>
        <v>0</v>
      </c>
      <c r="FN62" s="138">
        <f t="shared" si="173"/>
        <v>0</v>
      </c>
      <c r="FO62" s="238">
        <f t="shared" si="174"/>
        <v>0</v>
      </c>
      <c r="FP62" s="216">
        <f t="shared" si="21"/>
        <v>0.75</v>
      </c>
      <c r="FQ62" s="138">
        <f t="shared" si="22"/>
        <v>0</v>
      </c>
      <c r="FR62" s="138">
        <f t="shared" si="23"/>
        <v>0</v>
      </c>
      <c r="FS62" s="238">
        <f t="shared" si="24"/>
        <v>0</v>
      </c>
      <c r="FT62" s="216">
        <f t="shared" si="175"/>
        <v>6.2992125984251982E-2</v>
      </c>
      <c r="FU62" s="138">
        <f t="shared" si="176"/>
        <v>0</v>
      </c>
      <c r="FV62" s="138">
        <f t="shared" si="177"/>
        <v>0</v>
      </c>
      <c r="FW62" s="238">
        <f t="shared" si="178"/>
        <v>0</v>
      </c>
      <c r="FX62" s="216">
        <f t="shared" si="25"/>
        <v>6.2992125984251982E-2</v>
      </c>
      <c r="FY62" s="138">
        <f t="shared" si="26"/>
        <v>0</v>
      </c>
      <c r="FZ62" s="138">
        <f t="shared" si="27"/>
        <v>0</v>
      </c>
      <c r="GA62" s="238">
        <f t="shared" si="28"/>
        <v>0</v>
      </c>
      <c r="GB62" s="216">
        <f t="shared" si="179"/>
        <v>6.2992125984251982E-2</v>
      </c>
      <c r="GC62" s="138">
        <f t="shared" si="180"/>
        <v>0</v>
      </c>
      <c r="GD62" s="138">
        <f t="shared" si="181"/>
        <v>0</v>
      </c>
      <c r="GE62" s="238">
        <f t="shared" si="182"/>
        <v>0</v>
      </c>
      <c r="GF62" s="216">
        <f t="shared" si="29"/>
        <v>6.2992125984251982E-2</v>
      </c>
      <c r="GG62" s="138">
        <f t="shared" si="30"/>
        <v>0</v>
      </c>
      <c r="GH62" s="138">
        <f t="shared" si="31"/>
        <v>0</v>
      </c>
      <c r="GI62" s="238">
        <f t="shared" si="32"/>
        <v>0</v>
      </c>
      <c r="GJ62" s="216">
        <f t="shared" si="183"/>
        <v>0.75</v>
      </c>
      <c r="GK62" s="216">
        <f t="shared" si="184"/>
        <v>6.2992125984251982E-2</v>
      </c>
      <c r="GL62" s="17">
        <f t="shared" si="185"/>
        <v>6.2992125984251982E-2</v>
      </c>
      <c r="GM62" s="216">
        <f t="shared" si="186"/>
        <v>3.0328972746672917E-2</v>
      </c>
      <c r="GN62" s="2">
        <f t="shared" si="187"/>
        <v>4</v>
      </c>
      <c r="GO62" s="2">
        <f t="shared" si="188"/>
        <v>2</v>
      </c>
      <c r="GP62" s="142">
        <f t="shared" si="189"/>
        <v>2</v>
      </c>
      <c r="GQ62" s="2">
        <f t="shared" si="190"/>
        <v>1.5748031496062995E-2</v>
      </c>
      <c r="GR62" s="8">
        <f t="shared" si="33"/>
        <v>0.31917554616310662</v>
      </c>
      <c r="GS62" s="138">
        <f t="shared" si="191"/>
        <v>0.5</v>
      </c>
      <c r="GT62" s="12">
        <f t="shared" si="34"/>
        <v>26456.211107007261</v>
      </c>
      <c r="GU62" s="138">
        <f t="shared" si="192"/>
        <v>0.5</v>
      </c>
      <c r="GV62" s="116">
        <f t="shared" si="193"/>
        <v>2175570</v>
      </c>
      <c r="GW62" s="2">
        <f t="shared" si="35"/>
        <v>6.2992125984251982E-2</v>
      </c>
      <c r="GX62" s="8">
        <f t="shared" si="36"/>
        <v>5.4536812768800003</v>
      </c>
      <c r="GY62" s="116">
        <f t="shared" si="194"/>
        <v>2610.6840000000002</v>
      </c>
      <c r="GZ62" s="217">
        <f t="shared" si="195"/>
        <v>4.3547704500105153</v>
      </c>
      <c r="HA62" s="207">
        <f t="shared" si="196"/>
        <v>2</v>
      </c>
      <c r="HB62" s="144">
        <f t="shared" si="197"/>
        <v>90240.878204027293</v>
      </c>
      <c r="HC62" s="138">
        <f t="shared" si="37"/>
        <v>0.5</v>
      </c>
      <c r="HD62" s="116">
        <f t="shared" si="198"/>
        <v>2175570</v>
      </c>
      <c r="HE62" s="2">
        <f t="shared" si="38"/>
        <v>6.2992125984251982E-2</v>
      </c>
      <c r="HF62" s="8">
        <f t="shared" si="199"/>
        <v>5.4536812768800003</v>
      </c>
      <c r="HG62" s="116">
        <f t="shared" si="200"/>
        <v>2610.6840000000002</v>
      </c>
      <c r="HH62" s="217">
        <f t="shared" si="201"/>
        <v>4.3547704500105153</v>
      </c>
      <c r="HI62" s="207">
        <f t="shared" si="202"/>
        <v>2</v>
      </c>
      <c r="HJ62" s="144">
        <f t="shared" si="203"/>
        <v>90240.878204027293</v>
      </c>
      <c r="HK62" s="138">
        <f t="shared" si="39"/>
        <v>0.5</v>
      </c>
      <c r="HL62" s="116">
        <f t="shared" si="204"/>
        <v>2175570</v>
      </c>
      <c r="HM62" s="2">
        <f t="shared" si="40"/>
        <v>6.2992125984251982E-2</v>
      </c>
      <c r="HN62" s="8">
        <f t="shared" si="205"/>
        <v>5.4536812768800003</v>
      </c>
      <c r="HO62" s="116">
        <f t="shared" si="206"/>
        <v>2610.6840000000002</v>
      </c>
      <c r="HP62" s="217">
        <f t="shared" si="207"/>
        <v>4.3547704500105153</v>
      </c>
      <c r="HQ62" s="207">
        <f t="shared" si="208"/>
        <v>2</v>
      </c>
      <c r="HR62" s="144">
        <f t="shared" si="209"/>
        <v>90240.878204027293</v>
      </c>
      <c r="HS62" s="128">
        <f t="shared" si="210"/>
        <v>0.5</v>
      </c>
      <c r="HT62" s="2">
        <f t="shared" si="211"/>
        <v>1.5748031496062995E-2</v>
      </c>
      <c r="HU62" s="127">
        <f t="shared" si="212"/>
        <v>1.5748031496062995E-2</v>
      </c>
      <c r="HV62" s="216">
        <f t="shared" si="213"/>
        <v>0.5</v>
      </c>
      <c r="HW62" s="138">
        <f t="shared" si="214"/>
        <v>0</v>
      </c>
      <c r="HX62" s="138">
        <f t="shared" si="215"/>
        <v>0</v>
      </c>
      <c r="HY62" s="238">
        <f t="shared" si="216"/>
        <v>0</v>
      </c>
      <c r="HZ62" s="138">
        <f t="shared" si="217"/>
        <v>0.5</v>
      </c>
      <c r="IA62" s="138">
        <f t="shared" si="218"/>
        <v>0</v>
      </c>
      <c r="IB62" s="138">
        <f t="shared" si="219"/>
        <v>0</v>
      </c>
      <c r="IC62" s="138">
        <f t="shared" si="220"/>
        <v>0</v>
      </c>
      <c r="ID62" s="216">
        <f t="shared" si="221"/>
        <v>1.5748031496062995E-2</v>
      </c>
      <c r="IE62" s="138">
        <f t="shared" si="222"/>
        <v>0</v>
      </c>
      <c r="IF62" s="138">
        <f t="shared" si="223"/>
        <v>0</v>
      </c>
      <c r="IG62" s="238">
        <f t="shared" si="224"/>
        <v>0</v>
      </c>
      <c r="IH62" s="138">
        <f t="shared" si="225"/>
        <v>1.5748031496062995E-2</v>
      </c>
      <c r="II62" s="138">
        <f t="shared" si="226"/>
        <v>0</v>
      </c>
      <c r="IJ62" s="138">
        <f t="shared" si="227"/>
        <v>0</v>
      </c>
      <c r="IK62" s="138">
        <f t="shared" si="228"/>
        <v>0</v>
      </c>
      <c r="IL62" s="216">
        <f t="shared" si="229"/>
        <v>1.5748031496062995E-2</v>
      </c>
      <c r="IM62" s="138">
        <f t="shared" si="230"/>
        <v>0</v>
      </c>
      <c r="IN62" s="138">
        <f t="shared" si="231"/>
        <v>0</v>
      </c>
      <c r="IO62" s="238">
        <f t="shared" si="232"/>
        <v>0</v>
      </c>
      <c r="IP62" s="138">
        <f t="shared" si="233"/>
        <v>1.5748031496062995E-2</v>
      </c>
      <c r="IQ62" s="138">
        <f t="shared" si="234"/>
        <v>0</v>
      </c>
      <c r="IR62" s="138">
        <f t="shared" si="235"/>
        <v>0</v>
      </c>
      <c r="IS62" s="138">
        <f t="shared" si="236"/>
        <v>0</v>
      </c>
      <c r="IT62" s="17">
        <f t="shared" si="237"/>
        <v>0.5</v>
      </c>
      <c r="IU62" s="17">
        <f t="shared" si="238"/>
        <v>1.5748031496062995E-2</v>
      </c>
      <c r="IV62" s="17">
        <f t="shared" si="239"/>
        <v>1.5748031496062995E-2</v>
      </c>
      <c r="IW62" s="253">
        <f t="shared" si="240"/>
        <v>30.298229316000004</v>
      </c>
      <c r="IX62" s="116">
        <f t="shared" si="241"/>
        <v>3977.3256064663447</v>
      </c>
      <c r="IY62" s="8">
        <f t="shared" si="242"/>
        <v>0.10283491929183243</v>
      </c>
      <c r="IZ62" s="8">
        <f t="shared" si="243"/>
        <v>0.10283491929183243</v>
      </c>
      <c r="JA62" s="8">
        <f t="shared" si="244"/>
        <v>5.1417459645916215E-2</v>
      </c>
      <c r="JB62" s="134">
        <f t="shared" si="245"/>
        <v>0.22675418330411506</v>
      </c>
      <c r="JC62" s="170">
        <f t="shared" si="246"/>
        <v>5.3419963961966015E-2</v>
      </c>
      <c r="JD62" s="272">
        <f t="shared" si="247"/>
        <v>0.23112759238560421</v>
      </c>
      <c r="JE62" s="8"/>
      <c r="JF62" s="8"/>
    </row>
    <row r="63" spans="1:266" x14ac:dyDescent="0.25">
      <c r="A63" s="186">
        <v>3</v>
      </c>
      <c r="B63" s="187">
        <f>A63/100*'Inputs-Imperial'!$E$5</f>
        <v>0.72244096799999991</v>
      </c>
      <c r="C63" s="188">
        <f>'Inputs-Imperial'!$E$10+('Inputs-Imperial'!$E$9-'Inputs-Imperial'!$E$10)*(100-A63)/100</f>
        <v>5.0319063289999999</v>
      </c>
      <c r="D63" s="187">
        <f t="shared" si="248"/>
        <v>0.24081365599999993</v>
      </c>
      <c r="E63" s="188">
        <f t="shared" si="249"/>
        <v>1.2138948275273758</v>
      </c>
      <c r="F63" s="423">
        <f>Loads!P23</f>
        <v>934.67494591787545</v>
      </c>
      <c r="G63" s="423">
        <f>Loads!M23</f>
        <v>9346.7494591787545</v>
      </c>
      <c r="H63" s="423">
        <f>Loads!N23</f>
        <v>98141.850298113844</v>
      </c>
      <c r="I63" s="423">
        <f>Loads!V23</f>
        <v>-22186.273742318499</v>
      </c>
      <c r="J63" s="423">
        <f>Loads!Q23</f>
        <v>9814.1850298113914</v>
      </c>
      <c r="K63" s="2">
        <v>3</v>
      </c>
      <c r="L63" s="12">
        <f t="shared" si="41"/>
        <v>8.6692916159999989</v>
      </c>
      <c r="M63" s="11">
        <f t="shared" si="42"/>
        <v>60.382875947999999</v>
      </c>
      <c r="N63" s="11">
        <f t="shared" si="43"/>
        <v>2.8897638719999992</v>
      </c>
      <c r="O63" s="152">
        <f t="shared" si="44"/>
        <v>174.80085516394212</v>
      </c>
      <c r="P63" s="151">
        <f t="shared" si="45"/>
        <v>934.67494591787545</v>
      </c>
      <c r="Q63" s="12">
        <f t="shared" si="46"/>
        <v>9346.7494591787545</v>
      </c>
      <c r="R63" s="12">
        <f t="shared" si="47"/>
        <v>1177702.2035773662</v>
      </c>
      <c r="S63" s="12">
        <f t="shared" si="48"/>
        <v>-266235.28490782197</v>
      </c>
      <c r="T63" s="152">
        <f t="shared" si="49"/>
        <v>117770.22035773669</v>
      </c>
      <c r="U63" s="8">
        <f t="shared" si="0"/>
        <v>10.86891767064</v>
      </c>
      <c r="V63" s="8">
        <f t="shared" si="1"/>
        <v>10.86891767064</v>
      </c>
      <c r="W63" s="134">
        <f t="shared" si="2"/>
        <v>5.4344588353200001</v>
      </c>
      <c r="X63" s="311">
        <f t="shared" si="3"/>
        <v>15.095718987</v>
      </c>
      <c r="Y63" s="11">
        <f t="shared" si="4"/>
        <v>45.287156961000001</v>
      </c>
      <c r="Z63" s="11">
        <f t="shared" si="5"/>
        <v>30.191437974000003</v>
      </c>
      <c r="AA63" s="316">
        <f t="shared" si="50"/>
        <v>45.287156961000001</v>
      </c>
      <c r="AB63" s="170">
        <f t="shared" si="51"/>
        <v>8.1516882529799997</v>
      </c>
      <c r="AC63" s="11">
        <f t="shared" si="52"/>
        <v>45.287156961000001</v>
      </c>
      <c r="AD63" s="152">
        <f t="shared" si="53"/>
        <v>289.94291524823228</v>
      </c>
      <c r="AE63" s="151">
        <f t="shared" si="6"/>
        <v>20.638852351071424</v>
      </c>
      <c r="AF63" s="12">
        <f t="shared" si="54"/>
        <v>459.11672764945263</v>
      </c>
      <c r="AG63" s="216">
        <f t="shared" si="7"/>
        <v>3.1431587979266394E-2</v>
      </c>
      <c r="AH63" s="2">
        <f t="shared" si="55"/>
        <v>4</v>
      </c>
      <c r="AI63" s="2">
        <f t="shared" si="56"/>
        <v>3</v>
      </c>
      <c r="AJ63" s="127">
        <f t="shared" si="57"/>
        <v>2</v>
      </c>
      <c r="AK63" s="2">
        <f t="shared" si="58"/>
        <v>1.5748031496062995E-2</v>
      </c>
      <c r="AL63" s="8">
        <f t="shared" si="8"/>
        <v>0.330779230271049</v>
      </c>
      <c r="AM63" s="138">
        <f t="shared" si="59"/>
        <v>0.5</v>
      </c>
      <c r="AN63" s="12">
        <f t="shared" si="9"/>
        <v>27418.031397029943</v>
      </c>
      <c r="AO63" s="138">
        <f t="shared" si="60"/>
        <v>0.5</v>
      </c>
      <c r="AP63" s="116">
        <f t="shared" si="61"/>
        <v>2175570</v>
      </c>
      <c r="AQ63" s="2">
        <f t="shared" si="62"/>
        <v>1.5748031496062995E-2</v>
      </c>
      <c r="AR63" s="8">
        <f t="shared" si="63"/>
        <v>30.191437974000003</v>
      </c>
      <c r="AS63" s="116">
        <f t="shared" si="64"/>
        <v>2610.6840000000002</v>
      </c>
      <c r="AT63" s="217">
        <f t="shared" si="65"/>
        <v>3.5523617574676182E-2</v>
      </c>
      <c r="AU63" s="207">
        <f t="shared" si="66"/>
        <v>4.7124150789532484</v>
      </c>
      <c r="AV63" s="144">
        <f t="shared" si="67"/>
        <v>6937.9116417850473</v>
      </c>
      <c r="AW63" s="138">
        <f t="shared" si="68"/>
        <v>2</v>
      </c>
      <c r="AX63" s="116">
        <f t="shared" si="69"/>
        <v>2175570</v>
      </c>
      <c r="AY63" s="2">
        <f t="shared" si="70"/>
        <v>1.5748031496062995E-2</v>
      </c>
      <c r="AZ63" s="8">
        <f t="shared" si="71"/>
        <v>30.191437974000003</v>
      </c>
      <c r="BA63" s="116">
        <f t="shared" si="72"/>
        <v>2610.6840000000002</v>
      </c>
      <c r="BB63" s="217">
        <f t="shared" si="73"/>
        <v>0.14209447029870473</v>
      </c>
      <c r="BC63" s="207">
        <f t="shared" si="74"/>
        <v>3.5057960578269336</v>
      </c>
      <c r="BD63" s="144">
        <f t="shared" si="75"/>
        <v>82583.228771857219</v>
      </c>
      <c r="BE63" s="138">
        <f t="shared" si="76"/>
        <v>2</v>
      </c>
      <c r="BF63" s="116">
        <f t="shared" si="77"/>
        <v>2175570</v>
      </c>
      <c r="BG63" s="2">
        <f t="shared" si="78"/>
        <v>1.5748031496062995E-2</v>
      </c>
      <c r="BH63" s="8">
        <f t="shared" si="79"/>
        <v>30.191437974000003</v>
      </c>
      <c r="BI63" s="116">
        <f t="shared" si="80"/>
        <v>2610.6840000000002</v>
      </c>
      <c r="BJ63" s="217">
        <f t="shared" si="81"/>
        <v>0.14209447029870473</v>
      </c>
      <c r="BK63" s="207">
        <f t="shared" si="82"/>
        <v>3.5057960578269336</v>
      </c>
      <c r="BL63" s="144">
        <f t="shared" si="83"/>
        <v>82583.228771857219</v>
      </c>
      <c r="BM63" s="216">
        <f t="shared" si="84"/>
        <v>2</v>
      </c>
      <c r="BN63" s="216">
        <f t="shared" si="85"/>
        <v>2.3622047244094495E-2</v>
      </c>
      <c r="BO63" s="238">
        <f t="shared" si="86"/>
        <v>1.5748031496062995E-2</v>
      </c>
      <c r="BP63" s="216">
        <f t="shared" si="87"/>
        <v>2</v>
      </c>
      <c r="BQ63" s="138">
        <f t="shared" si="88"/>
        <v>0</v>
      </c>
      <c r="BR63" s="138">
        <f t="shared" si="89"/>
        <v>0</v>
      </c>
      <c r="BS63" s="238">
        <f t="shared" si="90"/>
        <v>0</v>
      </c>
      <c r="BT63" s="138">
        <f t="shared" si="91"/>
        <v>2</v>
      </c>
      <c r="BU63" s="138">
        <f t="shared" si="92"/>
        <v>0</v>
      </c>
      <c r="BV63" s="138">
        <f t="shared" si="93"/>
        <v>0</v>
      </c>
      <c r="BW63" s="238">
        <f t="shared" si="94"/>
        <v>0</v>
      </c>
      <c r="BX63" s="216">
        <f t="shared" si="95"/>
        <v>2.3622047244094495E-2</v>
      </c>
      <c r="BY63" s="138">
        <f t="shared" si="96"/>
        <v>0</v>
      </c>
      <c r="BZ63" s="138">
        <f t="shared" si="97"/>
        <v>0</v>
      </c>
      <c r="CA63" s="238">
        <f t="shared" si="98"/>
        <v>0</v>
      </c>
      <c r="CB63" s="138">
        <f t="shared" si="99"/>
        <v>2.3622047244094495E-2</v>
      </c>
      <c r="CC63" s="138">
        <f t="shared" si="100"/>
        <v>0</v>
      </c>
      <c r="CD63" s="138">
        <f t="shared" si="101"/>
        <v>0</v>
      </c>
      <c r="CE63" s="238">
        <f t="shared" si="102"/>
        <v>0</v>
      </c>
      <c r="CF63" s="216">
        <f t="shared" si="103"/>
        <v>1.5748031496062995E-2</v>
      </c>
      <c r="CG63" s="138">
        <f t="shared" si="104"/>
        <v>0</v>
      </c>
      <c r="CH63" s="138">
        <f t="shared" si="105"/>
        <v>0</v>
      </c>
      <c r="CI63" s="238">
        <f t="shared" si="106"/>
        <v>0</v>
      </c>
      <c r="CJ63" s="138">
        <f t="shared" si="107"/>
        <v>2.3622047244094495E-2</v>
      </c>
      <c r="CK63" s="138">
        <f t="shared" si="108"/>
        <v>0</v>
      </c>
      <c r="CL63" s="138">
        <f t="shared" si="109"/>
        <v>0</v>
      </c>
      <c r="CM63" s="238">
        <f t="shared" si="110"/>
        <v>0</v>
      </c>
      <c r="CN63" s="17">
        <f t="shared" si="111"/>
        <v>2</v>
      </c>
      <c r="CO63" s="17">
        <f t="shared" si="112"/>
        <v>2.3622047244094495E-2</v>
      </c>
      <c r="CP63" s="17">
        <f t="shared" si="113"/>
        <v>2.3622047244094495E-2</v>
      </c>
      <c r="CQ63" s="17">
        <f>$U63-IF('Inputs-Imperial'!$E$13,0,2)*($CO63+$CN63+$CP63)</f>
        <v>10.86891767064</v>
      </c>
      <c r="CR63" s="116">
        <f t="shared" si="114"/>
        <v>108355.05790596525</v>
      </c>
      <c r="CS63" s="8">
        <f t="shared" si="10"/>
        <v>2.8015517805497159</v>
      </c>
      <c r="CT63" s="8">
        <f t="shared" si="115"/>
        <v>1.6737836719689065</v>
      </c>
      <c r="CU63" s="8">
        <f t="shared" si="11"/>
        <v>2.8015517805497159</v>
      </c>
      <c r="CV63" s="8">
        <f t="shared" si="116"/>
        <v>1.6737836719689065</v>
      </c>
      <c r="CW63" s="216">
        <f t="shared" si="117"/>
        <v>9.1951339986710945</v>
      </c>
      <c r="CX63" s="116">
        <f t="shared" si="118"/>
        <v>128078.85167824317</v>
      </c>
      <c r="CY63" s="8">
        <f t="shared" si="119"/>
        <v>3.311516249489181</v>
      </c>
      <c r="CZ63" s="8">
        <f t="shared" si="120"/>
        <v>1.819757195201926</v>
      </c>
      <c r="DA63" s="8">
        <f t="shared" si="121"/>
        <v>3.311516249489181</v>
      </c>
      <c r="DB63" s="8">
        <f t="shared" si="122"/>
        <v>1.819757195201926</v>
      </c>
      <c r="DC63" s="216">
        <f t="shared" si="123"/>
        <v>9.0491604754380734</v>
      </c>
      <c r="DD63" s="116">
        <f t="shared" si="124"/>
        <v>130144.9130860234</v>
      </c>
      <c r="DE63" s="8">
        <f t="shared" si="125"/>
        <v>3.3649348727408523</v>
      </c>
      <c r="DF63" s="8">
        <f t="shared" si="126"/>
        <v>1.8343758809853701</v>
      </c>
      <c r="DG63" s="8">
        <f t="shared" si="127"/>
        <v>3.3649348727408523</v>
      </c>
      <c r="DH63" s="8">
        <f t="shared" si="128"/>
        <v>1.8343758809853701</v>
      </c>
      <c r="DI63" s="216">
        <f t="shared" si="129"/>
        <v>9.0345417896546305</v>
      </c>
      <c r="DJ63" s="116">
        <f t="shared" si="130"/>
        <v>130355.49903880482</v>
      </c>
      <c r="DK63" s="8">
        <f t="shared" si="131"/>
        <v>3.3703796342718322</v>
      </c>
      <c r="DL63" s="8">
        <f t="shared" si="132"/>
        <v>1.8358593721393346</v>
      </c>
      <c r="DM63" s="8">
        <f t="shared" si="133"/>
        <v>3.3703796342718322</v>
      </c>
      <c r="DN63" s="8">
        <f t="shared" si="134"/>
        <v>1.8358593721393346</v>
      </c>
      <c r="DO63" s="216">
        <f t="shared" si="135"/>
        <v>9.0330582985006647</v>
      </c>
      <c r="DP63" s="116">
        <f t="shared" si="136"/>
        <v>130376.90720681443</v>
      </c>
      <c r="DQ63" s="170">
        <f t="shared" si="137"/>
        <v>3.3709331487303609</v>
      </c>
      <c r="DR63" s="8">
        <f t="shared" si="138"/>
        <v>1.8360101167287617</v>
      </c>
      <c r="DS63" s="8">
        <f t="shared" si="139"/>
        <v>3.3709331487303609</v>
      </c>
      <c r="DT63" s="134">
        <f t="shared" si="140"/>
        <v>1.8360101167287617</v>
      </c>
      <c r="DU63" s="170">
        <f t="shared" si="141"/>
        <v>3.5859228878785925</v>
      </c>
      <c r="DV63" s="170">
        <f t="shared" si="141"/>
        <v>1.8936533177639967</v>
      </c>
      <c r="DW63" s="170">
        <f t="shared" si="141"/>
        <v>3.5859228878785925</v>
      </c>
      <c r="DX63" s="272">
        <f t="shared" si="141"/>
        <v>1.8936533177639967</v>
      </c>
      <c r="DY63" s="272">
        <f t="shared" si="142"/>
        <v>7.0816110351120063</v>
      </c>
      <c r="DZ63" s="22">
        <f t="shared" si="12"/>
        <v>859.95218129464263</v>
      </c>
      <c r="EA63" s="216">
        <f t="shared" si="13"/>
        <v>5.6340486220702382E-2</v>
      </c>
      <c r="EB63" s="12">
        <f t="shared" si="143"/>
        <v>8</v>
      </c>
      <c r="EC63" s="7">
        <f>ROUND(MAX(DV63,DX63)/'Inputs-Imperial'!$E$21,0)</f>
        <v>16</v>
      </c>
      <c r="ED63" s="12">
        <f t="shared" si="144"/>
        <v>16</v>
      </c>
      <c r="EE63" s="2">
        <f t="shared" si="145"/>
        <v>8</v>
      </c>
      <c r="EF63" s="127">
        <f t="shared" si="146"/>
        <v>8</v>
      </c>
      <c r="EG63" s="2">
        <f t="shared" si="147"/>
        <v>6.2992125984251982E-2</v>
      </c>
      <c r="EH63" s="8">
        <f t="shared" si="14"/>
        <v>0.5929150852153523</v>
      </c>
      <c r="EI63" s="138">
        <f t="shared" si="148"/>
        <v>0.75</v>
      </c>
      <c r="EJ63" s="12">
        <f t="shared" si="15"/>
        <v>12286.566790247205</v>
      </c>
      <c r="EK63" s="138">
        <f t="shared" si="149"/>
        <v>0.75</v>
      </c>
      <c r="EL63" s="116">
        <f t="shared" si="150"/>
        <v>2175570</v>
      </c>
      <c r="EM63" s="2">
        <f t="shared" si="16"/>
        <v>6.2992125984251982E-2</v>
      </c>
      <c r="EN63" s="8">
        <f t="shared" si="151"/>
        <v>10.86891767064</v>
      </c>
      <c r="EO63" s="116">
        <f t="shared" si="152"/>
        <v>2610.6840000000002</v>
      </c>
      <c r="EP63" s="217">
        <f t="shared" si="153"/>
        <v>1.6446119247535269</v>
      </c>
      <c r="EQ63" s="207">
        <f t="shared" si="154"/>
        <v>2</v>
      </c>
      <c r="ER63" s="144">
        <f t="shared" si="155"/>
        <v>51120.223016881027</v>
      </c>
      <c r="ES63" s="138">
        <f t="shared" si="17"/>
        <v>0.75</v>
      </c>
      <c r="ET63" s="116">
        <f t="shared" si="156"/>
        <v>2175570</v>
      </c>
      <c r="EU63" s="2">
        <f t="shared" si="18"/>
        <v>6.2992125984251982E-2</v>
      </c>
      <c r="EV63" s="8">
        <f t="shared" si="157"/>
        <v>10.86891767064</v>
      </c>
      <c r="EW63" s="116">
        <f t="shared" si="158"/>
        <v>2610.6840000000002</v>
      </c>
      <c r="EX63" s="217">
        <f t="shared" si="159"/>
        <v>1.6446119247535269</v>
      </c>
      <c r="EY63" s="207">
        <f t="shared" si="160"/>
        <v>2</v>
      </c>
      <c r="EZ63" s="144">
        <f t="shared" si="161"/>
        <v>51120.223016881027</v>
      </c>
      <c r="FA63" s="138">
        <f t="shared" si="19"/>
        <v>0.75</v>
      </c>
      <c r="FB63" s="116">
        <f t="shared" si="162"/>
        <v>2175570</v>
      </c>
      <c r="FC63" s="2">
        <f t="shared" si="20"/>
        <v>6.2992125984251982E-2</v>
      </c>
      <c r="FD63" s="8">
        <f t="shared" si="163"/>
        <v>10.86891767064</v>
      </c>
      <c r="FE63" s="116">
        <f t="shared" si="164"/>
        <v>2610.6840000000002</v>
      </c>
      <c r="FF63" s="217">
        <f t="shared" si="165"/>
        <v>1.6446119247535269</v>
      </c>
      <c r="FG63" s="207">
        <f t="shared" si="166"/>
        <v>2</v>
      </c>
      <c r="FH63" s="144">
        <f t="shared" si="167"/>
        <v>51120.223016881027</v>
      </c>
      <c r="FI63" s="128">
        <f t="shared" si="168"/>
        <v>0.75</v>
      </c>
      <c r="FJ63" s="2">
        <f t="shared" si="169"/>
        <v>6.2992125984251982E-2</v>
      </c>
      <c r="FK63" s="127">
        <f t="shared" si="170"/>
        <v>6.2992125984251982E-2</v>
      </c>
      <c r="FL63" s="216">
        <f t="shared" si="171"/>
        <v>0.75</v>
      </c>
      <c r="FM63" s="138">
        <f t="shared" si="172"/>
        <v>0</v>
      </c>
      <c r="FN63" s="138">
        <f t="shared" si="173"/>
        <v>0</v>
      </c>
      <c r="FO63" s="238">
        <f t="shared" si="174"/>
        <v>0</v>
      </c>
      <c r="FP63" s="216">
        <f t="shared" si="21"/>
        <v>0.75</v>
      </c>
      <c r="FQ63" s="138">
        <f t="shared" si="22"/>
        <v>0</v>
      </c>
      <c r="FR63" s="138">
        <f t="shared" si="23"/>
        <v>0</v>
      </c>
      <c r="FS63" s="238">
        <f t="shared" si="24"/>
        <v>0</v>
      </c>
      <c r="FT63" s="216">
        <f t="shared" si="175"/>
        <v>6.2992125984251982E-2</v>
      </c>
      <c r="FU63" s="138">
        <f t="shared" si="176"/>
        <v>0</v>
      </c>
      <c r="FV63" s="138">
        <f t="shared" si="177"/>
        <v>0</v>
      </c>
      <c r="FW63" s="238">
        <f t="shared" si="178"/>
        <v>0</v>
      </c>
      <c r="FX63" s="216">
        <f t="shared" si="25"/>
        <v>6.2992125984251982E-2</v>
      </c>
      <c r="FY63" s="138">
        <f t="shared" si="26"/>
        <v>0</v>
      </c>
      <c r="FZ63" s="138">
        <f t="shared" si="27"/>
        <v>0</v>
      </c>
      <c r="GA63" s="238">
        <f t="shared" si="28"/>
        <v>0</v>
      </c>
      <c r="GB63" s="216">
        <f t="shared" si="179"/>
        <v>6.2992125984251982E-2</v>
      </c>
      <c r="GC63" s="138">
        <f t="shared" si="180"/>
        <v>0</v>
      </c>
      <c r="GD63" s="138">
        <f t="shared" si="181"/>
        <v>0</v>
      </c>
      <c r="GE63" s="238">
        <f t="shared" si="182"/>
        <v>0</v>
      </c>
      <c r="GF63" s="216">
        <f t="shared" si="29"/>
        <v>6.2992125984251982E-2</v>
      </c>
      <c r="GG63" s="138">
        <f t="shared" si="30"/>
        <v>0</v>
      </c>
      <c r="GH63" s="138">
        <f t="shared" si="31"/>
        <v>0</v>
      </c>
      <c r="GI63" s="238">
        <f t="shared" si="32"/>
        <v>0</v>
      </c>
      <c r="GJ63" s="216">
        <f t="shared" si="183"/>
        <v>0.75</v>
      </c>
      <c r="GK63" s="216">
        <f t="shared" si="184"/>
        <v>6.2992125984251982E-2</v>
      </c>
      <c r="GL63" s="17">
        <f t="shared" si="185"/>
        <v>6.2992125984251982E-2</v>
      </c>
      <c r="GM63" s="216">
        <f t="shared" si="186"/>
        <v>3.0079416309969537E-2</v>
      </c>
      <c r="GN63" s="2">
        <f t="shared" si="187"/>
        <v>4</v>
      </c>
      <c r="GO63" s="2">
        <f t="shared" si="188"/>
        <v>2</v>
      </c>
      <c r="GP63" s="142">
        <f t="shared" si="189"/>
        <v>2</v>
      </c>
      <c r="GQ63" s="2">
        <f t="shared" si="190"/>
        <v>1.5748031496062995E-2</v>
      </c>
      <c r="GR63" s="8">
        <f t="shared" si="33"/>
        <v>0.31654926822588053</v>
      </c>
      <c r="GS63" s="138">
        <f t="shared" si="191"/>
        <v>0.5</v>
      </c>
      <c r="GT63" s="12">
        <f t="shared" si="34"/>
        <v>26238.520985166211</v>
      </c>
      <c r="GU63" s="138">
        <f t="shared" si="192"/>
        <v>0.5</v>
      </c>
      <c r="GV63" s="116">
        <f t="shared" si="193"/>
        <v>2175570</v>
      </c>
      <c r="GW63" s="2">
        <f t="shared" si="35"/>
        <v>6.2992125984251982E-2</v>
      </c>
      <c r="GX63" s="8">
        <f t="shared" si="36"/>
        <v>5.4344588353200001</v>
      </c>
      <c r="GY63" s="116">
        <f t="shared" si="194"/>
        <v>2610.6840000000002</v>
      </c>
      <c r="GZ63" s="217">
        <f t="shared" si="195"/>
        <v>4.3856317993427387</v>
      </c>
      <c r="HA63" s="207">
        <f t="shared" si="196"/>
        <v>2</v>
      </c>
      <c r="HB63" s="144">
        <f t="shared" si="197"/>
        <v>90880.396474455163</v>
      </c>
      <c r="HC63" s="138">
        <f t="shared" si="37"/>
        <v>0.5</v>
      </c>
      <c r="HD63" s="116">
        <f t="shared" si="198"/>
        <v>2175570</v>
      </c>
      <c r="HE63" s="2">
        <f t="shared" si="38"/>
        <v>6.2992125984251982E-2</v>
      </c>
      <c r="HF63" s="8">
        <f t="shared" si="199"/>
        <v>5.4344588353200001</v>
      </c>
      <c r="HG63" s="116">
        <f t="shared" si="200"/>
        <v>2610.6840000000002</v>
      </c>
      <c r="HH63" s="217">
        <f t="shared" si="201"/>
        <v>4.3856317993427387</v>
      </c>
      <c r="HI63" s="207">
        <f t="shared" si="202"/>
        <v>2</v>
      </c>
      <c r="HJ63" s="144">
        <f t="shared" si="203"/>
        <v>90880.396474455163</v>
      </c>
      <c r="HK63" s="138">
        <f t="shared" si="39"/>
        <v>0.5</v>
      </c>
      <c r="HL63" s="116">
        <f t="shared" si="204"/>
        <v>2175570</v>
      </c>
      <c r="HM63" s="2">
        <f t="shared" si="40"/>
        <v>6.2992125984251982E-2</v>
      </c>
      <c r="HN63" s="8">
        <f t="shared" si="205"/>
        <v>5.4344588353200001</v>
      </c>
      <c r="HO63" s="116">
        <f t="shared" si="206"/>
        <v>2610.6840000000002</v>
      </c>
      <c r="HP63" s="217">
        <f t="shared" si="207"/>
        <v>4.3856317993427387</v>
      </c>
      <c r="HQ63" s="207">
        <f t="shared" si="208"/>
        <v>2</v>
      </c>
      <c r="HR63" s="144">
        <f t="shared" si="209"/>
        <v>90880.396474455163</v>
      </c>
      <c r="HS63" s="128">
        <f t="shared" si="210"/>
        <v>0.5</v>
      </c>
      <c r="HT63" s="2">
        <f t="shared" si="211"/>
        <v>1.5748031496062995E-2</v>
      </c>
      <c r="HU63" s="127">
        <f t="shared" si="212"/>
        <v>1.5748031496062995E-2</v>
      </c>
      <c r="HV63" s="216">
        <f t="shared" si="213"/>
        <v>0.5</v>
      </c>
      <c r="HW63" s="138">
        <f t="shared" si="214"/>
        <v>0</v>
      </c>
      <c r="HX63" s="138">
        <f t="shared" si="215"/>
        <v>0</v>
      </c>
      <c r="HY63" s="238">
        <f t="shared" si="216"/>
        <v>0</v>
      </c>
      <c r="HZ63" s="138">
        <f t="shared" si="217"/>
        <v>0.5</v>
      </c>
      <c r="IA63" s="138">
        <f t="shared" si="218"/>
        <v>0</v>
      </c>
      <c r="IB63" s="138">
        <f t="shared" si="219"/>
        <v>0</v>
      </c>
      <c r="IC63" s="138">
        <f t="shared" si="220"/>
        <v>0</v>
      </c>
      <c r="ID63" s="216">
        <f t="shared" si="221"/>
        <v>1.5748031496062995E-2</v>
      </c>
      <c r="IE63" s="138">
        <f t="shared" si="222"/>
        <v>0</v>
      </c>
      <c r="IF63" s="138">
        <f t="shared" si="223"/>
        <v>0</v>
      </c>
      <c r="IG63" s="238">
        <f t="shared" si="224"/>
        <v>0</v>
      </c>
      <c r="IH63" s="138">
        <f t="shared" si="225"/>
        <v>1.5748031496062995E-2</v>
      </c>
      <c r="II63" s="138">
        <f t="shared" si="226"/>
        <v>0</v>
      </c>
      <c r="IJ63" s="138">
        <f t="shared" si="227"/>
        <v>0</v>
      </c>
      <c r="IK63" s="138">
        <f t="shared" si="228"/>
        <v>0</v>
      </c>
      <c r="IL63" s="216">
        <f t="shared" si="229"/>
        <v>1.5748031496062995E-2</v>
      </c>
      <c r="IM63" s="138">
        <f t="shared" si="230"/>
        <v>0</v>
      </c>
      <c r="IN63" s="138">
        <f t="shared" si="231"/>
        <v>0</v>
      </c>
      <c r="IO63" s="238">
        <f t="shared" si="232"/>
        <v>0</v>
      </c>
      <c r="IP63" s="138">
        <f t="shared" si="233"/>
        <v>1.5748031496062995E-2</v>
      </c>
      <c r="IQ63" s="138">
        <f t="shared" si="234"/>
        <v>0</v>
      </c>
      <c r="IR63" s="138">
        <f t="shared" si="235"/>
        <v>0</v>
      </c>
      <c r="IS63" s="138">
        <f t="shared" si="236"/>
        <v>0</v>
      </c>
      <c r="IT63" s="17">
        <f t="shared" si="237"/>
        <v>0.5</v>
      </c>
      <c r="IU63" s="17">
        <f t="shared" si="238"/>
        <v>1.5748031496062995E-2</v>
      </c>
      <c r="IV63" s="17">
        <f t="shared" si="239"/>
        <v>1.5748031496062995E-2</v>
      </c>
      <c r="IW63" s="253">
        <f t="shared" si="240"/>
        <v>30.191437974000003</v>
      </c>
      <c r="IX63" s="116">
        <f t="shared" si="241"/>
        <v>3900.7820846147511</v>
      </c>
      <c r="IY63" s="8">
        <f t="shared" si="242"/>
        <v>0.10085586409978982</v>
      </c>
      <c r="IZ63" s="8">
        <f t="shared" si="243"/>
        <v>0.10085586409978982</v>
      </c>
      <c r="JA63" s="8">
        <f t="shared" si="244"/>
        <v>5.0427932049894909E-2</v>
      </c>
      <c r="JB63" s="134">
        <f t="shared" si="245"/>
        <v>0.2245616442091011</v>
      </c>
      <c r="JC63" s="170">
        <f t="shared" si="246"/>
        <v>5.3419963961966015E-2</v>
      </c>
      <c r="JD63" s="272">
        <f t="shared" si="247"/>
        <v>0.23112759238560421</v>
      </c>
      <c r="JE63" s="8"/>
      <c r="JF63" s="8"/>
    </row>
    <row r="64" spans="1:266" x14ac:dyDescent="0.25">
      <c r="A64" s="186">
        <v>4</v>
      </c>
      <c r="B64" s="187">
        <f>A64/100*'Inputs-Imperial'!$E$5</f>
        <v>0.96325462399999995</v>
      </c>
      <c r="C64" s="188">
        <f>'Inputs-Imperial'!$E$10+('Inputs-Imperial'!$E$9-'Inputs-Imperial'!$E$10)*(100-A64)/100</f>
        <v>5.014107772</v>
      </c>
      <c r="D64" s="187">
        <f t="shared" si="248"/>
        <v>0.24081365600000004</v>
      </c>
      <c r="E64" s="188">
        <f t="shared" si="249"/>
        <v>1.209608691944682</v>
      </c>
      <c r="F64" s="423">
        <f>Loads!P24</f>
        <v>922.68498312396707</v>
      </c>
      <c r="G64" s="423">
        <f>Loads!M24</f>
        <v>9226.8498312396714</v>
      </c>
      <c r="H64" s="423">
        <f>Loads!N24</f>
        <v>95891.025389132992</v>
      </c>
      <c r="I64" s="423">
        <f>Loads!V24</f>
        <v>-21844.958353338683</v>
      </c>
      <c r="J64" s="423">
        <f>Loads!Q24</f>
        <v>9589.1025389133047</v>
      </c>
      <c r="K64" s="2">
        <v>4</v>
      </c>
      <c r="L64" s="12">
        <f t="shared" si="41"/>
        <v>11.559055487999998</v>
      </c>
      <c r="M64" s="11">
        <f t="shared" si="42"/>
        <v>60.169293264000004</v>
      </c>
      <c r="N64" s="11">
        <f t="shared" si="43"/>
        <v>2.8897638720000005</v>
      </c>
      <c r="O64" s="152">
        <f t="shared" si="44"/>
        <v>174.18365164003421</v>
      </c>
      <c r="P64" s="151">
        <f t="shared" si="45"/>
        <v>922.68498312396707</v>
      </c>
      <c r="Q64" s="12">
        <f t="shared" si="46"/>
        <v>9226.8498312396714</v>
      </c>
      <c r="R64" s="12">
        <f t="shared" si="47"/>
        <v>1150692.3046695958</v>
      </c>
      <c r="S64" s="12">
        <f t="shared" si="48"/>
        <v>-262139.5002400642</v>
      </c>
      <c r="T64" s="152">
        <f t="shared" si="49"/>
        <v>115069.23046695965</v>
      </c>
      <c r="U64" s="8">
        <f t="shared" si="0"/>
        <v>10.83047278752</v>
      </c>
      <c r="V64" s="8">
        <f t="shared" si="1"/>
        <v>10.83047278752</v>
      </c>
      <c r="W64" s="134">
        <f t="shared" si="2"/>
        <v>5.4152363937599999</v>
      </c>
      <c r="X64" s="311">
        <f t="shared" si="3"/>
        <v>15.042323316000001</v>
      </c>
      <c r="Y64" s="11">
        <f t="shared" si="4"/>
        <v>45.126969948000003</v>
      </c>
      <c r="Z64" s="11">
        <f t="shared" si="5"/>
        <v>30.084646632000002</v>
      </c>
      <c r="AA64" s="316">
        <f t="shared" si="50"/>
        <v>45.126969948000003</v>
      </c>
      <c r="AB64" s="170">
        <f t="shared" si="51"/>
        <v>8.1228545906399994</v>
      </c>
      <c r="AC64" s="11">
        <f t="shared" si="52"/>
        <v>45.126969948000003</v>
      </c>
      <c r="AD64" s="152">
        <f t="shared" si="53"/>
        <v>287.89540547928124</v>
      </c>
      <c r="AE64" s="151">
        <f t="shared" si="6"/>
        <v>20.446420049632867</v>
      </c>
      <c r="AF64" s="12">
        <f t="shared" si="54"/>
        <v>455.2686414075639</v>
      </c>
      <c r="AG64" s="216">
        <f t="shared" si="7"/>
        <v>3.1166870028354162E-2</v>
      </c>
      <c r="AH64" s="2">
        <f t="shared" si="55"/>
        <v>4</v>
      </c>
      <c r="AI64" s="2">
        <f t="shared" si="56"/>
        <v>3</v>
      </c>
      <c r="AJ64" s="127">
        <f t="shared" si="57"/>
        <v>2</v>
      </c>
      <c r="AK64" s="2">
        <f t="shared" si="58"/>
        <v>1.5748031496062995E-2</v>
      </c>
      <c r="AL64" s="8">
        <f t="shared" si="8"/>
        <v>0.32799339583915715</v>
      </c>
      <c r="AM64" s="138">
        <f t="shared" si="59"/>
        <v>0.5</v>
      </c>
      <c r="AN64" s="12">
        <f t="shared" si="9"/>
        <v>27187.11576227879</v>
      </c>
      <c r="AO64" s="138">
        <f t="shared" si="60"/>
        <v>0.5</v>
      </c>
      <c r="AP64" s="116">
        <f t="shared" si="61"/>
        <v>2175570</v>
      </c>
      <c r="AQ64" s="2">
        <f t="shared" si="62"/>
        <v>1.5748031496062995E-2</v>
      </c>
      <c r="AR64" s="8">
        <f t="shared" si="63"/>
        <v>30.084646632000002</v>
      </c>
      <c r="AS64" s="116">
        <f t="shared" si="64"/>
        <v>2610.6840000000002</v>
      </c>
      <c r="AT64" s="217">
        <f t="shared" si="65"/>
        <v>3.5776261252304667E-2</v>
      </c>
      <c r="AU64" s="207">
        <f t="shared" si="66"/>
        <v>4.7086229849555377</v>
      </c>
      <c r="AV64" s="144">
        <f t="shared" si="67"/>
        <v>6981.6313491883911</v>
      </c>
      <c r="AW64" s="138">
        <f t="shared" si="68"/>
        <v>2</v>
      </c>
      <c r="AX64" s="116">
        <f t="shared" si="69"/>
        <v>2175570</v>
      </c>
      <c r="AY64" s="2">
        <f t="shared" si="70"/>
        <v>1.5748031496062995E-2</v>
      </c>
      <c r="AZ64" s="8">
        <f t="shared" si="71"/>
        <v>30.084646632000002</v>
      </c>
      <c r="BA64" s="116">
        <f t="shared" si="72"/>
        <v>2610.6840000000002</v>
      </c>
      <c r="BB64" s="217">
        <f t="shared" si="73"/>
        <v>0.14310504500921867</v>
      </c>
      <c r="BC64" s="207">
        <f t="shared" si="74"/>
        <v>3.4975297590225671</v>
      </c>
      <c r="BD64" s="144">
        <f t="shared" si="75"/>
        <v>82974.452576323572</v>
      </c>
      <c r="BE64" s="138">
        <f t="shared" si="76"/>
        <v>2</v>
      </c>
      <c r="BF64" s="116">
        <f t="shared" si="77"/>
        <v>2175570</v>
      </c>
      <c r="BG64" s="2">
        <f t="shared" si="78"/>
        <v>1.5748031496062995E-2</v>
      </c>
      <c r="BH64" s="8">
        <f t="shared" si="79"/>
        <v>30.084646632000002</v>
      </c>
      <c r="BI64" s="116">
        <f t="shared" si="80"/>
        <v>2610.6840000000002</v>
      </c>
      <c r="BJ64" s="217">
        <f t="shared" si="81"/>
        <v>0.14310504500921867</v>
      </c>
      <c r="BK64" s="207">
        <f t="shared" si="82"/>
        <v>3.4975297590225671</v>
      </c>
      <c r="BL64" s="144">
        <f t="shared" si="83"/>
        <v>82974.452576323572</v>
      </c>
      <c r="BM64" s="216">
        <f t="shared" si="84"/>
        <v>2</v>
      </c>
      <c r="BN64" s="216">
        <f t="shared" si="85"/>
        <v>2.3622047244094495E-2</v>
      </c>
      <c r="BO64" s="238">
        <f t="shared" si="86"/>
        <v>1.5748031496062995E-2</v>
      </c>
      <c r="BP64" s="216">
        <f t="shared" si="87"/>
        <v>2</v>
      </c>
      <c r="BQ64" s="138">
        <f t="shared" si="88"/>
        <v>0</v>
      </c>
      <c r="BR64" s="138">
        <f t="shared" si="89"/>
        <v>0</v>
      </c>
      <c r="BS64" s="238">
        <f t="shared" si="90"/>
        <v>0</v>
      </c>
      <c r="BT64" s="138">
        <f t="shared" si="91"/>
        <v>2</v>
      </c>
      <c r="BU64" s="138">
        <f t="shared" si="92"/>
        <v>0</v>
      </c>
      <c r="BV64" s="138">
        <f t="shared" si="93"/>
        <v>0</v>
      </c>
      <c r="BW64" s="238">
        <f t="shared" si="94"/>
        <v>0</v>
      </c>
      <c r="BX64" s="216">
        <f t="shared" si="95"/>
        <v>2.3622047244094495E-2</v>
      </c>
      <c r="BY64" s="138">
        <f t="shared" si="96"/>
        <v>0</v>
      </c>
      <c r="BZ64" s="138">
        <f t="shared" si="97"/>
        <v>0</v>
      </c>
      <c r="CA64" s="238">
        <f t="shared" si="98"/>
        <v>0</v>
      </c>
      <c r="CB64" s="138">
        <f t="shared" si="99"/>
        <v>2.3622047244094495E-2</v>
      </c>
      <c r="CC64" s="138">
        <f t="shared" si="100"/>
        <v>0</v>
      </c>
      <c r="CD64" s="138">
        <f t="shared" si="101"/>
        <v>0</v>
      </c>
      <c r="CE64" s="238">
        <f t="shared" si="102"/>
        <v>0</v>
      </c>
      <c r="CF64" s="216">
        <f t="shared" si="103"/>
        <v>1.5748031496062995E-2</v>
      </c>
      <c r="CG64" s="138">
        <f t="shared" si="104"/>
        <v>0</v>
      </c>
      <c r="CH64" s="138">
        <f t="shared" si="105"/>
        <v>0</v>
      </c>
      <c r="CI64" s="238">
        <f t="shared" si="106"/>
        <v>0</v>
      </c>
      <c r="CJ64" s="138">
        <f t="shared" si="107"/>
        <v>2.3622047244094495E-2</v>
      </c>
      <c r="CK64" s="138">
        <f t="shared" si="108"/>
        <v>0</v>
      </c>
      <c r="CL64" s="138">
        <f t="shared" si="109"/>
        <v>0</v>
      </c>
      <c r="CM64" s="238">
        <f t="shared" si="110"/>
        <v>0</v>
      </c>
      <c r="CN64" s="17">
        <f t="shared" si="111"/>
        <v>2</v>
      </c>
      <c r="CO64" s="17">
        <f t="shared" si="112"/>
        <v>2.3622047244094495E-2</v>
      </c>
      <c r="CP64" s="17">
        <f t="shared" si="113"/>
        <v>2.3622047244094495E-2</v>
      </c>
      <c r="CQ64" s="17">
        <f>$U64-IF('Inputs-Imperial'!$E$13,0,2)*($CO64+$CN64+$CP64)</f>
        <v>10.83047278752</v>
      </c>
      <c r="CR64" s="116">
        <f t="shared" si="114"/>
        <v>106245.80544586599</v>
      </c>
      <c r="CS64" s="8">
        <f t="shared" si="10"/>
        <v>2.7470164399812287</v>
      </c>
      <c r="CT64" s="8">
        <f t="shared" si="115"/>
        <v>1.6574125738575862</v>
      </c>
      <c r="CU64" s="8">
        <f t="shared" si="11"/>
        <v>2.7470164399812287</v>
      </c>
      <c r="CV64" s="8">
        <f t="shared" si="116"/>
        <v>1.6574125738575862</v>
      </c>
      <c r="CW64" s="216">
        <f t="shared" si="117"/>
        <v>9.1730602136624135</v>
      </c>
      <c r="CX64" s="116">
        <f t="shared" si="118"/>
        <v>125442.57618147404</v>
      </c>
      <c r="CY64" s="8">
        <f t="shared" si="119"/>
        <v>3.24335457383946</v>
      </c>
      <c r="CZ64" s="8">
        <f t="shared" si="120"/>
        <v>1.8009315849969039</v>
      </c>
      <c r="DA64" s="8">
        <f t="shared" si="121"/>
        <v>3.24335457383946</v>
      </c>
      <c r="DB64" s="8">
        <f t="shared" si="122"/>
        <v>1.8009315849969039</v>
      </c>
      <c r="DC64" s="216">
        <f t="shared" si="123"/>
        <v>9.029541202523097</v>
      </c>
      <c r="DD64" s="116">
        <f t="shared" si="124"/>
        <v>127436.40887845568</v>
      </c>
      <c r="DE64" s="8">
        <f t="shared" si="125"/>
        <v>3.2949057026035162</v>
      </c>
      <c r="DF64" s="8">
        <f t="shared" si="126"/>
        <v>1.8151875116922538</v>
      </c>
      <c r="DG64" s="8">
        <f t="shared" si="127"/>
        <v>3.2949057026035162</v>
      </c>
      <c r="DH64" s="8">
        <f t="shared" si="128"/>
        <v>1.8151875116922538</v>
      </c>
      <c r="DI64" s="216">
        <f t="shared" si="129"/>
        <v>9.0152852758277451</v>
      </c>
      <c r="DJ64" s="116">
        <f t="shared" si="130"/>
        <v>127637.92486466205</v>
      </c>
      <c r="DK64" s="8">
        <f t="shared" si="131"/>
        <v>3.3001159574903314</v>
      </c>
      <c r="DL64" s="8">
        <f t="shared" si="132"/>
        <v>1.816622128426914</v>
      </c>
      <c r="DM64" s="8">
        <f t="shared" si="133"/>
        <v>3.3001159574903314</v>
      </c>
      <c r="DN64" s="8">
        <f t="shared" si="134"/>
        <v>1.816622128426914</v>
      </c>
      <c r="DO64" s="216">
        <f t="shared" si="135"/>
        <v>9.0138506590930856</v>
      </c>
      <c r="DP64" s="116">
        <f t="shared" si="136"/>
        <v>127658.23932403278</v>
      </c>
      <c r="DQ64" s="170">
        <f t="shared" si="137"/>
        <v>3.3006411937914399</v>
      </c>
      <c r="DR64" s="8">
        <f t="shared" si="138"/>
        <v>1.8167666866693257</v>
      </c>
      <c r="DS64" s="8">
        <f t="shared" si="139"/>
        <v>3.3006411937914399</v>
      </c>
      <c r="DT64" s="134">
        <f t="shared" si="140"/>
        <v>1.8167666866693257</v>
      </c>
      <c r="DU64" s="170">
        <f t="shared" si="141"/>
        <v>3.5859228878785925</v>
      </c>
      <c r="DV64" s="170">
        <f t="shared" si="141"/>
        <v>1.8936533177639967</v>
      </c>
      <c r="DW64" s="170">
        <f t="shared" si="141"/>
        <v>3.5859228878785925</v>
      </c>
      <c r="DX64" s="272">
        <f t="shared" si="141"/>
        <v>1.8936533177639967</v>
      </c>
      <c r="DY64" s="272">
        <f t="shared" si="142"/>
        <v>7.0431661519920059</v>
      </c>
      <c r="DZ64" s="22">
        <f t="shared" si="12"/>
        <v>851.93416873470289</v>
      </c>
      <c r="EA64" s="216">
        <f t="shared" si="13"/>
        <v>5.5815179423444633E-2</v>
      </c>
      <c r="EB64" s="12">
        <f t="shared" si="143"/>
        <v>8</v>
      </c>
      <c r="EC64" s="7">
        <f>ROUND(MAX(DV64,DX64)/'Inputs-Imperial'!$E$21,0)</f>
        <v>16</v>
      </c>
      <c r="ED64" s="12">
        <f t="shared" si="144"/>
        <v>16</v>
      </c>
      <c r="EE64" s="2">
        <f t="shared" si="145"/>
        <v>8</v>
      </c>
      <c r="EF64" s="127">
        <f t="shared" si="146"/>
        <v>8</v>
      </c>
      <c r="EG64" s="2">
        <f t="shared" si="147"/>
        <v>6.2992125984251982E-2</v>
      </c>
      <c r="EH64" s="8">
        <f t="shared" si="14"/>
        <v>0.58738687015451319</v>
      </c>
      <c r="EI64" s="138">
        <f t="shared" si="148"/>
        <v>0.75</v>
      </c>
      <c r="EJ64" s="12">
        <f t="shared" si="15"/>
        <v>12172.009435797065</v>
      </c>
      <c r="EK64" s="138">
        <f t="shared" si="149"/>
        <v>0.75</v>
      </c>
      <c r="EL64" s="116">
        <f t="shared" si="150"/>
        <v>2175570</v>
      </c>
      <c r="EM64" s="2">
        <f t="shared" si="16"/>
        <v>6.2992125984251982E-2</v>
      </c>
      <c r="EN64" s="8">
        <f t="shared" si="151"/>
        <v>10.83047278752</v>
      </c>
      <c r="EO64" s="116">
        <f t="shared" si="152"/>
        <v>2610.6840000000002</v>
      </c>
      <c r="EP64" s="217">
        <f t="shared" si="153"/>
        <v>1.6563083913104013</v>
      </c>
      <c r="EQ64" s="207">
        <f t="shared" si="154"/>
        <v>2</v>
      </c>
      <c r="ER64" s="144">
        <f t="shared" si="155"/>
        <v>51483.789624843281</v>
      </c>
      <c r="ES64" s="138">
        <f t="shared" si="17"/>
        <v>0.75</v>
      </c>
      <c r="ET64" s="116">
        <f t="shared" si="156"/>
        <v>2175570</v>
      </c>
      <c r="EU64" s="2">
        <f t="shared" si="18"/>
        <v>6.2992125984251982E-2</v>
      </c>
      <c r="EV64" s="8">
        <f t="shared" si="157"/>
        <v>10.83047278752</v>
      </c>
      <c r="EW64" s="116">
        <f t="shared" si="158"/>
        <v>2610.6840000000002</v>
      </c>
      <c r="EX64" s="217">
        <f t="shared" si="159"/>
        <v>1.6563083913104013</v>
      </c>
      <c r="EY64" s="207">
        <f t="shared" si="160"/>
        <v>2</v>
      </c>
      <c r="EZ64" s="144">
        <f t="shared" si="161"/>
        <v>51483.789624843281</v>
      </c>
      <c r="FA64" s="138">
        <f t="shared" si="19"/>
        <v>0.75</v>
      </c>
      <c r="FB64" s="116">
        <f t="shared" si="162"/>
        <v>2175570</v>
      </c>
      <c r="FC64" s="2">
        <f t="shared" si="20"/>
        <v>6.2992125984251982E-2</v>
      </c>
      <c r="FD64" s="8">
        <f t="shared" si="163"/>
        <v>10.83047278752</v>
      </c>
      <c r="FE64" s="116">
        <f t="shared" si="164"/>
        <v>2610.6840000000002</v>
      </c>
      <c r="FF64" s="217">
        <f t="shared" si="165"/>
        <v>1.6563083913104013</v>
      </c>
      <c r="FG64" s="207">
        <f t="shared" si="166"/>
        <v>2</v>
      </c>
      <c r="FH64" s="144">
        <f t="shared" si="167"/>
        <v>51483.789624843281</v>
      </c>
      <c r="FI64" s="128">
        <f t="shared" si="168"/>
        <v>0.75</v>
      </c>
      <c r="FJ64" s="2">
        <f t="shared" si="169"/>
        <v>6.2992125984251982E-2</v>
      </c>
      <c r="FK64" s="127">
        <f t="shared" si="170"/>
        <v>6.2992125984251982E-2</v>
      </c>
      <c r="FL64" s="216">
        <f t="shared" si="171"/>
        <v>0.75</v>
      </c>
      <c r="FM64" s="138">
        <f t="shared" si="172"/>
        <v>0</v>
      </c>
      <c r="FN64" s="138">
        <f t="shared" si="173"/>
        <v>0</v>
      </c>
      <c r="FO64" s="238">
        <f t="shared" si="174"/>
        <v>0</v>
      </c>
      <c r="FP64" s="216">
        <f t="shared" si="21"/>
        <v>0.75</v>
      </c>
      <c r="FQ64" s="138">
        <f t="shared" si="22"/>
        <v>0</v>
      </c>
      <c r="FR64" s="138">
        <f t="shared" si="23"/>
        <v>0</v>
      </c>
      <c r="FS64" s="238">
        <f t="shared" si="24"/>
        <v>0</v>
      </c>
      <c r="FT64" s="216">
        <f t="shared" si="175"/>
        <v>6.2992125984251982E-2</v>
      </c>
      <c r="FU64" s="138">
        <f t="shared" si="176"/>
        <v>0</v>
      </c>
      <c r="FV64" s="138">
        <f t="shared" si="177"/>
        <v>0</v>
      </c>
      <c r="FW64" s="238">
        <f t="shared" si="178"/>
        <v>0</v>
      </c>
      <c r="FX64" s="216">
        <f t="shared" si="25"/>
        <v>6.2992125984251982E-2</v>
      </c>
      <c r="FY64" s="138">
        <f t="shared" si="26"/>
        <v>0</v>
      </c>
      <c r="FZ64" s="138">
        <f t="shared" si="27"/>
        <v>0</v>
      </c>
      <c r="GA64" s="238">
        <f t="shared" si="28"/>
        <v>0</v>
      </c>
      <c r="GB64" s="216">
        <f t="shared" si="179"/>
        <v>6.2992125984251982E-2</v>
      </c>
      <c r="GC64" s="138">
        <f t="shared" si="180"/>
        <v>0</v>
      </c>
      <c r="GD64" s="138">
        <f t="shared" si="181"/>
        <v>0</v>
      </c>
      <c r="GE64" s="238">
        <f t="shared" si="182"/>
        <v>0</v>
      </c>
      <c r="GF64" s="216">
        <f t="shared" si="29"/>
        <v>6.2992125984251982E-2</v>
      </c>
      <c r="GG64" s="138">
        <f t="shared" si="30"/>
        <v>0</v>
      </c>
      <c r="GH64" s="138">
        <f t="shared" si="31"/>
        <v>0</v>
      </c>
      <c r="GI64" s="238">
        <f t="shared" si="32"/>
        <v>0</v>
      </c>
      <c r="GJ64" s="216">
        <f t="shared" si="183"/>
        <v>0.75</v>
      </c>
      <c r="GK64" s="216">
        <f t="shared" si="184"/>
        <v>6.2992125984251982E-2</v>
      </c>
      <c r="GL64" s="17">
        <f t="shared" si="185"/>
        <v>6.2992125984251982E-2</v>
      </c>
      <c r="GM64" s="216">
        <f t="shared" si="186"/>
        <v>2.9827305722191493E-2</v>
      </c>
      <c r="GN64" s="2">
        <f t="shared" si="187"/>
        <v>4</v>
      </c>
      <c r="GO64" s="2">
        <f t="shared" si="188"/>
        <v>2</v>
      </c>
      <c r="GP64" s="142">
        <f t="shared" si="189"/>
        <v>2</v>
      </c>
      <c r="GQ64" s="2">
        <f t="shared" si="190"/>
        <v>1.5748031496062995E-2</v>
      </c>
      <c r="GR64" s="8">
        <f t="shared" si="33"/>
        <v>0.31389611095544884</v>
      </c>
      <c r="GS64" s="138">
        <f t="shared" si="191"/>
        <v>0.5</v>
      </c>
      <c r="GT64" s="12">
        <f t="shared" si="34"/>
        <v>26018.60285644227</v>
      </c>
      <c r="GU64" s="138">
        <f t="shared" si="192"/>
        <v>0.5</v>
      </c>
      <c r="GV64" s="116">
        <f t="shared" si="193"/>
        <v>2175570</v>
      </c>
      <c r="GW64" s="2">
        <f t="shared" si="35"/>
        <v>6.2992125984251982E-2</v>
      </c>
      <c r="GX64" s="8">
        <f t="shared" si="36"/>
        <v>5.4152363937599999</v>
      </c>
      <c r="GY64" s="116">
        <f t="shared" si="194"/>
        <v>2610.6840000000002</v>
      </c>
      <c r="GZ64" s="217">
        <f t="shared" si="195"/>
        <v>4.4168223768277368</v>
      </c>
      <c r="HA64" s="207">
        <f t="shared" si="196"/>
        <v>2</v>
      </c>
      <c r="HB64" s="144">
        <f t="shared" si="197"/>
        <v>91526.737110832502</v>
      </c>
      <c r="HC64" s="138">
        <f t="shared" si="37"/>
        <v>0.5</v>
      </c>
      <c r="HD64" s="116">
        <f t="shared" si="198"/>
        <v>2175570</v>
      </c>
      <c r="HE64" s="2">
        <f t="shared" si="38"/>
        <v>6.2992125984251982E-2</v>
      </c>
      <c r="HF64" s="8">
        <f t="shared" si="199"/>
        <v>5.4152363937599999</v>
      </c>
      <c r="HG64" s="116">
        <f t="shared" si="200"/>
        <v>2610.6840000000002</v>
      </c>
      <c r="HH64" s="217">
        <f t="shared" si="201"/>
        <v>4.4168223768277368</v>
      </c>
      <c r="HI64" s="207">
        <f t="shared" si="202"/>
        <v>2</v>
      </c>
      <c r="HJ64" s="144">
        <f t="shared" si="203"/>
        <v>91526.737110832502</v>
      </c>
      <c r="HK64" s="138">
        <f t="shared" si="39"/>
        <v>0.5</v>
      </c>
      <c r="HL64" s="116">
        <f t="shared" si="204"/>
        <v>2175570</v>
      </c>
      <c r="HM64" s="2">
        <f t="shared" si="40"/>
        <v>6.2992125984251982E-2</v>
      </c>
      <c r="HN64" s="8">
        <f t="shared" si="205"/>
        <v>5.4152363937599999</v>
      </c>
      <c r="HO64" s="116">
        <f t="shared" si="206"/>
        <v>2610.6840000000002</v>
      </c>
      <c r="HP64" s="217">
        <f t="shared" si="207"/>
        <v>4.4168223768277368</v>
      </c>
      <c r="HQ64" s="207">
        <f t="shared" si="208"/>
        <v>2</v>
      </c>
      <c r="HR64" s="144">
        <f t="shared" si="209"/>
        <v>91526.737110832502</v>
      </c>
      <c r="HS64" s="128">
        <f t="shared" si="210"/>
        <v>0.5</v>
      </c>
      <c r="HT64" s="2">
        <f t="shared" si="211"/>
        <v>1.5748031496062995E-2</v>
      </c>
      <c r="HU64" s="127">
        <f t="shared" si="212"/>
        <v>1.5748031496062995E-2</v>
      </c>
      <c r="HV64" s="216">
        <f t="shared" si="213"/>
        <v>0.5</v>
      </c>
      <c r="HW64" s="138">
        <f t="shared" si="214"/>
        <v>0</v>
      </c>
      <c r="HX64" s="138">
        <f t="shared" si="215"/>
        <v>0</v>
      </c>
      <c r="HY64" s="238">
        <f t="shared" si="216"/>
        <v>0</v>
      </c>
      <c r="HZ64" s="138">
        <f t="shared" si="217"/>
        <v>0.5</v>
      </c>
      <c r="IA64" s="138">
        <f t="shared" si="218"/>
        <v>0</v>
      </c>
      <c r="IB64" s="138">
        <f t="shared" si="219"/>
        <v>0</v>
      </c>
      <c r="IC64" s="138">
        <f t="shared" si="220"/>
        <v>0</v>
      </c>
      <c r="ID64" s="216">
        <f t="shared" si="221"/>
        <v>1.5748031496062995E-2</v>
      </c>
      <c r="IE64" s="138">
        <f t="shared" si="222"/>
        <v>0</v>
      </c>
      <c r="IF64" s="138">
        <f t="shared" si="223"/>
        <v>0</v>
      </c>
      <c r="IG64" s="238">
        <f t="shared" si="224"/>
        <v>0</v>
      </c>
      <c r="IH64" s="138">
        <f t="shared" si="225"/>
        <v>1.5748031496062995E-2</v>
      </c>
      <c r="II64" s="138">
        <f t="shared" si="226"/>
        <v>0</v>
      </c>
      <c r="IJ64" s="138">
        <f t="shared" si="227"/>
        <v>0</v>
      </c>
      <c r="IK64" s="138">
        <f t="shared" si="228"/>
        <v>0</v>
      </c>
      <c r="IL64" s="216">
        <f t="shared" si="229"/>
        <v>1.5748031496062995E-2</v>
      </c>
      <c r="IM64" s="138">
        <f t="shared" si="230"/>
        <v>0</v>
      </c>
      <c r="IN64" s="138">
        <f t="shared" si="231"/>
        <v>0</v>
      </c>
      <c r="IO64" s="238">
        <f t="shared" si="232"/>
        <v>0</v>
      </c>
      <c r="IP64" s="138">
        <f t="shared" si="233"/>
        <v>1.5748031496062995E-2</v>
      </c>
      <c r="IQ64" s="138">
        <f t="shared" si="234"/>
        <v>0</v>
      </c>
      <c r="IR64" s="138">
        <f t="shared" si="235"/>
        <v>0</v>
      </c>
      <c r="IS64" s="138">
        <f t="shared" si="236"/>
        <v>0</v>
      </c>
      <c r="IT64" s="17">
        <f t="shared" si="237"/>
        <v>0.5</v>
      </c>
      <c r="IU64" s="17">
        <f t="shared" si="238"/>
        <v>1.5748031496062995E-2</v>
      </c>
      <c r="IV64" s="17">
        <f t="shared" si="239"/>
        <v>1.5748031496062995E-2</v>
      </c>
      <c r="IW64" s="253">
        <f t="shared" si="240"/>
        <v>30.084646632000002</v>
      </c>
      <c r="IX64" s="116">
        <f t="shared" si="241"/>
        <v>3824.8489960511774</v>
      </c>
      <c r="IY64" s="8">
        <f t="shared" si="242"/>
        <v>9.8892591839324279E-2</v>
      </c>
      <c r="IZ64" s="8">
        <f t="shared" si="243"/>
        <v>9.8892591839324279E-2</v>
      </c>
      <c r="JA64" s="8">
        <f t="shared" si="244"/>
        <v>4.9446295919662139E-2</v>
      </c>
      <c r="JB64" s="134">
        <f t="shared" si="245"/>
        <v>0.22236523091450727</v>
      </c>
      <c r="JC64" s="170">
        <f t="shared" si="246"/>
        <v>5.3419963961966015E-2</v>
      </c>
      <c r="JD64" s="272">
        <f t="shared" si="247"/>
        <v>0.23112759238560421</v>
      </c>
      <c r="JE64" s="8"/>
      <c r="JF64" s="8"/>
    </row>
    <row r="65" spans="1:266" x14ac:dyDescent="0.25">
      <c r="A65" s="186">
        <v>5</v>
      </c>
      <c r="B65" s="187">
        <f>A65/100*'Inputs-Imperial'!$E$5</f>
        <v>1.20406828</v>
      </c>
      <c r="C65" s="188">
        <f>'Inputs-Imperial'!$E$10+('Inputs-Imperial'!$E$9-'Inputs-Imperial'!$E$10)*(100-A65)/100</f>
        <v>4.9963092150000001</v>
      </c>
      <c r="D65" s="187">
        <f t="shared" si="248"/>
        <v>0.24081365600000004</v>
      </c>
      <c r="E65" s="188">
        <f t="shared" si="249"/>
        <v>1.2053225563619874</v>
      </c>
      <c r="F65" s="423">
        <f>Loads!P25</f>
        <v>910.71809105521049</v>
      </c>
      <c r="G65" s="423">
        <f>Loads!M25</f>
        <v>9107.1809105521061</v>
      </c>
      <c r="H65" s="423">
        <f>Loads!N25</f>
        <v>93669.073947909186</v>
      </c>
      <c r="I65" s="423">
        <f>Loads!V25</f>
        <v>-21504.9646318667</v>
      </c>
      <c r="J65" s="423">
        <f>Loads!Q25</f>
        <v>9366.9073947909237</v>
      </c>
      <c r="K65" s="2">
        <v>5</v>
      </c>
      <c r="L65" s="12">
        <f t="shared" si="41"/>
        <v>14.44881936</v>
      </c>
      <c r="M65" s="11">
        <f t="shared" si="42"/>
        <v>59.955710580000002</v>
      </c>
      <c r="N65" s="11">
        <f t="shared" si="43"/>
        <v>2.8897638720000005</v>
      </c>
      <c r="O65" s="152">
        <f t="shared" si="44"/>
        <v>173.5664481161262</v>
      </c>
      <c r="P65" s="151">
        <f t="shared" si="45"/>
        <v>910.71809105521049</v>
      </c>
      <c r="Q65" s="12">
        <f t="shared" si="46"/>
        <v>9107.1809105521061</v>
      </c>
      <c r="R65" s="12">
        <f t="shared" si="47"/>
        <v>1124028.8873749103</v>
      </c>
      <c r="S65" s="12">
        <f t="shared" si="48"/>
        <v>-258059.5755824004</v>
      </c>
      <c r="T65" s="152">
        <f t="shared" si="49"/>
        <v>112402.88873749108</v>
      </c>
      <c r="U65" s="8">
        <f t="shared" si="0"/>
        <v>10.792027904399999</v>
      </c>
      <c r="V65" s="8">
        <f t="shared" si="1"/>
        <v>10.792027904399999</v>
      </c>
      <c r="W65" s="134">
        <f t="shared" si="2"/>
        <v>5.3960139521999997</v>
      </c>
      <c r="X65" s="311">
        <f t="shared" si="3"/>
        <v>14.988927645</v>
      </c>
      <c r="Y65" s="11">
        <f t="shared" si="4"/>
        <v>44.966782934999998</v>
      </c>
      <c r="Z65" s="11">
        <f t="shared" si="5"/>
        <v>29.977855289999997</v>
      </c>
      <c r="AA65" s="316">
        <f t="shared" si="50"/>
        <v>44.966782934999998</v>
      </c>
      <c r="AB65" s="170">
        <f t="shared" si="51"/>
        <v>8.0940209282999991</v>
      </c>
      <c r="AC65" s="11">
        <f t="shared" si="52"/>
        <v>44.966782934999998</v>
      </c>
      <c r="AD65" s="152">
        <f t="shared" si="53"/>
        <v>285.85515087023026</v>
      </c>
      <c r="AE65" s="151">
        <f t="shared" si="6"/>
        <v>20.253129790753853</v>
      </c>
      <c r="AF65" s="12">
        <f t="shared" si="54"/>
        <v>451.38171342511816</v>
      </c>
      <c r="AG65" s="216">
        <f t="shared" si="7"/>
        <v>3.089955111853207E-2</v>
      </c>
      <c r="AH65" s="2">
        <f t="shared" si="55"/>
        <v>4</v>
      </c>
      <c r="AI65" s="2">
        <f t="shared" si="56"/>
        <v>3</v>
      </c>
      <c r="AJ65" s="127">
        <f t="shared" si="57"/>
        <v>2</v>
      </c>
      <c r="AK65" s="2">
        <f t="shared" si="58"/>
        <v>1.5748031496062995E-2</v>
      </c>
      <c r="AL65" s="8">
        <f t="shared" si="8"/>
        <v>0.32518018947853117</v>
      </c>
      <c r="AM65" s="138">
        <f t="shared" si="59"/>
        <v>0.5</v>
      </c>
      <c r="AN65" s="12">
        <f t="shared" si="9"/>
        <v>26953.93128978708</v>
      </c>
      <c r="AO65" s="138">
        <f t="shared" si="60"/>
        <v>0.5</v>
      </c>
      <c r="AP65" s="116">
        <f t="shared" si="61"/>
        <v>2175570</v>
      </c>
      <c r="AQ65" s="2">
        <f t="shared" si="62"/>
        <v>1.5748031496062995E-2</v>
      </c>
      <c r="AR65" s="8">
        <f t="shared" si="63"/>
        <v>29.977855289999997</v>
      </c>
      <c r="AS65" s="116">
        <f t="shared" si="64"/>
        <v>2610.6840000000002</v>
      </c>
      <c r="AT65" s="217">
        <f t="shared" si="65"/>
        <v>3.6031609745037496E-2</v>
      </c>
      <c r="AU65" s="207">
        <f t="shared" si="66"/>
        <v>4.7047954931082829</v>
      </c>
      <c r="AV65" s="144">
        <f t="shared" si="67"/>
        <v>7025.7461960792662</v>
      </c>
      <c r="AW65" s="138">
        <f t="shared" si="68"/>
        <v>2</v>
      </c>
      <c r="AX65" s="116">
        <f t="shared" si="69"/>
        <v>2175570</v>
      </c>
      <c r="AY65" s="2">
        <f t="shared" si="70"/>
        <v>1.5748031496062995E-2</v>
      </c>
      <c r="AZ65" s="8">
        <f t="shared" si="71"/>
        <v>29.977855289999997</v>
      </c>
      <c r="BA65" s="116">
        <f t="shared" si="72"/>
        <v>2610.6840000000002</v>
      </c>
      <c r="BB65" s="217">
        <f t="shared" si="73"/>
        <v>0.14412643898014998</v>
      </c>
      <c r="BC65" s="207">
        <f t="shared" si="74"/>
        <v>3.4892240896729949</v>
      </c>
      <c r="BD65" s="144">
        <f t="shared" si="75"/>
        <v>83368.224310527687</v>
      </c>
      <c r="BE65" s="138">
        <f t="shared" si="76"/>
        <v>2</v>
      </c>
      <c r="BF65" s="116">
        <f t="shared" si="77"/>
        <v>2175570</v>
      </c>
      <c r="BG65" s="2">
        <f t="shared" si="78"/>
        <v>1.5748031496062995E-2</v>
      </c>
      <c r="BH65" s="8">
        <f t="shared" si="79"/>
        <v>29.977855289999997</v>
      </c>
      <c r="BI65" s="116">
        <f t="shared" si="80"/>
        <v>2610.6840000000002</v>
      </c>
      <c r="BJ65" s="217">
        <f t="shared" si="81"/>
        <v>0.14412643898014998</v>
      </c>
      <c r="BK65" s="207">
        <f t="shared" si="82"/>
        <v>3.4892240896729949</v>
      </c>
      <c r="BL65" s="144">
        <f t="shared" si="83"/>
        <v>83368.224310527687</v>
      </c>
      <c r="BM65" s="216">
        <f t="shared" si="84"/>
        <v>2</v>
      </c>
      <c r="BN65" s="216">
        <f t="shared" si="85"/>
        <v>2.3622047244094495E-2</v>
      </c>
      <c r="BO65" s="238">
        <f t="shared" si="86"/>
        <v>1.5748031496062995E-2</v>
      </c>
      <c r="BP65" s="216">
        <f t="shared" si="87"/>
        <v>2</v>
      </c>
      <c r="BQ65" s="138">
        <f t="shared" si="88"/>
        <v>0</v>
      </c>
      <c r="BR65" s="138">
        <f t="shared" si="89"/>
        <v>0</v>
      </c>
      <c r="BS65" s="238">
        <f t="shared" si="90"/>
        <v>0</v>
      </c>
      <c r="BT65" s="138">
        <f t="shared" si="91"/>
        <v>2</v>
      </c>
      <c r="BU65" s="138">
        <f t="shared" si="92"/>
        <v>0</v>
      </c>
      <c r="BV65" s="138">
        <f t="shared" si="93"/>
        <v>0</v>
      </c>
      <c r="BW65" s="238">
        <f t="shared" si="94"/>
        <v>0</v>
      </c>
      <c r="BX65" s="216">
        <f t="shared" si="95"/>
        <v>2.3622047244094495E-2</v>
      </c>
      <c r="BY65" s="138">
        <f t="shared" si="96"/>
        <v>0</v>
      </c>
      <c r="BZ65" s="138">
        <f t="shared" si="97"/>
        <v>0</v>
      </c>
      <c r="CA65" s="238">
        <f t="shared" si="98"/>
        <v>0</v>
      </c>
      <c r="CB65" s="138">
        <f t="shared" si="99"/>
        <v>2.3622047244094495E-2</v>
      </c>
      <c r="CC65" s="138">
        <f t="shared" si="100"/>
        <v>0</v>
      </c>
      <c r="CD65" s="138">
        <f t="shared" si="101"/>
        <v>0</v>
      </c>
      <c r="CE65" s="238">
        <f t="shared" si="102"/>
        <v>0</v>
      </c>
      <c r="CF65" s="216">
        <f t="shared" si="103"/>
        <v>1.5748031496062995E-2</v>
      </c>
      <c r="CG65" s="138">
        <f t="shared" si="104"/>
        <v>0</v>
      </c>
      <c r="CH65" s="138">
        <f t="shared" si="105"/>
        <v>0</v>
      </c>
      <c r="CI65" s="238">
        <f t="shared" si="106"/>
        <v>0</v>
      </c>
      <c r="CJ65" s="138">
        <f t="shared" si="107"/>
        <v>2.3622047244094495E-2</v>
      </c>
      <c r="CK65" s="138">
        <f t="shared" si="108"/>
        <v>0</v>
      </c>
      <c r="CL65" s="138">
        <f t="shared" si="109"/>
        <v>0</v>
      </c>
      <c r="CM65" s="238">
        <f t="shared" si="110"/>
        <v>0</v>
      </c>
      <c r="CN65" s="17">
        <f t="shared" si="111"/>
        <v>2</v>
      </c>
      <c r="CO65" s="17">
        <f t="shared" si="112"/>
        <v>2.3622047244094495E-2</v>
      </c>
      <c r="CP65" s="17">
        <f t="shared" si="113"/>
        <v>2.3622047244094495E-2</v>
      </c>
      <c r="CQ65" s="17">
        <f>$U65-IF('Inputs-Imperial'!$E$13,0,2)*($CO65+$CN65+$CP65)</f>
        <v>10.792027904399999</v>
      </c>
      <c r="CR65" s="116">
        <f t="shared" si="114"/>
        <v>104153.63056248533</v>
      </c>
      <c r="CS65" s="8">
        <f t="shared" si="10"/>
        <v>2.6929226451641637</v>
      </c>
      <c r="CT65" s="8">
        <f t="shared" si="115"/>
        <v>1.6410126889101631</v>
      </c>
      <c r="CU65" s="8">
        <f t="shared" si="11"/>
        <v>2.6929226451641637</v>
      </c>
      <c r="CV65" s="8">
        <f t="shared" si="116"/>
        <v>1.6410126889101631</v>
      </c>
      <c r="CW65" s="216">
        <f t="shared" si="117"/>
        <v>9.1510152154898368</v>
      </c>
      <c r="CX65" s="116">
        <f t="shared" si="118"/>
        <v>122831.05873021358</v>
      </c>
      <c r="CY65" s="8">
        <f t="shared" si="119"/>
        <v>3.1758330247128401</v>
      </c>
      <c r="CZ65" s="8">
        <f t="shared" si="120"/>
        <v>1.7820867051613511</v>
      </c>
      <c r="DA65" s="8">
        <f t="shared" si="121"/>
        <v>3.1758330247128401</v>
      </c>
      <c r="DB65" s="8">
        <f t="shared" si="122"/>
        <v>1.7820867051613511</v>
      </c>
      <c r="DC65" s="216">
        <f t="shared" si="123"/>
        <v>9.0099411992386482</v>
      </c>
      <c r="DD65" s="116">
        <f t="shared" si="124"/>
        <v>124754.29778275271</v>
      </c>
      <c r="DE65" s="8">
        <f t="shared" si="125"/>
        <v>3.2255589341091482</v>
      </c>
      <c r="DF65" s="8">
        <f t="shared" si="126"/>
        <v>1.7959841129890732</v>
      </c>
      <c r="DG65" s="8">
        <f t="shared" si="127"/>
        <v>3.2255589341091482</v>
      </c>
      <c r="DH65" s="8">
        <f t="shared" si="128"/>
        <v>1.7959841129890732</v>
      </c>
      <c r="DI65" s="216">
        <f t="shared" si="129"/>
        <v>8.9960437914109246</v>
      </c>
      <c r="DJ65" s="116">
        <f t="shared" si="130"/>
        <v>124947.0226510113</v>
      </c>
      <c r="DK65" s="8">
        <f t="shared" si="131"/>
        <v>3.2305418920647853</v>
      </c>
      <c r="DL65" s="8">
        <f t="shared" si="132"/>
        <v>1.7973708276437517</v>
      </c>
      <c r="DM65" s="8">
        <f t="shared" si="133"/>
        <v>3.2305418920647853</v>
      </c>
      <c r="DN65" s="8">
        <f t="shared" si="134"/>
        <v>1.7973708276437517</v>
      </c>
      <c r="DO65" s="216">
        <f t="shared" si="135"/>
        <v>8.9946570767562477</v>
      </c>
      <c r="DP65" s="116">
        <f t="shared" si="136"/>
        <v>124966.28584980695</v>
      </c>
      <c r="DQ65" s="170">
        <f t="shared" si="137"/>
        <v>3.231039947715606</v>
      </c>
      <c r="DR65" s="8">
        <f t="shared" si="138"/>
        <v>1.7975093734708607</v>
      </c>
      <c r="DS65" s="8">
        <f t="shared" si="139"/>
        <v>3.231039947715606</v>
      </c>
      <c r="DT65" s="134">
        <f t="shared" si="140"/>
        <v>1.7975093734708607</v>
      </c>
      <c r="DU65" s="170">
        <f t="shared" si="141"/>
        <v>3.5859228878785925</v>
      </c>
      <c r="DV65" s="170">
        <f t="shared" si="141"/>
        <v>1.8936533177639967</v>
      </c>
      <c r="DW65" s="170">
        <f t="shared" si="141"/>
        <v>3.5859228878785925</v>
      </c>
      <c r="DX65" s="272">
        <f t="shared" si="141"/>
        <v>1.8936533177639967</v>
      </c>
      <c r="DY65" s="272">
        <f t="shared" si="142"/>
        <v>7.0047212688720055</v>
      </c>
      <c r="DZ65" s="22">
        <f t="shared" si="12"/>
        <v>843.88040794807739</v>
      </c>
      <c r="EA65" s="216">
        <f t="shared" si="13"/>
        <v>5.5287530551224102E-2</v>
      </c>
      <c r="EB65" s="12">
        <f t="shared" si="143"/>
        <v>8</v>
      </c>
      <c r="EC65" s="7">
        <f>ROUND(MAX(DV65,DX65)/'Inputs-Imperial'!$E$21,0)</f>
        <v>16</v>
      </c>
      <c r="ED65" s="12">
        <f t="shared" si="144"/>
        <v>16</v>
      </c>
      <c r="EE65" s="2">
        <f t="shared" si="145"/>
        <v>8</v>
      </c>
      <c r="EF65" s="127">
        <f t="shared" si="146"/>
        <v>8</v>
      </c>
      <c r="EG65" s="2">
        <f t="shared" si="147"/>
        <v>6.2992125984251982E-2</v>
      </c>
      <c r="EH65" s="8">
        <f t="shared" si="14"/>
        <v>0.58183400760357795</v>
      </c>
      <c r="EI65" s="138">
        <f t="shared" si="148"/>
        <v>0.75</v>
      </c>
      <c r="EJ65" s="12">
        <f t="shared" si="15"/>
        <v>12056.941328558154</v>
      </c>
      <c r="EK65" s="138">
        <f t="shared" si="149"/>
        <v>0.75</v>
      </c>
      <c r="EL65" s="116">
        <f t="shared" si="150"/>
        <v>2175570</v>
      </c>
      <c r="EM65" s="2">
        <f t="shared" si="16"/>
        <v>6.2992125984251982E-2</v>
      </c>
      <c r="EN65" s="8">
        <f t="shared" si="151"/>
        <v>10.792027904399999</v>
      </c>
      <c r="EO65" s="116">
        <f t="shared" si="152"/>
        <v>2610.6840000000002</v>
      </c>
      <c r="EP65" s="217">
        <f t="shared" si="153"/>
        <v>1.6681300807887729</v>
      </c>
      <c r="EQ65" s="207">
        <f t="shared" si="154"/>
        <v>2</v>
      </c>
      <c r="ER65" s="144">
        <f t="shared" si="155"/>
        <v>51851.248594023033</v>
      </c>
      <c r="ES65" s="138">
        <f t="shared" si="17"/>
        <v>0.75</v>
      </c>
      <c r="ET65" s="116">
        <f t="shared" si="156"/>
        <v>2175570</v>
      </c>
      <c r="EU65" s="2">
        <f t="shared" si="18"/>
        <v>6.2992125984251982E-2</v>
      </c>
      <c r="EV65" s="8">
        <f t="shared" si="157"/>
        <v>10.792027904399999</v>
      </c>
      <c r="EW65" s="116">
        <f t="shared" si="158"/>
        <v>2610.6840000000002</v>
      </c>
      <c r="EX65" s="217">
        <f t="shared" si="159"/>
        <v>1.6681300807887729</v>
      </c>
      <c r="EY65" s="207">
        <f t="shared" si="160"/>
        <v>2</v>
      </c>
      <c r="EZ65" s="144">
        <f t="shared" si="161"/>
        <v>51851.248594023033</v>
      </c>
      <c r="FA65" s="138">
        <f t="shared" si="19"/>
        <v>0.75</v>
      </c>
      <c r="FB65" s="116">
        <f t="shared" si="162"/>
        <v>2175570</v>
      </c>
      <c r="FC65" s="2">
        <f t="shared" si="20"/>
        <v>6.2992125984251982E-2</v>
      </c>
      <c r="FD65" s="8">
        <f t="shared" si="163"/>
        <v>10.792027904399999</v>
      </c>
      <c r="FE65" s="116">
        <f t="shared" si="164"/>
        <v>2610.6840000000002</v>
      </c>
      <c r="FF65" s="217">
        <f t="shared" si="165"/>
        <v>1.6681300807887729</v>
      </c>
      <c r="FG65" s="207">
        <f t="shared" si="166"/>
        <v>2</v>
      </c>
      <c r="FH65" s="144">
        <f t="shared" si="167"/>
        <v>51851.248594023033</v>
      </c>
      <c r="FI65" s="128">
        <f t="shared" si="168"/>
        <v>0.75</v>
      </c>
      <c r="FJ65" s="2">
        <f t="shared" si="169"/>
        <v>6.2992125984251982E-2</v>
      </c>
      <c r="FK65" s="127">
        <f t="shared" si="170"/>
        <v>6.2992125984251982E-2</v>
      </c>
      <c r="FL65" s="216">
        <f t="shared" si="171"/>
        <v>0.75</v>
      </c>
      <c r="FM65" s="138">
        <f t="shared" si="172"/>
        <v>0</v>
      </c>
      <c r="FN65" s="138">
        <f t="shared" si="173"/>
        <v>0</v>
      </c>
      <c r="FO65" s="238">
        <f t="shared" si="174"/>
        <v>0</v>
      </c>
      <c r="FP65" s="216">
        <f t="shared" si="21"/>
        <v>0.75</v>
      </c>
      <c r="FQ65" s="138">
        <f t="shared" si="22"/>
        <v>0</v>
      </c>
      <c r="FR65" s="138">
        <f t="shared" si="23"/>
        <v>0</v>
      </c>
      <c r="FS65" s="238">
        <f t="shared" si="24"/>
        <v>0</v>
      </c>
      <c r="FT65" s="216">
        <f t="shared" si="175"/>
        <v>6.2992125984251982E-2</v>
      </c>
      <c r="FU65" s="138">
        <f t="shared" si="176"/>
        <v>0</v>
      </c>
      <c r="FV65" s="138">
        <f t="shared" si="177"/>
        <v>0</v>
      </c>
      <c r="FW65" s="238">
        <f t="shared" si="178"/>
        <v>0</v>
      </c>
      <c r="FX65" s="216">
        <f t="shared" si="25"/>
        <v>6.2992125984251982E-2</v>
      </c>
      <c r="FY65" s="138">
        <f t="shared" si="26"/>
        <v>0</v>
      </c>
      <c r="FZ65" s="138">
        <f t="shared" si="27"/>
        <v>0</v>
      </c>
      <c r="GA65" s="238">
        <f t="shared" si="28"/>
        <v>0</v>
      </c>
      <c r="GB65" s="216">
        <f t="shared" si="179"/>
        <v>6.2992125984251982E-2</v>
      </c>
      <c r="GC65" s="138">
        <f t="shared" si="180"/>
        <v>0</v>
      </c>
      <c r="GD65" s="138">
        <f t="shared" si="181"/>
        <v>0</v>
      </c>
      <c r="GE65" s="238">
        <f t="shared" si="182"/>
        <v>0</v>
      </c>
      <c r="GF65" s="216">
        <f t="shared" si="29"/>
        <v>6.2992125984251982E-2</v>
      </c>
      <c r="GG65" s="138">
        <f t="shared" si="30"/>
        <v>0</v>
      </c>
      <c r="GH65" s="138">
        <f t="shared" si="31"/>
        <v>0</v>
      </c>
      <c r="GI65" s="238">
        <f t="shared" si="32"/>
        <v>0</v>
      </c>
      <c r="GJ65" s="216">
        <f t="shared" si="183"/>
        <v>0.75</v>
      </c>
      <c r="GK65" s="216">
        <f t="shared" si="184"/>
        <v>6.2992125984251982E-2</v>
      </c>
      <c r="GL65" s="17">
        <f t="shared" si="185"/>
        <v>6.2992125984251982E-2</v>
      </c>
      <c r="GM65" s="216">
        <f t="shared" si="186"/>
        <v>2.9572650385302691E-2</v>
      </c>
      <c r="GN65" s="2">
        <f t="shared" si="187"/>
        <v>4</v>
      </c>
      <c r="GO65" s="2">
        <f t="shared" si="188"/>
        <v>2</v>
      </c>
      <c r="GP65" s="142">
        <f t="shared" si="189"/>
        <v>2</v>
      </c>
      <c r="GQ65" s="2">
        <f t="shared" si="190"/>
        <v>1.5748031496062995E-2</v>
      </c>
      <c r="GR65" s="8">
        <f t="shared" si="33"/>
        <v>0.31121617329604528</v>
      </c>
      <c r="GS65" s="138">
        <f t="shared" si="191"/>
        <v>0.5</v>
      </c>
      <c r="GT65" s="12">
        <f t="shared" si="34"/>
        <v>25796.464922245501</v>
      </c>
      <c r="GU65" s="138">
        <f t="shared" si="192"/>
        <v>0.5</v>
      </c>
      <c r="GV65" s="116">
        <f t="shared" si="193"/>
        <v>2175570</v>
      </c>
      <c r="GW65" s="2">
        <f t="shared" si="35"/>
        <v>6.2992125984251982E-2</v>
      </c>
      <c r="GX65" s="8">
        <f t="shared" si="36"/>
        <v>5.3960139521999997</v>
      </c>
      <c r="GY65" s="116">
        <f t="shared" si="194"/>
        <v>2610.6840000000002</v>
      </c>
      <c r="GZ65" s="217">
        <f t="shared" si="195"/>
        <v>4.4483468821033947</v>
      </c>
      <c r="HA65" s="207">
        <f t="shared" si="196"/>
        <v>2</v>
      </c>
      <c r="HB65" s="144">
        <f t="shared" si="197"/>
        <v>92179.997500485391</v>
      </c>
      <c r="HC65" s="138">
        <f t="shared" si="37"/>
        <v>0.5</v>
      </c>
      <c r="HD65" s="116">
        <f t="shared" si="198"/>
        <v>2175570</v>
      </c>
      <c r="HE65" s="2">
        <f t="shared" si="38"/>
        <v>6.2992125984251982E-2</v>
      </c>
      <c r="HF65" s="8">
        <f t="shared" si="199"/>
        <v>5.3960139521999997</v>
      </c>
      <c r="HG65" s="116">
        <f t="shared" si="200"/>
        <v>2610.6840000000002</v>
      </c>
      <c r="HH65" s="217">
        <f t="shared" si="201"/>
        <v>4.4483468821033947</v>
      </c>
      <c r="HI65" s="207">
        <f t="shared" si="202"/>
        <v>2</v>
      </c>
      <c r="HJ65" s="144">
        <f t="shared" si="203"/>
        <v>92179.997500485391</v>
      </c>
      <c r="HK65" s="138">
        <f t="shared" si="39"/>
        <v>0.5</v>
      </c>
      <c r="HL65" s="116">
        <f t="shared" si="204"/>
        <v>2175570</v>
      </c>
      <c r="HM65" s="2">
        <f t="shared" si="40"/>
        <v>6.2992125984251982E-2</v>
      </c>
      <c r="HN65" s="8">
        <f t="shared" si="205"/>
        <v>5.3960139521999997</v>
      </c>
      <c r="HO65" s="116">
        <f t="shared" si="206"/>
        <v>2610.6840000000002</v>
      </c>
      <c r="HP65" s="217">
        <f t="shared" si="207"/>
        <v>4.4483468821033947</v>
      </c>
      <c r="HQ65" s="207">
        <f t="shared" si="208"/>
        <v>2</v>
      </c>
      <c r="HR65" s="144">
        <f t="shared" si="209"/>
        <v>92179.997500485391</v>
      </c>
      <c r="HS65" s="128">
        <f t="shared" si="210"/>
        <v>0.5</v>
      </c>
      <c r="HT65" s="2">
        <f t="shared" si="211"/>
        <v>1.5748031496062995E-2</v>
      </c>
      <c r="HU65" s="127">
        <f t="shared" si="212"/>
        <v>1.5748031496062995E-2</v>
      </c>
      <c r="HV65" s="216">
        <f t="shared" si="213"/>
        <v>0.5</v>
      </c>
      <c r="HW65" s="138">
        <f t="shared" si="214"/>
        <v>0</v>
      </c>
      <c r="HX65" s="138">
        <f t="shared" si="215"/>
        <v>0</v>
      </c>
      <c r="HY65" s="238">
        <f t="shared" si="216"/>
        <v>0</v>
      </c>
      <c r="HZ65" s="138">
        <f t="shared" si="217"/>
        <v>0.5</v>
      </c>
      <c r="IA65" s="138">
        <f t="shared" si="218"/>
        <v>0</v>
      </c>
      <c r="IB65" s="138">
        <f t="shared" si="219"/>
        <v>0</v>
      </c>
      <c r="IC65" s="138">
        <f t="shared" si="220"/>
        <v>0</v>
      </c>
      <c r="ID65" s="216">
        <f t="shared" si="221"/>
        <v>1.5748031496062995E-2</v>
      </c>
      <c r="IE65" s="138">
        <f t="shared" si="222"/>
        <v>0</v>
      </c>
      <c r="IF65" s="138">
        <f t="shared" si="223"/>
        <v>0</v>
      </c>
      <c r="IG65" s="238">
        <f t="shared" si="224"/>
        <v>0</v>
      </c>
      <c r="IH65" s="138">
        <f t="shared" si="225"/>
        <v>1.5748031496062995E-2</v>
      </c>
      <c r="II65" s="138">
        <f t="shared" si="226"/>
        <v>0</v>
      </c>
      <c r="IJ65" s="138">
        <f t="shared" si="227"/>
        <v>0</v>
      </c>
      <c r="IK65" s="138">
        <f t="shared" si="228"/>
        <v>0</v>
      </c>
      <c r="IL65" s="216">
        <f t="shared" si="229"/>
        <v>1.5748031496062995E-2</v>
      </c>
      <c r="IM65" s="138">
        <f t="shared" si="230"/>
        <v>0</v>
      </c>
      <c r="IN65" s="138">
        <f t="shared" si="231"/>
        <v>0</v>
      </c>
      <c r="IO65" s="238">
        <f t="shared" si="232"/>
        <v>0</v>
      </c>
      <c r="IP65" s="138">
        <f t="shared" si="233"/>
        <v>1.5748031496062995E-2</v>
      </c>
      <c r="IQ65" s="138">
        <f t="shared" si="234"/>
        <v>0</v>
      </c>
      <c r="IR65" s="138">
        <f t="shared" si="235"/>
        <v>0</v>
      </c>
      <c r="IS65" s="138">
        <f t="shared" si="236"/>
        <v>0</v>
      </c>
      <c r="IT65" s="17">
        <f t="shared" si="237"/>
        <v>0.5</v>
      </c>
      <c r="IU65" s="17">
        <f t="shared" si="238"/>
        <v>1.5748031496062995E-2</v>
      </c>
      <c r="IV65" s="17">
        <f t="shared" si="239"/>
        <v>1.5748031496062995E-2</v>
      </c>
      <c r="IW65" s="253">
        <f t="shared" si="240"/>
        <v>29.977855289999997</v>
      </c>
      <c r="IX65" s="116">
        <f t="shared" si="241"/>
        <v>3749.5307002494737</v>
      </c>
      <c r="IY65" s="8">
        <f t="shared" si="242"/>
        <v>9.6945215225909931E-2</v>
      </c>
      <c r="IZ65" s="8">
        <f t="shared" si="243"/>
        <v>9.6945215225909931E-2</v>
      </c>
      <c r="JA65" s="8">
        <f t="shared" si="244"/>
        <v>4.8472607612954965E-2</v>
      </c>
      <c r="JB65" s="134">
        <f t="shared" si="245"/>
        <v>0.22016495546057044</v>
      </c>
      <c r="JC65" s="170">
        <f t="shared" si="246"/>
        <v>5.3419963961966015E-2</v>
      </c>
      <c r="JD65" s="272">
        <f t="shared" si="247"/>
        <v>0.23112759238560421</v>
      </c>
      <c r="JE65" s="8"/>
      <c r="JF65" s="8"/>
    </row>
    <row r="66" spans="1:266" x14ac:dyDescent="0.25">
      <c r="A66" s="186">
        <v>6</v>
      </c>
      <c r="B66" s="187">
        <f>A66/100*'Inputs-Imperial'!$E$5</f>
        <v>1.4448819359999998</v>
      </c>
      <c r="C66" s="188">
        <f>'Inputs-Imperial'!$E$10+('Inputs-Imperial'!$E$9-'Inputs-Imperial'!$E$10)*(100-A66)/100</f>
        <v>4.9785106580000003</v>
      </c>
      <c r="D66" s="187">
        <f t="shared" si="248"/>
        <v>0.24081365599999982</v>
      </c>
      <c r="E66" s="188">
        <f t="shared" si="249"/>
        <v>1.2010364207792921</v>
      </c>
      <c r="F66" s="423">
        <f>Loads!P26</f>
        <v>898.77488976470431</v>
      </c>
      <c r="G66" s="423">
        <f>Loads!M26</f>
        <v>8987.7488976470449</v>
      </c>
      <c r="H66" s="423">
        <f>Loads!N26</f>
        <v>91475.94041698573</v>
      </c>
      <c r="I66" s="423">
        <f>Loads!V26</f>
        <v>-21166.325206806516</v>
      </c>
      <c r="J66" s="423">
        <f>Loads!Q26</f>
        <v>9147.5940416985777</v>
      </c>
      <c r="K66" s="2">
        <v>6</v>
      </c>
      <c r="L66" s="12">
        <f t="shared" si="41"/>
        <v>17.338583231999998</v>
      </c>
      <c r="M66" s="11">
        <f t="shared" si="42"/>
        <v>59.742127896</v>
      </c>
      <c r="N66" s="11">
        <f t="shared" si="43"/>
        <v>2.8897638719999978</v>
      </c>
      <c r="O66" s="152">
        <f t="shared" si="44"/>
        <v>172.94924459221807</v>
      </c>
      <c r="P66" s="151">
        <f t="shared" si="45"/>
        <v>898.77488976470431</v>
      </c>
      <c r="Q66" s="12">
        <f t="shared" si="46"/>
        <v>8987.7488976470449</v>
      </c>
      <c r="R66" s="12">
        <f t="shared" si="47"/>
        <v>1097711.2850038288</v>
      </c>
      <c r="S66" s="12">
        <f t="shared" si="48"/>
        <v>-253995.90248167817</v>
      </c>
      <c r="T66" s="152">
        <f t="shared" si="49"/>
        <v>109771.12850038294</v>
      </c>
      <c r="U66" s="8">
        <f t="shared" si="0"/>
        <v>10.753583021279999</v>
      </c>
      <c r="V66" s="8">
        <f t="shared" si="1"/>
        <v>10.753583021279999</v>
      </c>
      <c r="W66" s="134">
        <f t="shared" si="2"/>
        <v>5.3767915106399995</v>
      </c>
      <c r="X66" s="311">
        <f t="shared" si="3"/>
        <v>14.935531974</v>
      </c>
      <c r="Y66" s="11">
        <f t="shared" si="4"/>
        <v>44.806595922</v>
      </c>
      <c r="Z66" s="11">
        <f t="shared" si="5"/>
        <v>29.871063948</v>
      </c>
      <c r="AA66" s="316">
        <f t="shared" si="50"/>
        <v>44.806595922</v>
      </c>
      <c r="AB66" s="170">
        <f t="shared" si="51"/>
        <v>8.0651872659599988</v>
      </c>
      <c r="AC66" s="11">
        <f t="shared" si="52"/>
        <v>44.806595922</v>
      </c>
      <c r="AD66" s="152">
        <f t="shared" si="53"/>
        <v>283.82215142107947</v>
      </c>
      <c r="AE66" s="151">
        <f t="shared" si="6"/>
        <v>20.058986211077166</v>
      </c>
      <c r="AF66" s="12">
        <f t="shared" si="54"/>
        <v>447.4560939129255</v>
      </c>
      <c r="AG66" s="216">
        <f t="shared" si="7"/>
        <v>3.0629641394760466E-2</v>
      </c>
      <c r="AH66" s="2">
        <f t="shared" si="55"/>
        <v>4</v>
      </c>
      <c r="AI66" s="2">
        <f t="shared" si="56"/>
        <v>3</v>
      </c>
      <c r="AJ66" s="127">
        <f t="shared" si="57"/>
        <v>2</v>
      </c>
      <c r="AK66" s="2">
        <f t="shared" si="58"/>
        <v>1.5748031496062995E-2</v>
      </c>
      <c r="AL66" s="8">
        <f t="shared" si="8"/>
        <v>0.32233971795253841</v>
      </c>
      <c r="AM66" s="138">
        <f t="shared" si="59"/>
        <v>0.5</v>
      </c>
      <c r="AN66" s="12">
        <f t="shared" si="9"/>
        <v>26718.486829086745</v>
      </c>
      <c r="AO66" s="138">
        <f t="shared" si="60"/>
        <v>0.5</v>
      </c>
      <c r="AP66" s="116">
        <f t="shared" si="61"/>
        <v>2175570</v>
      </c>
      <c r="AQ66" s="2">
        <f t="shared" si="62"/>
        <v>1.5748031496062995E-2</v>
      </c>
      <c r="AR66" s="8">
        <f t="shared" si="63"/>
        <v>29.871063948</v>
      </c>
      <c r="AS66" s="116">
        <f t="shared" si="64"/>
        <v>2610.6840000000002</v>
      </c>
      <c r="AT66" s="217">
        <f t="shared" si="65"/>
        <v>3.6289701801619077E-2</v>
      </c>
      <c r="AU66" s="207">
        <f t="shared" si="66"/>
        <v>4.700932184757689</v>
      </c>
      <c r="AV66" s="144">
        <f t="shared" si="67"/>
        <v>7070.2606911370076</v>
      </c>
      <c r="AW66" s="138">
        <f t="shared" si="68"/>
        <v>2</v>
      </c>
      <c r="AX66" s="116">
        <f t="shared" si="69"/>
        <v>2175570</v>
      </c>
      <c r="AY66" s="2">
        <f t="shared" si="70"/>
        <v>1.5748031496062995E-2</v>
      </c>
      <c r="AZ66" s="8">
        <f t="shared" si="71"/>
        <v>29.871063948</v>
      </c>
      <c r="BA66" s="116">
        <f t="shared" si="72"/>
        <v>2610.6840000000002</v>
      </c>
      <c r="BB66" s="217">
        <f t="shared" si="73"/>
        <v>0.14515880720647631</v>
      </c>
      <c r="BC66" s="207">
        <f t="shared" si="74"/>
        <v>3.4808790389322319</v>
      </c>
      <c r="BD66" s="144">
        <f t="shared" si="75"/>
        <v>83764.568463635951</v>
      </c>
      <c r="BE66" s="138">
        <f t="shared" si="76"/>
        <v>2</v>
      </c>
      <c r="BF66" s="116">
        <f t="shared" si="77"/>
        <v>2175570</v>
      </c>
      <c r="BG66" s="2">
        <f t="shared" si="78"/>
        <v>1.5748031496062995E-2</v>
      </c>
      <c r="BH66" s="8">
        <f t="shared" si="79"/>
        <v>29.871063948</v>
      </c>
      <c r="BI66" s="116">
        <f t="shared" si="80"/>
        <v>2610.6840000000002</v>
      </c>
      <c r="BJ66" s="217">
        <f t="shared" si="81"/>
        <v>0.14515880720647631</v>
      </c>
      <c r="BK66" s="207">
        <f t="shared" si="82"/>
        <v>3.4808790389322319</v>
      </c>
      <c r="BL66" s="144">
        <f t="shared" si="83"/>
        <v>83764.568463635951</v>
      </c>
      <c r="BM66" s="216">
        <f t="shared" si="84"/>
        <v>2</v>
      </c>
      <c r="BN66" s="216">
        <f t="shared" si="85"/>
        <v>2.3622047244094495E-2</v>
      </c>
      <c r="BO66" s="238">
        <f t="shared" si="86"/>
        <v>1.5748031496062995E-2</v>
      </c>
      <c r="BP66" s="216">
        <f t="shared" si="87"/>
        <v>2</v>
      </c>
      <c r="BQ66" s="138">
        <f t="shared" si="88"/>
        <v>0</v>
      </c>
      <c r="BR66" s="138">
        <f t="shared" si="89"/>
        <v>0</v>
      </c>
      <c r="BS66" s="238">
        <f t="shared" si="90"/>
        <v>0</v>
      </c>
      <c r="BT66" s="138">
        <f t="shared" si="91"/>
        <v>2</v>
      </c>
      <c r="BU66" s="138">
        <f t="shared" si="92"/>
        <v>0</v>
      </c>
      <c r="BV66" s="138">
        <f t="shared" si="93"/>
        <v>0</v>
      </c>
      <c r="BW66" s="238">
        <f t="shared" si="94"/>
        <v>0</v>
      </c>
      <c r="BX66" s="216">
        <f t="shared" si="95"/>
        <v>2.3622047244094495E-2</v>
      </c>
      <c r="BY66" s="138">
        <f t="shared" si="96"/>
        <v>0</v>
      </c>
      <c r="BZ66" s="138">
        <f t="shared" si="97"/>
        <v>0</v>
      </c>
      <c r="CA66" s="238">
        <f t="shared" si="98"/>
        <v>0</v>
      </c>
      <c r="CB66" s="138">
        <f t="shared" si="99"/>
        <v>2.3622047244094495E-2</v>
      </c>
      <c r="CC66" s="138">
        <f t="shared" si="100"/>
        <v>0</v>
      </c>
      <c r="CD66" s="138">
        <f t="shared" si="101"/>
        <v>0</v>
      </c>
      <c r="CE66" s="238">
        <f t="shared" si="102"/>
        <v>0</v>
      </c>
      <c r="CF66" s="216">
        <f t="shared" si="103"/>
        <v>1.5748031496062995E-2</v>
      </c>
      <c r="CG66" s="138">
        <f t="shared" si="104"/>
        <v>0</v>
      </c>
      <c r="CH66" s="138">
        <f t="shared" si="105"/>
        <v>0</v>
      </c>
      <c r="CI66" s="238">
        <f t="shared" si="106"/>
        <v>0</v>
      </c>
      <c r="CJ66" s="138">
        <f t="shared" si="107"/>
        <v>2.3622047244094495E-2</v>
      </c>
      <c r="CK66" s="138">
        <f t="shared" si="108"/>
        <v>0</v>
      </c>
      <c r="CL66" s="138">
        <f t="shared" si="109"/>
        <v>0</v>
      </c>
      <c r="CM66" s="238">
        <f t="shared" si="110"/>
        <v>0</v>
      </c>
      <c r="CN66" s="17">
        <f t="shared" si="111"/>
        <v>2</v>
      </c>
      <c r="CO66" s="17">
        <f t="shared" si="112"/>
        <v>2.3622047244094495E-2</v>
      </c>
      <c r="CP66" s="17">
        <f t="shared" si="113"/>
        <v>2.3622047244094495E-2</v>
      </c>
      <c r="CQ66" s="17">
        <f>$U66-IF('Inputs-Imperial'!$E$13,0,2)*($CO66+$CN66+$CP66)</f>
        <v>10.753583021279999</v>
      </c>
      <c r="CR66" s="116">
        <f t="shared" si="114"/>
        <v>102078.65441979619</v>
      </c>
      <c r="CS66" s="8">
        <f t="shared" si="10"/>
        <v>2.6392735288285532</v>
      </c>
      <c r="CT66" s="8">
        <f t="shared" si="115"/>
        <v>1.6245841094965052</v>
      </c>
      <c r="CU66" s="8">
        <f t="shared" si="11"/>
        <v>2.6392735288285532</v>
      </c>
      <c r="CV66" s="8">
        <f t="shared" si="116"/>
        <v>1.6245841094965052</v>
      </c>
      <c r="CW66" s="216">
        <f t="shared" si="117"/>
        <v>9.1289989117834924</v>
      </c>
      <c r="CX66" s="116">
        <f t="shared" si="118"/>
        <v>120244.43157583571</v>
      </c>
      <c r="CY66" s="8">
        <f t="shared" si="119"/>
        <v>3.1089550215073558</v>
      </c>
      <c r="CZ66" s="8">
        <f t="shared" si="120"/>
        <v>1.7632229074927979</v>
      </c>
      <c r="DA66" s="8">
        <f t="shared" si="121"/>
        <v>3.1089550215073558</v>
      </c>
      <c r="DB66" s="8">
        <f t="shared" si="122"/>
        <v>1.7632229074927979</v>
      </c>
      <c r="DC66" s="216">
        <f t="shared" si="123"/>
        <v>8.9903601137872027</v>
      </c>
      <c r="DD66" s="116">
        <f t="shared" si="124"/>
        <v>122098.70028681379</v>
      </c>
      <c r="DE66" s="8">
        <f t="shared" si="125"/>
        <v>3.1568976825076991</v>
      </c>
      <c r="DF66" s="8">
        <f t="shared" si="126"/>
        <v>1.7767660742224056</v>
      </c>
      <c r="DG66" s="8">
        <f t="shared" si="127"/>
        <v>3.1568976825076991</v>
      </c>
      <c r="DH66" s="8">
        <f t="shared" si="128"/>
        <v>1.7767660742224056</v>
      </c>
      <c r="DI66" s="216">
        <f t="shared" si="129"/>
        <v>8.9768169470575945</v>
      </c>
      <c r="DJ66" s="116">
        <f t="shared" si="130"/>
        <v>122282.90846051335</v>
      </c>
      <c r="DK66" s="8">
        <f t="shared" si="131"/>
        <v>3.161660438829307</v>
      </c>
      <c r="DL66" s="8">
        <f t="shared" si="132"/>
        <v>1.7781058570370063</v>
      </c>
      <c r="DM66" s="8">
        <f t="shared" si="133"/>
        <v>3.161660438829307</v>
      </c>
      <c r="DN66" s="8">
        <f t="shared" si="134"/>
        <v>1.7781058570370063</v>
      </c>
      <c r="DO66" s="216">
        <f t="shared" si="135"/>
        <v>8.975477164242994</v>
      </c>
      <c r="DP66" s="116">
        <f t="shared" si="136"/>
        <v>122301.16181198167</v>
      </c>
      <c r="DQ66" s="170">
        <f t="shared" si="137"/>
        <v>3.1621323845814975</v>
      </c>
      <c r="DR66" s="8">
        <f t="shared" si="138"/>
        <v>1.7782385623367574</v>
      </c>
      <c r="DS66" s="8">
        <f t="shared" si="139"/>
        <v>3.1621323845814975</v>
      </c>
      <c r="DT66" s="134">
        <f t="shared" si="140"/>
        <v>1.7782385623367574</v>
      </c>
      <c r="DU66" s="170">
        <f t="shared" si="141"/>
        <v>3.5859228878785925</v>
      </c>
      <c r="DV66" s="170">
        <f t="shared" si="141"/>
        <v>1.8936533177639967</v>
      </c>
      <c r="DW66" s="170">
        <f t="shared" si="141"/>
        <v>3.5859228878785925</v>
      </c>
      <c r="DX66" s="272">
        <f t="shared" si="141"/>
        <v>1.8936533177639967</v>
      </c>
      <c r="DY66" s="272">
        <f t="shared" si="142"/>
        <v>6.9662763857520051</v>
      </c>
      <c r="DZ66" s="22">
        <f t="shared" si="12"/>
        <v>835.79109212821538</v>
      </c>
      <c r="EA66" s="216">
        <f t="shared" si="13"/>
        <v>5.4757552261271152E-2</v>
      </c>
      <c r="EB66" s="12">
        <f t="shared" si="143"/>
        <v>7</v>
      </c>
      <c r="EC66" s="7">
        <f>ROUND(MAX(DV66,DX66)/'Inputs-Imperial'!$E$21,0)</f>
        <v>16</v>
      </c>
      <c r="ED66" s="12">
        <f t="shared" si="144"/>
        <v>16</v>
      </c>
      <c r="EE66" s="2">
        <f t="shared" si="145"/>
        <v>8</v>
      </c>
      <c r="EF66" s="127">
        <f t="shared" si="146"/>
        <v>8</v>
      </c>
      <c r="EG66" s="2">
        <f t="shared" si="147"/>
        <v>6.2992125984251982E-2</v>
      </c>
      <c r="EH66" s="8">
        <f t="shared" si="14"/>
        <v>0.57625663076449984</v>
      </c>
      <c r="EI66" s="138">
        <f t="shared" si="148"/>
        <v>0.75</v>
      </c>
      <c r="EJ66" s="12">
        <f t="shared" si="15"/>
        <v>11941.365228781875</v>
      </c>
      <c r="EK66" s="138">
        <f t="shared" si="149"/>
        <v>0.75</v>
      </c>
      <c r="EL66" s="116">
        <f t="shared" si="150"/>
        <v>2175570</v>
      </c>
      <c r="EM66" s="2">
        <f t="shared" si="16"/>
        <v>6.2992125984251982E-2</v>
      </c>
      <c r="EN66" s="8">
        <f t="shared" si="151"/>
        <v>10.753583021279999</v>
      </c>
      <c r="EO66" s="116">
        <f t="shared" si="152"/>
        <v>2610.6840000000002</v>
      </c>
      <c r="EP66" s="217">
        <f t="shared" si="153"/>
        <v>1.6800787871119949</v>
      </c>
      <c r="EQ66" s="207">
        <f t="shared" si="154"/>
        <v>2</v>
      </c>
      <c r="ER66" s="144">
        <f t="shared" si="155"/>
        <v>52222.655685758589</v>
      </c>
      <c r="ES66" s="138">
        <f t="shared" si="17"/>
        <v>0.75</v>
      </c>
      <c r="ET66" s="116">
        <f t="shared" si="156"/>
        <v>2175570</v>
      </c>
      <c r="EU66" s="2">
        <f t="shared" si="18"/>
        <v>6.2992125984251982E-2</v>
      </c>
      <c r="EV66" s="8">
        <f t="shared" si="157"/>
        <v>10.753583021279999</v>
      </c>
      <c r="EW66" s="116">
        <f t="shared" si="158"/>
        <v>2610.6840000000002</v>
      </c>
      <c r="EX66" s="217">
        <f t="shared" si="159"/>
        <v>1.6800787871119949</v>
      </c>
      <c r="EY66" s="207">
        <f t="shared" si="160"/>
        <v>2</v>
      </c>
      <c r="EZ66" s="144">
        <f t="shared" si="161"/>
        <v>52222.655685758589</v>
      </c>
      <c r="FA66" s="138">
        <f t="shared" si="19"/>
        <v>0.75</v>
      </c>
      <c r="FB66" s="116">
        <f t="shared" si="162"/>
        <v>2175570</v>
      </c>
      <c r="FC66" s="2">
        <f t="shared" si="20"/>
        <v>6.2992125984251982E-2</v>
      </c>
      <c r="FD66" s="8">
        <f t="shared" si="163"/>
        <v>10.753583021279999</v>
      </c>
      <c r="FE66" s="116">
        <f t="shared" si="164"/>
        <v>2610.6840000000002</v>
      </c>
      <c r="FF66" s="217">
        <f t="shared" si="165"/>
        <v>1.6800787871119949</v>
      </c>
      <c r="FG66" s="207">
        <f t="shared" si="166"/>
        <v>2</v>
      </c>
      <c r="FH66" s="144">
        <f t="shared" si="167"/>
        <v>52222.655685758589</v>
      </c>
      <c r="FI66" s="128">
        <f t="shared" si="168"/>
        <v>0.75</v>
      </c>
      <c r="FJ66" s="2">
        <f t="shared" si="169"/>
        <v>6.2992125984251982E-2</v>
      </c>
      <c r="FK66" s="127">
        <f t="shared" si="170"/>
        <v>6.2992125984251982E-2</v>
      </c>
      <c r="FL66" s="216">
        <f t="shared" si="171"/>
        <v>0.75</v>
      </c>
      <c r="FM66" s="138">
        <f t="shared" si="172"/>
        <v>0</v>
      </c>
      <c r="FN66" s="138">
        <f t="shared" si="173"/>
        <v>0</v>
      </c>
      <c r="FO66" s="238">
        <f t="shared" si="174"/>
        <v>0</v>
      </c>
      <c r="FP66" s="216">
        <f t="shared" si="21"/>
        <v>0.75</v>
      </c>
      <c r="FQ66" s="138">
        <f t="shared" si="22"/>
        <v>0</v>
      </c>
      <c r="FR66" s="138">
        <f t="shared" si="23"/>
        <v>0</v>
      </c>
      <c r="FS66" s="238">
        <f t="shared" si="24"/>
        <v>0</v>
      </c>
      <c r="FT66" s="216">
        <f t="shared" si="175"/>
        <v>6.2992125984251982E-2</v>
      </c>
      <c r="FU66" s="138">
        <f t="shared" si="176"/>
        <v>0</v>
      </c>
      <c r="FV66" s="138">
        <f t="shared" si="177"/>
        <v>0</v>
      </c>
      <c r="FW66" s="238">
        <f t="shared" si="178"/>
        <v>0</v>
      </c>
      <c r="FX66" s="216">
        <f t="shared" si="25"/>
        <v>6.2992125984251982E-2</v>
      </c>
      <c r="FY66" s="138">
        <f t="shared" si="26"/>
        <v>0</v>
      </c>
      <c r="FZ66" s="138">
        <f t="shared" si="27"/>
        <v>0</v>
      </c>
      <c r="GA66" s="238">
        <f t="shared" si="28"/>
        <v>0</v>
      </c>
      <c r="GB66" s="216">
        <f t="shared" si="179"/>
        <v>6.2992125984251982E-2</v>
      </c>
      <c r="GC66" s="138">
        <f t="shared" si="180"/>
        <v>0</v>
      </c>
      <c r="GD66" s="138">
        <f t="shared" si="181"/>
        <v>0</v>
      </c>
      <c r="GE66" s="238">
        <f t="shared" si="182"/>
        <v>0</v>
      </c>
      <c r="GF66" s="216">
        <f t="shared" si="29"/>
        <v>6.2992125984251982E-2</v>
      </c>
      <c r="GG66" s="138">
        <f t="shared" si="30"/>
        <v>0</v>
      </c>
      <c r="GH66" s="138">
        <f t="shared" si="31"/>
        <v>0</v>
      </c>
      <c r="GI66" s="238">
        <f t="shared" si="32"/>
        <v>0</v>
      </c>
      <c r="GJ66" s="216">
        <f t="shared" si="183"/>
        <v>0.75</v>
      </c>
      <c r="GK66" s="216">
        <f t="shared" si="184"/>
        <v>6.2992125984251982E-2</v>
      </c>
      <c r="GL66" s="17">
        <f t="shared" si="185"/>
        <v>6.2992125984251982E-2</v>
      </c>
      <c r="GM66" s="216">
        <f t="shared" si="186"/>
        <v>2.9315460140489958E-2</v>
      </c>
      <c r="GN66" s="2">
        <f t="shared" si="187"/>
        <v>4</v>
      </c>
      <c r="GO66" s="2">
        <f t="shared" si="188"/>
        <v>2</v>
      </c>
      <c r="GP66" s="142">
        <f t="shared" si="189"/>
        <v>2</v>
      </c>
      <c r="GQ66" s="2">
        <f t="shared" si="190"/>
        <v>1.5748031496062995E-2</v>
      </c>
      <c r="GR66" s="8">
        <f t="shared" si="33"/>
        <v>0.3085095588141904</v>
      </c>
      <c r="GS66" s="138">
        <f t="shared" si="191"/>
        <v>0.5</v>
      </c>
      <c r="GT66" s="12">
        <f t="shared" si="34"/>
        <v>25572.115767123687</v>
      </c>
      <c r="GU66" s="138">
        <f t="shared" si="192"/>
        <v>0.5</v>
      </c>
      <c r="GV66" s="116">
        <f t="shared" si="193"/>
        <v>2175570</v>
      </c>
      <c r="GW66" s="2">
        <f t="shared" si="35"/>
        <v>6.2992125984251982E-2</v>
      </c>
      <c r="GX66" s="8">
        <f t="shared" si="36"/>
        <v>5.3767915106399995</v>
      </c>
      <c r="GY66" s="116">
        <f t="shared" si="194"/>
        <v>2610.6840000000002</v>
      </c>
      <c r="GZ66" s="217">
        <f t="shared" si="195"/>
        <v>4.48021009896532</v>
      </c>
      <c r="HA66" s="207">
        <f t="shared" si="196"/>
        <v>2</v>
      </c>
      <c r="HB66" s="144">
        <f t="shared" si="197"/>
        <v>92840.276774681945</v>
      </c>
      <c r="HC66" s="138">
        <f t="shared" si="37"/>
        <v>0.5</v>
      </c>
      <c r="HD66" s="116">
        <f t="shared" si="198"/>
        <v>2175570</v>
      </c>
      <c r="HE66" s="2">
        <f t="shared" si="38"/>
        <v>6.2992125984251982E-2</v>
      </c>
      <c r="HF66" s="8">
        <f t="shared" si="199"/>
        <v>5.3767915106399995</v>
      </c>
      <c r="HG66" s="116">
        <f t="shared" si="200"/>
        <v>2610.6840000000002</v>
      </c>
      <c r="HH66" s="217">
        <f t="shared" si="201"/>
        <v>4.48021009896532</v>
      </c>
      <c r="HI66" s="207">
        <f t="shared" si="202"/>
        <v>2</v>
      </c>
      <c r="HJ66" s="144">
        <f t="shared" si="203"/>
        <v>92840.276774681945</v>
      </c>
      <c r="HK66" s="138">
        <f t="shared" si="39"/>
        <v>0.5</v>
      </c>
      <c r="HL66" s="116">
        <f t="shared" si="204"/>
        <v>2175570</v>
      </c>
      <c r="HM66" s="2">
        <f t="shared" si="40"/>
        <v>6.2992125984251982E-2</v>
      </c>
      <c r="HN66" s="8">
        <f t="shared" si="205"/>
        <v>5.3767915106399995</v>
      </c>
      <c r="HO66" s="116">
        <f t="shared" si="206"/>
        <v>2610.6840000000002</v>
      </c>
      <c r="HP66" s="217">
        <f t="shared" si="207"/>
        <v>4.48021009896532</v>
      </c>
      <c r="HQ66" s="207">
        <f t="shared" si="208"/>
        <v>2</v>
      </c>
      <c r="HR66" s="144">
        <f t="shared" si="209"/>
        <v>92840.276774681945</v>
      </c>
      <c r="HS66" s="128">
        <f t="shared" si="210"/>
        <v>0.5</v>
      </c>
      <c r="HT66" s="2">
        <f t="shared" si="211"/>
        <v>1.5748031496062995E-2</v>
      </c>
      <c r="HU66" s="127">
        <f t="shared" si="212"/>
        <v>1.5748031496062995E-2</v>
      </c>
      <c r="HV66" s="216">
        <f t="shared" si="213"/>
        <v>0.5</v>
      </c>
      <c r="HW66" s="138">
        <f t="shared" si="214"/>
        <v>0</v>
      </c>
      <c r="HX66" s="138">
        <f t="shared" si="215"/>
        <v>0</v>
      </c>
      <c r="HY66" s="238">
        <f t="shared" si="216"/>
        <v>0</v>
      </c>
      <c r="HZ66" s="138">
        <f t="shared" si="217"/>
        <v>0.5</v>
      </c>
      <c r="IA66" s="138">
        <f t="shared" si="218"/>
        <v>0</v>
      </c>
      <c r="IB66" s="138">
        <f t="shared" si="219"/>
        <v>0</v>
      </c>
      <c r="IC66" s="138">
        <f t="shared" si="220"/>
        <v>0</v>
      </c>
      <c r="ID66" s="216">
        <f t="shared" si="221"/>
        <v>1.5748031496062995E-2</v>
      </c>
      <c r="IE66" s="138">
        <f t="shared" si="222"/>
        <v>0</v>
      </c>
      <c r="IF66" s="138">
        <f t="shared" si="223"/>
        <v>0</v>
      </c>
      <c r="IG66" s="238">
        <f t="shared" si="224"/>
        <v>0</v>
      </c>
      <c r="IH66" s="138">
        <f t="shared" si="225"/>
        <v>1.5748031496062995E-2</v>
      </c>
      <c r="II66" s="138">
        <f t="shared" si="226"/>
        <v>0</v>
      </c>
      <c r="IJ66" s="138">
        <f t="shared" si="227"/>
        <v>0</v>
      </c>
      <c r="IK66" s="138">
        <f t="shared" si="228"/>
        <v>0</v>
      </c>
      <c r="IL66" s="216">
        <f t="shared" si="229"/>
        <v>1.5748031496062995E-2</v>
      </c>
      <c r="IM66" s="138">
        <f t="shared" si="230"/>
        <v>0</v>
      </c>
      <c r="IN66" s="138">
        <f t="shared" si="231"/>
        <v>0</v>
      </c>
      <c r="IO66" s="238">
        <f t="shared" si="232"/>
        <v>0</v>
      </c>
      <c r="IP66" s="138">
        <f t="shared" si="233"/>
        <v>1.5748031496062995E-2</v>
      </c>
      <c r="IQ66" s="138">
        <f t="shared" si="234"/>
        <v>0</v>
      </c>
      <c r="IR66" s="138">
        <f t="shared" si="235"/>
        <v>0</v>
      </c>
      <c r="IS66" s="138">
        <f t="shared" si="236"/>
        <v>0</v>
      </c>
      <c r="IT66" s="17">
        <f t="shared" si="237"/>
        <v>0.5</v>
      </c>
      <c r="IU66" s="17">
        <f t="shared" si="238"/>
        <v>1.5748031496062995E-2</v>
      </c>
      <c r="IV66" s="17">
        <f t="shared" si="239"/>
        <v>1.5748031496062995E-2</v>
      </c>
      <c r="IW66" s="253">
        <f t="shared" si="240"/>
        <v>29.871063948</v>
      </c>
      <c r="IX66" s="116">
        <f t="shared" si="241"/>
        <v>3674.8315591126643</v>
      </c>
      <c r="IY66" s="8">
        <f t="shared" si="242"/>
        <v>9.5013847037827948E-2</v>
      </c>
      <c r="IZ66" s="8">
        <f t="shared" si="243"/>
        <v>9.5013847037827948E-2</v>
      </c>
      <c r="JA66" s="8">
        <f t="shared" si="244"/>
        <v>4.7506923518913974E-2</v>
      </c>
      <c r="JB66" s="134">
        <f t="shared" si="245"/>
        <v>0.2179608302400089</v>
      </c>
      <c r="JC66" s="170">
        <f t="shared" si="246"/>
        <v>5.3419963961966015E-2</v>
      </c>
      <c r="JD66" s="272">
        <f t="shared" si="247"/>
        <v>0.23112759238560421</v>
      </c>
      <c r="JE66" s="8"/>
      <c r="JF66" s="8"/>
    </row>
    <row r="67" spans="1:266" x14ac:dyDescent="0.25">
      <c r="A67" s="186">
        <v>7</v>
      </c>
      <c r="B67" s="187">
        <f>A67/100*'Inputs-Imperial'!$E$5</f>
        <v>1.6856955920000001</v>
      </c>
      <c r="C67" s="188">
        <f>'Inputs-Imperial'!$E$10+('Inputs-Imperial'!$E$9-'Inputs-Imperial'!$E$10)*(100-A67)/100</f>
        <v>4.9607121010000004</v>
      </c>
      <c r="D67" s="187">
        <f t="shared" si="248"/>
        <v>0.24081365600000026</v>
      </c>
      <c r="E67" s="188">
        <f t="shared" si="249"/>
        <v>1.1967502851965997</v>
      </c>
      <c r="F67" s="423">
        <f>Loads!P27</f>
        <v>886.85600023891789</v>
      </c>
      <c r="G67" s="423">
        <f>Loads!M27</f>
        <v>8868.5600023891802</v>
      </c>
      <c r="H67" s="423">
        <f>Loads!N27</f>
        <v>89311.567745733366</v>
      </c>
      <c r="I67" s="423">
        <f>Loads!V27</f>
        <v>-20829.072551688692</v>
      </c>
      <c r="J67" s="423">
        <f>Loads!Q27</f>
        <v>8931.1567745733428</v>
      </c>
      <c r="K67" s="2">
        <v>7</v>
      </c>
      <c r="L67" s="12">
        <f t="shared" si="41"/>
        <v>20.228347104000001</v>
      </c>
      <c r="M67" s="11">
        <f t="shared" si="42"/>
        <v>59.528545212000004</v>
      </c>
      <c r="N67" s="11">
        <f t="shared" si="43"/>
        <v>2.8897638720000032</v>
      </c>
      <c r="O67" s="152">
        <f t="shared" si="44"/>
        <v>172.33204106831036</v>
      </c>
      <c r="P67" s="151">
        <f t="shared" si="45"/>
        <v>886.85600023891789</v>
      </c>
      <c r="Q67" s="12">
        <f t="shared" si="46"/>
        <v>8868.5600023891802</v>
      </c>
      <c r="R67" s="12">
        <f t="shared" si="47"/>
        <v>1071738.8129488004</v>
      </c>
      <c r="S67" s="12">
        <f t="shared" si="48"/>
        <v>-249948.87062026432</v>
      </c>
      <c r="T67" s="152">
        <f t="shared" si="49"/>
        <v>107173.88129488012</v>
      </c>
      <c r="U67" s="8">
        <f t="shared" si="0"/>
        <v>10.71513813816</v>
      </c>
      <c r="V67" s="8">
        <f t="shared" si="1"/>
        <v>10.71513813816</v>
      </c>
      <c r="W67" s="134">
        <f t="shared" si="2"/>
        <v>5.3575690690800002</v>
      </c>
      <c r="X67" s="311">
        <f t="shared" si="3"/>
        <v>14.882136303000001</v>
      </c>
      <c r="Y67" s="11">
        <f t="shared" si="4"/>
        <v>44.646408909000002</v>
      </c>
      <c r="Z67" s="11">
        <f t="shared" si="5"/>
        <v>29.764272605999999</v>
      </c>
      <c r="AA67" s="316">
        <f t="shared" si="50"/>
        <v>44.646408909000002</v>
      </c>
      <c r="AB67" s="170">
        <f t="shared" si="51"/>
        <v>8.0363536036200003</v>
      </c>
      <c r="AC67" s="11">
        <f t="shared" si="52"/>
        <v>44.646408909000002</v>
      </c>
      <c r="AD67" s="152">
        <f t="shared" si="53"/>
        <v>281.79640713182874</v>
      </c>
      <c r="AE67" s="151">
        <f t="shared" si="6"/>
        <v>19.863994034694734</v>
      </c>
      <c r="AF67" s="12">
        <f t="shared" si="54"/>
        <v>443.49194009300186</v>
      </c>
      <c r="AG67" s="216">
        <f t="shared" si="7"/>
        <v>3.0357151467074028E-2</v>
      </c>
      <c r="AH67" s="2">
        <f t="shared" si="55"/>
        <v>4</v>
      </c>
      <c r="AI67" s="2">
        <f t="shared" si="56"/>
        <v>3</v>
      </c>
      <c r="AJ67" s="127">
        <f t="shared" si="57"/>
        <v>2</v>
      </c>
      <c r="AK67" s="2">
        <f t="shared" si="58"/>
        <v>1.5748031496062995E-2</v>
      </c>
      <c r="AL67" s="8">
        <f t="shared" si="8"/>
        <v>0.31947209291888784</v>
      </c>
      <c r="AM67" s="138">
        <f t="shared" si="59"/>
        <v>0.5</v>
      </c>
      <c r="AN67" s="12">
        <f t="shared" si="9"/>
        <v>26480.791635397854</v>
      </c>
      <c r="AO67" s="138">
        <f t="shared" si="60"/>
        <v>0.5</v>
      </c>
      <c r="AP67" s="116">
        <f t="shared" si="61"/>
        <v>2175570</v>
      </c>
      <c r="AQ67" s="2">
        <f t="shared" si="62"/>
        <v>1.5748031496062995E-2</v>
      </c>
      <c r="AR67" s="8">
        <f t="shared" si="63"/>
        <v>29.764272605999999</v>
      </c>
      <c r="AS67" s="116">
        <f t="shared" si="64"/>
        <v>2610.6840000000002</v>
      </c>
      <c r="AT67" s="217">
        <f t="shared" si="65"/>
        <v>3.6550576867172536E-2</v>
      </c>
      <c r="AU67" s="207">
        <f t="shared" si="66"/>
        <v>4.6970326355121976</v>
      </c>
      <c r="AV67" s="144">
        <f t="shared" si="67"/>
        <v>7115.1794029552539</v>
      </c>
      <c r="AW67" s="138">
        <f t="shared" si="68"/>
        <v>2</v>
      </c>
      <c r="AX67" s="116">
        <f t="shared" si="69"/>
        <v>2175570</v>
      </c>
      <c r="AY67" s="2">
        <f t="shared" si="70"/>
        <v>1.5748031496062995E-2</v>
      </c>
      <c r="AZ67" s="8">
        <f t="shared" si="71"/>
        <v>29.764272605999999</v>
      </c>
      <c r="BA67" s="116">
        <f t="shared" si="72"/>
        <v>2610.6840000000002</v>
      </c>
      <c r="BB67" s="217">
        <f t="shared" si="73"/>
        <v>0.14620230746869015</v>
      </c>
      <c r="BC67" s="207">
        <f t="shared" si="74"/>
        <v>3.4724945993270357</v>
      </c>
      <c r="BD67" s="144">
        <f t="shared" si="75"/>
        <v>84163.509917144314</v>
      </c>
      <c r="BE67" s="138">
        <f t="shared" si="76"/>
        <v>2</v>
      </c>
      <c r="BF67" s="116">
        <f t="shared" si="77"/>
        <v>2175570</v>
      </c>
      <c r="BG67" s="2">
        <f t="shared" si="78"/>
        <v>1.5748031496062995E-2</v>
      </c>
      <c r="BH67" s="8">
        <f t="shared" si="79"/>
        <v>29.764272605999999</v>
      </c>
      <c r="BI67" s="116">
        <f t="shared" si="80"/>
        <v>2610.6840000000002</v>
      </c>
      <c r="BJ67" s="217">
        <f t="shared" si="81"/>
        <v>0.14620230746869015</v>
      </c>
      <c r="BK67" s="207">
        <f t="shared" si="82"/>
        <v>3.4724945993270357</v>
      </c>
      <c r="BL67" s="144">
        <f t="shared" si="83"/>
        <v>84163.509917144314</v>
      </c>
      <c r="BM67" s="216">
        <f t="shared" si="84"/>
        <v>2</v>
      </c>
      <c r="BN67" s="216">
        <f t="shared" si="85"/>
        <v>2.3622047244094495E-2</v>
      </c>
      <c r="BO67" s="238">
        <f t="shared" si="86"/>
        <v>1.5748031496062995E-2</v>
      </c>
      <c r="BP67" s="216">
        <f t="shared" si="87"/>
        <v>2</v>
      </c>
      <c r="BQ67" s="138">
        <f t="shared" si="88"/>
        <v>0</v>
      </c>
      <c r="BR67" s="138">
        <f t="shared" si="89"/>
        <v>0</v>
      </c>
      <c r="BS67" s="238">
        <f t="shared" si="90"/>
        <v>0</v>
      </c>
      <c r="BT67" s="138">
        <f t="shared" si="91"/>
        <v>2</v>
      </c>
      <c r="BU67" s="138">
        <f t="shared" si="92"/>
        <v>0</v>
      </c>
      <c r="BV67" s="138">
        <f t="shared" si="93"/>
        <v>0</v>
      </c>
      <c r="BW67" s="238">
        <f t="shared" si="94"/>
        <v>0</v>
      </c>
      <c r="BX67" s="216">
        <f t="shared" si="95"/>
        <v>2.3622047244094495E-2</v>
      </c>
      <c r="BY67" s="138">
        <f t="shared" si="96"/>
        <v>0</v>
      </c>
      <c r="BZ67" s="138">
        <f t="shared" si="97"/>
        <v>0</v>
      </c>
      <c r="CA67" s="238">
        <f t="shared" si="98"/>
        <v>0</v>
      </c>
      <c r="CB67" s="138">
        <f t="shared" si="99"/>
        <v>2.3622047244094495E-2</v>
      </c>
      <c r="CC67" s="138">
        <f t="shared" si="100"/>
        <v>0</v>
      </c>
      <c r="CD67" s="138">
        <f t="shared" si="101"/>
        <v>0</v>
      </c>
      <c r="CE67" s="238">
        <f t="shared" si="102"/>
        <v>0</v>
      </c>
      <c r="CF67" s="216">
        <f t="shared" si="103"/>
        <v>1.5748031496062995E-2</v>
      </c>
      <c r="CG67" s="138">
        <f t="shared" si="104"/>
        <v>0</v>
      </c>
      <c r="CH67" s="138">
        <f t="shared" si="105"/>
        <v>0</v>
      </c>
      <c r="CI67" s="238">
        <f t="shared" si="106"/>
        <v>0</v>
      </c>
      <c r="CJ67" s="138">
        <f t="shared" si="107"/>
        <v>2.3622047244094495E-2</v>
      </c>
      <c r="CK67" s="138">
        <f t="shared" si="108"/>
        <v>0</v>
      </c>
      <c r="CL67" s="138">
        <f t="shared" si="109"/>
        <v>0</v>
      </c>
      <c r="CM67" s="238">
        <f t="shared" si="110"/>
        <v>0</v>
      </c>
      <c r="CN67" s="17">
        <f t="shared" si="111"/>
        <v>2</v>
      </c>
      <c r="CO67" s="17">
        <f t="shared" si="112"/>
        <v>2.3622047244094495E-2</v>
      </c>
      <c r="CP67" s="17">
        <f t="shared" si="113"/>
        <v>2.3622047244094495E-2</v>
      </c>
      <c r="CQ67" s="17">
        <f>$U67-IF('Inputs-Imperial'!$E$13,0,2)*($CO67+$CN67+$CP67)</f>
        <v>10.71513813816</v>
      </c>
      <c r="CR67" s="116">
        <f t="shared" si="114"/>
        <v>100020.99824844992</v>
      </c>
      <c r="CS67" s="8">
        <f t="shared" si="10"/>
        <v>2.5860722254284201</v>
      </c>
      <c r="CT67" s="8">
        <f t="shared" si="115"/>
        <v>1.6081269307577746</v>
      </c>
      <c r="CU67" s="8">
        <f t="shared" si="11"/>
        <v>2.5860722254284201</v>
      </c>
      <c r="CV67" s="8">
        <f t="shared" si="116"/>
        <v>1.6081269307577746</v>
      </c>
      <c r="CW67" s="216">
        <f t="shared" si="117"/>
        <v>9.1070112074022269</v>
      </c>
      <c r="CX67" s="116">
        <f t="shared" si="118"/>
        <v>117682.8257417412</v>
      </c>
      <c r="CY67" s="8">
        <f t="shared" si="119"/>
        <v>3.0427239518714368</v>
      </c>
      <c r="CZ67" s="8">
        <f t="shared" si="120"/>
        <v>1.7443405492825754</v>
      </c>
      <c r="DA67" s="8">
        <f t="shared" si="121"/>
        <v>3.0427239518714368</v>
      </c>
      <c r="DB67" s="8">
        <f t="shared" si="122"/>
        <v>1.7443405492825754</v>
      </c>
      <c r="DC67" s="216">
        <f t="shared" si="123"/>
        <v>8.9707975888774243</v>
      </c>
      <c r="DD67" s="116">
        <f t="shared" si="124"/>
        <v>119469.73525270613</v>
      </c>
      <c r="DE67" s="8">
        <f t="shared" si="125"/>
        <v>3.0889250210127548</v>
      </c>
      <c r="DF67" s="8">
        <f t="shared" si="126"/>
        <v>1.7575337894369925</v>
      </c>
      <c r="DG67" s="8">
        <f t="shared" si="127"/>
        <v>3.0889250210127548</v>
      </c>
      <c r="DH67" s="8">
        <f t="shared" si="128"/>
        <v>1.7575337894369925</v>
      </c>
      <c r="DI67" s="216">
        <f t="shared" si="129"/>
        <v>8.9576043487230095</v>
      </c>
      <c r="DJ67" s="116">
        <f t="shared" si="130"/>
        <v>119645.69668692576</v>
      </c>
      <c r="DK67" s="8">
        <f t="shared" si="131"/>
        <v>3.0934745554680259</v>
      </c>
      <c r="DL67" s="8">
        <f t="shared" si="132"/>
        <v>1.7588276082288525</v>
      </c>
      <c r="DM67" s="8">
        <f t="shared" si="133"/>
        <v>3.0934745554680259</v>
      </c>
      <c r="DN67" s="8">
        <f t="shared" si="134"/>
        <v>1.7588276082288525</v>
      </c>
      <c r="DO67" s="216">
        <f t="shared" si="135"/>
        <v>8.9563105299311481</v>
      </c>
      <c r="DP67" s="116">
        <f t="shared" si="136"/>
        <v>119662.98057298818</v>
      </c>
      <c r="DQ67" s="170">
        <f t="shared" si="137"/>
        <v>3.0939214354080007</v>
      </c>
      <c r="DR67" s="8">
        <f t="shared" si="138"/>
        <v>1.7589546427944072</v>
      </c>
      <c r="DS67" s="8">
        <f t="shared" si="139"/>
        <v>3.0939214354080007</v>
      </c>
      <c r="DT67" s="134">
        <f t="shared" si="140"/>
        <v>1.7589546427944072</v>
      </c>
      <c r="DU67" s="170">
        <f t="shared" si="141"/>
        <v>3.5859228878785925</v>
      </c>
      <c r="DV67" s="170">
        <f t="shared" si="141"/>
        <v>1.8936533177639967</v>
      </c>
      <c r="DW67" s="170">
        <f t="shared" si="141"/>
        <v>3.5859228878785925</v>
      </c>
      <c r="DX67" s="272">
        <f t="shared" si="141"/>
        <v>1.8936533177639967</v>
      </c>
      <c r="DY67" s="272">
        <f t="shared" si="142"/>
        <v>6.9278315026320065</v>
      </c>
      <c r="DZ67" s="22">
        <f t="shared" si="12"/>
        <v>827.66641811228078</v>
      </c>
      <c r="EA67" s="216">
        <f t="shared" si="13"/>
        <v>5.4225257449537163E-2</v>
      </c>
      <c r="EB67" s="12">
        <f t="shared" si="143"/>
        <v>7</v>
      </c>
      <c r="EC67" s="7">
        <f>ROUND(MAX(DV67,DX67)/'Inputs-Imperial'!$E$21,0)</f>
        <v>16</v>
      </c>
      <c r="ED67" s="12">
        <f t="shared" si="144"/>
        <v>16</v>
      </c>
      <c r="EE67" s="2">
        <f t="shared" si="145"/>
        <v>8</v>
      </c>
      <c r="EF67" s="127">
        <f t="shared" si="146"/>
        <v>8</v>
      </c>
      <c r="EG67" s="2">
        <f t="shared" si="147"/>
        <v>6.2992125984251982E-2</v>
      </c>
      <c r="EH67" s="8">
        <f t="shared" si="14"/>
        <v>0.57065487535148085</v>
      </c>
      <c r="EI67" s="138">
        <f t="shared" si="148"/>
        <v>0.75</v>
      </c>
      <c r="EJ67" s="12">
        <f t="shared" si="15"/>
        <v>11825.28394877921</v>
      </c>
      <c r="EK67" s="138">
        <f t="shared" si="149"/>
        <v>0.75</v>
      </c>
      <c r="EL67" s="116">
        <f t="shared" si="150"/>
        <v>2175570</v>
      </c>
      <c r="EM67" s="2">
        <f t="shared" si="16"/>
        <v>6.2992125984251982E-2</v>
      </c>
      <c r="EN67" s="8">
        <f t="shared" si="151"/>
        <v>10.71513813816</v>
      </c>
      <c r="EO67" s="116">
        <f t="shared" si="152"/>
        <v>2610.6840000000002</v>
      </c>
      <c r="EP67" s="217">
        <f t="shared" si="153"/>
        <v>1.6921563364431722</v>
      </c>
      <c r="EQ67" s="207">
        <f t="shared" si="154"/>
        <v>2</v>
      </c>
      <c r="ER67" s="144">
        <f t="shared" si="155"/>
        <v>52598.067663511159</v>
      </c>
      <c r="ES67" s="138">
        <f t="shared" si="17"/>
        <v>0.75</v>
      </c>
      <c r="ET67" s="116">
        <f t="shared" si="156"/>
        <v>2175570</v>
      </c>
      <c r="EU67" s="2">
        <f t="shared" si="18"/>
        <v>6.2992125984251982E-2</v>
      </c>
      <c r="EV67" s="8">
        <f t="shared" si="157"/>
        <v>10.71513813816</v>
      </c>
      <c r="EW67" s="116">
        <f t="shared" si="158"/>
        <v>2610.6840000000002</v>
      </c>
      <c r="EX67" s="217">
        <f t="shared" si="159"/>
        <v>1.6921563364431722</v>
      </c>
      <c r="EY67" s="207">
        <f t="shared" si="160"/>
        <v>2</v>
      </c>
      <c r="EZ67" s="144">
        <f t="shared" si="161"/>
        <v>52598.067663511159</v>
      </c>
      <c r="FA67" s="138">
        <f t="shared" si="19"/>
        <v>0.75</v>
      </c>
      <c r="FB67" s="116">
        <f t="shared" si="162"/>
        <v>2175570</v>
      </c>
      <c r="FC67" s="2">
        <f t="shared" si="20"/>
        <v>6.2992125984251982E-2</v>
      </c>
      <c r="FD67" s="8">
        <f t="shared" si="163"/>
        <v>10.71513813816</v>
      </c>
      <c r="FE67" s="116">
        <f t="shared" si="164"/>
        <v>2610.6840000000002</v>
      </c>
      <c r="FF67" s="217">
        <f t="shared" si="165"/>
        <v>1.6921563364431722</v>
      </c>
      <c r="FG67" s="207">
        <f t="shared" si="166"/>
        <v>2</v>
      </c>
      <c r="FH67" s="144">
        <f t="shared" si="167"/>
        <v>52598.067663511159</v>
      </c>
      <c r="FI67" s="128">
        <f t="shared" si="168"/>
        <v>0.75</v>
      </c>
      <c r="FJ67" s="2">
        <f t="shared" si="169"/>
        <v>6.2992125984251982E-2</v>
      </c>
      <c r="FK67" s="127">
        <f t="shared" si="170"/>
        <v>6.2992125984251982E-2</v>
      </c>
      <c r="FL67" s="216">
        <f t="shared" si="171"/>
        <v>0.75</v>
      </c>
      <c r="FM67" s="138">
        <f t="shared" si="172"/>
        <v>0</v>
      </c>
      <c r="FN67" s="138">
        <f t="shared" si="173"/>
        <v>0</v>
      </c>
      <c r="FO67" s="238">
        <f t="shared" si="174"/>
        <v>0</v>
      </c>
      <c r="FP67" s="216">
        <f t="shared" si="21"/>
        <v>0.75</v>
      </c>
      <c r="FQ67" s="138">
        <f t="shared" si="22"/>
        <v>0</v>
      </c>
      <c r="FR67" s="138">
        <f t="shared" si="23"/>
        <v>0</v>
      </c>
      <c r="FS67" s="238">
        <f t="shared" si="24"/>
        <v>0</v>
      </c>
      <c r="FT67" s="216">
        <f t="shared" si="175"/>
        <v>6.2992125984251982E-2</v>
      </c>
      <c r="FU67" s="138">
        <f t="shared" si="176"/>
        <v>0</v>
      </c>
      <c r="FV67" s="138">
        <f t="shared" si="177"/>
        <v>0</v>
      </c>
      <c r="FW67" s="238">
        <f t="shared" si="178"/>
        <v>0</v>
      </c>
      <c r="FX67" s="216">
        <f t="shared" si="25"/>
        <v>6.2992125984251982E-2</v>
      </c>
      <c r="FY67" s="138">
        <f t="shared" si="26"/>
        <v>0</v>
      </c>
      <c r="FZ67" s="138">
        <f t="shared" si="27"/>
        <v>0</v>
      </c>
      <c r="GA67" s="238">
        <f t="shared" si="28"/>
        <v>0</v>
      </c>
      <c r="GB67" s="216">
        <f t="shared" si="179"/>
        <v>6.2992125984251982E-2</v>
      </c>
      <c r="GC67" s="138">
        <f t="shared" si="180"/>
        <v>0</v>
      </c>
      <c r="GD67" s="138">
        <f t="shared" si="181"/>
        <v>0</v>
      </c>
      <c r="GE67" s="238">
        <f t="shared" si="182"/>
        <v>0</v>
      </c>
      <c r="GF67" s="216">
        <f t="shared" si="29"/>
        <v>6.2992125984251982E-2</v>
      </c>
      <c r="GG67" s="138">
        <f t="shared" si="30"/>
        <v>0</v>
      </c>
      <c r="GH67" s="138">
        <f t="shared" si="31"/>
        <v>0</v>
      </c>
      <c r="GI67" s="238">
        <f t="shared" si="32"/>
        <v>0</v>
      </c>
      <c r="GJ67" s="216">
        <f t="shared" si="183"/>
        <v>0.75</v>
      </c>
      <c r="GK67" s="216">
        <f t="shared" si="184"/>
        <v>6.2992125984251982E-2</v>
      </c>
      <c r="GL67" s="17">
        <f t="shared" si="185"/>
        <v>6.2992125984251982E-2</v>
      </c>
      <c r="GM67" s="216">
        <f t="shared" si="186"/>
        <v>2.9055745288285136E-2</v>
      </c>
      <c r="GN67" s="2">
        <f t="shared" si="187"/>
        <v>4</v>
      </c>
      <c r="GO67" s="2">
        <f t="shared" si="188"/>
        <v>2</v>
      </c>
      <c r="GP67" s="142">
        <f t="shared" si="189"/>
        <v>2</v>
      </c>
      <c r="GQ67" s="2">
        <f t="shared" si="190"/>
        <v>1.5748031496062995E-2</v>
      </c>
      <c r="GR67" s="8">
        <f t="shared" si="33"/>
        <v>0.30577637591045231</v>
      </c>
      <c r="GS67" s="138">
        <f t="shared" si="191"/>
        <v>0.5</v>
      </c>
      <c r="GT67" s="12">
        <f t="shared" si="34"/>
        <v>25345.564376315051</v>
      </c>
      <c r="GU67" s="138">
        <f t="shared" si="192"/>
        <v>0.5</v>
      </c>
      <c r="GV67" s="116">
        <f t="shared" si="193"/>
        <v>2175570</v>
      </c>
      <c r="GW67" s="2">
        <f t="shared" si="35"/>
        <v>6.2992125984251982E-2</v>
      </c>
      <c r="GX67" s="8">
        <f t="shared" si="36"/>
        <v>5.3575690690800002</v>
      </c>
      <c r="GY67" s="116">
        <f t="shared" si="194"/>
        <v>2610.6840000000002</v>
      </c>
      <c r="GZ67" s="217">
        <f t="shared" si="195"/>
        <v>4.5124168971817928</v>
      </c>
      <c r="HA67" s="207">
        <f t="shared" si="196"/>
        <v>2</v>
      </c>
      <c r="HB67" s="144">
        <f t="shared" si="197"/>
        <v>93507.675846242055</v>
      </c>
      <c r="HC67" s="138">
        <f t="shared" si="37"/>
        <v>0.5</v>
      </c>
      <c r="HD67" s="116">
        <f t="shared" si="198"/>
        <v>2175570</v>
      </c>
      <c r="HE67" s="2">
        <f t="shared" si="38"/>
        <v>6.2992125984251982E-2</v>
      </c>
      <c r="HF67" s="8">
        <f t="shared" si="199"/>
        <v>5.3575690690800002</v>
      </c>
      <c r="HG67" s="116">
        <f t="shared" si="200"/>
        <v>2610.6840000000002</v>
      </c>
      <c r="HH67" s="217">
        <f t="shared" si="201"/>
        <v>4.5124168971817928</v>
      </c>
      <c r="HI67" s="207">
        <f t="shared" si="202"/>
        <v>2</v>
      </c>
      <c r="HJ67" s="144">
        <f t="shared" si="203"/>
        <v>93507.675846242055</v>
      </c>
      <c r="HK67" s="138">
        <f t="shared" si="39"/>
        <v>0.5</v>
      </c>
      <c r="HL67" s="116">
        <f t="shared" si="204"/>
        <v>2175570</v>
      </c>
      <c r="HM67" s="2">
        <f t="shared" si="40"/>
        <v>6.2992125984251982E-2</v>
      </c>
      <c r="HN67" s="8">
        <f t="shared" si="205"/>
        <v>5.3575690690800002</v>
      </c>
      <c r="HO67" s="116">
        <f t="shared" si="206"/>
        <v>2610.6840000000002</v>
      </c>
      <c r="HP67" s="217">
        <f t="shared" si="207"/>
        <v>4.5124168971817928</v>
      </c>
      <c r="HQ67" s="207">
        <f t="shared" si="208"/>
        <v>2</v>
      </c>
      <c r="HR67" s="144">
        <f t="shared" si="209"/>
        <v>93507.675846242055</v>
      </c>
      <c r="HS67" s="128">
        <f t="shared" si="210"/>
        <v>0.5</v>
      </c>
      <c r="HT67" s="2">
        <f t="shared" si="211"/>
        <v>1.5748031496062995E-2</v>
      </c>
      <c r="HU67" s="127">
        <f t="shared" si="212"/>
        <v>1.5748031496062995E-2</v>
      </c>
      <c r="HV67" s="216">
        <f t="shared" si="213"/>
        <v>0.5</v>
      </c>
      <c r="HW67" s="138">
        <f t="shared" si="214"/>
        <v>0</v>
      </c>
      <c r="HX67" s="138">
        <f t="shared" si="215"/>
        <v>0</v>
      </c>
      <c r="HY67" s="238">
        <f t="shared" si="216"/>
        <v>0</v>
      </c>
      <c r="HZ67" s="138">
        <f t="shared" si="217"/>
        <v>0.5</v>
      </c>
      <c r="IA67" s="138">
        <f t="shared" si="218"/>
        <v>0</v>
      </c>
      <c r="IB67" s="138">
        <f t="shared" si="219"/>
        <v>0</v>
      </c>
      <c r="IC67" s="138">
        <f t="shared" si="220"/>
        <v>0</v>
      </c>
      <c r="ID67" s="216">
        <f t="shared" si="221"/>
        <v>1.5748031496062995E-2</v>
      </c>
      <c r="IE67" s="138">
        <f t="shared" si="222"/>
        <v>0</v>
      </c>
      <c r="IF67" s="138">
        <f t="shared" si="223"/>
        <v>0</v>
      </c>
      <c r="IG67" s="238">
        <f t="shared" si="224"/>
        <v>0</v>
      </c>
      <c r="IH67" s="138">
        <f t="shared" si="225"/>
        <v>1.5748031496062995E-2</v>
      </c>
      <c r="II67" s="138">
        <f t="shared" si="226"/>
        <v>0</v>
      </c>
      <c r="IJ67" s="138">
        <f t="shared" si="227"/>
        <v>0</v>
      </c>
      <c r="IK67" s="138">
        <f t="shared" si="228"/>
        <v>0</v>
      </c>
      <c r="IL67" s="216">
        <f t="shared" si="229"/>
        <v>1.5748031496062995E-2</v>
      </c>
      <c r="IM67" s="138">
        <f t="shared" si="230"/>
        <v>0</v>
      </c>
      <c r="IN67" s="138">
        <f t="shared" si="231"/>
        <v>0</v>
      </c>
      <c r="IO67" s="238">
        <f t="shared" si="232"/>
        <v>0</v>
      </c>
      <c r="IP67" s="138">
        <f t="shared" si="233"/>
        <v>1.5748031496062995E-2</v>
      </c>
      <c r="IQ67" s="138">
        <f t="shared" si="234"/>
        <v>0</v>
      </c>
      <c r="IR67" s="138">
        <f t="shared" si="235"/>
        <v>0</v>
      </c>
      <c r="IS67" s="138">
        <f t="shared" si="236"/>
        <v>0</v>
      </c>
      <c r="IT67" s="17">
        <f t="shared" si="237"/>
        <v>0.5</v>
      </c>
      <c r="IU67" s="17">
        <f t="shared" si="238"/>
        <v>1.5748031496062995E-2</v>
      </c>
      <c r="IV67" s="17">
        <f t="shared" si="239"/>
        <v>1.5748031496062995E-2</v>
      </c>
      <c r="IW67" s="253">
        <f t="shared" si="240"/>
        <v>29.764272605999999</v>
      </c>
      <c r="IX67" s="116">
        <f t="shared" si="241"/>
        <v>3600.7559369442001</v>
      </c>
      <c r="IY67" s="8">
        <f t="shared" si="242"/>
        <v>9.3098600115423202E-2</v>
      </c>
      <c r="IZ67" s="8">
        <f t="shared" si="243"/>
        <v>9.3098600115423202E-2</v>
      </c>
      <c r="JA67" s="8">
        <f t="shared" si="244"/>
        <v>4.6549300057711601E-2</v>
      </c>
      <c r="JB67" s="134">
        <f t="shared" si="245"/>
        <v>0.21575286801734897</v>
      </c>
      <c r="JC67" s="170">
        <f t="shared" si="246"/>
        <v>5.3419963961966015E-2</v>
      </c>
      <c r="JD67" s="272">
        <f t="shared" si="247"/>
        <v>0.23112759238560421</v>
      </c>
      <c r="JE67" s="8"/>
      <c r="JF67" s="8"/>
    </row>
    <row r="68" spans="1:266" x14ac:dyDescent="0.25">
      <c r="A68" s="186">
        <v>8</v>
      </c>
      <c r="B68" s="187">
        <f>A68/100*'Inputs-Imperial'!$E$5</f>
        <v>1.9265092479999999</v>
      </c>
      <c r="C68" s="188">
        <f>'Inputs-Imperial'!$E$10+('Inputs-Imperial'!$E$9-'Inputs-Imperial'!$E$10)*(100-A68)/100</f>
        <v>4.9429135440000005</v>
      </c>
      <c r="D68" s="187">
        <f t="shared" si="248"/>
        <v>0.24081365599999982</v>
      </c>
      <c r="E68" s="188">
        <f t="shared" si="249"/>
        <v>1.1924641496139035</v>
      </c>
      <c r="F68" s="423">
        <f>Loads!P28</f>
        <v>874.96204458746081</v>
      </c>
      <c r="G68" s="423">
        <f>Loads!M28</f>
        <v>8749.6204458746088</v>
      </c>
      <c r="H68" s="423">
        <f>Loads!N28</f>
        <v>87175.897388102661</v>
      </c>
      <c r="I68" s="423">
        <f>Loads!V28</f>
        <v>-20493.238989461319</v>
      </c>
      <c r="J68" s="423">
        <f>Loads!Q28</f>
        <v>8717.589738810273</v>
      </c>
      <c r="K68" s="2">
        <v>8</v>
      </c>
      <c r="L68" s="12">
        <f t="shared" si="41"/>
        <v>23.118110975999997</v>
      </c>
      <c r="M68" s="11">
        <f t="shared" si="42"/>
        <v>59.314962528000009</v>
      </c>
      <c r="N68" s="11">
        <f t="shared" si="43"/>
        <v>2.8897638719999978</v>
      </c>
      <c r="O68" s="152">
        <f t="shared" si="44"/>
        <v>171.71483754440209</v>
      </c>
      <c r="P68" s="151">
        <f t="shared" si="45"/>
        <v>874.96204458746081</v>
      </c>
      <c r="Q68" s="12">
        <f t="shared" si="46"/>
        <v>8749.6204458746088</v>
      </c>
      <c r="R68" s="12">
        <f t="shared" si="47"/>
        <v>1046110.7686572319</v>
      </c>
      <c r="S68" s="12">
        <f t="shared" si="48"/>
        <v>-245918.86787353584</v>
      </c>
      <c r="T68" s="152">
        <f t="shared" si="49"/>
        <v>104611.07686572327</v>
      </c>
      <c r="U68" s="8">
        <f t="shared" si="0"/>
        <v>10.676693255040002</v>
      </c>
      <c r="V68" s="8">
        <f t="shared" si="1"/>
        <v>10.676693255040002</v>
      </c>
      <c r="W68" s="134">
        <f t="shared" si="2"/>
        <v>5.3383466275200009</v>
      </c>
      <c r="X68" s="311">
        <f t="shared" si="3"/>
        <v>14.828740632000002</v>
      </c>
      <c r="Y68" s="11">
        <f t="shared" si="4"/>
        <v>44.486221896000004</v>
      </c>
      <c r="Z68" s="11">
        <f t="shared" si="5"/>
        <v>29.657481264000001</v>
      </c>
      <c r="AA68" s="316">
        <f t="shared" si="50"/>
        <v>44.486221896000004</v>
      </c>
      <c r="AB68" s="170">
        <f t="shared" si="51"/>
        <v>8.0075199412800018</v>
      </c>
      <c r="AC68" s="11">
        <f t="shared" si="52"/>
        <v>44.486221896000004</v>
      </c>
      <c r="AD68" s="152">
        <f t="shared" si="53"/>
        <v>279.7779180024782</v>
      </c>
      <c r="AE68" s="151">
        <f t="shared" si="6"/>
        <v>19.668158078987897</v>
      </c>
      <c r="AF68" s="12">
        <f t="shared" si="54"/>
        <v>439.48941651527616</v>
      </c>
      <c r="AG68" s="216">
        <f t="shared" si="7"/>
        <v>3.0082092431713708E-2</v>
      </c>
      <c r="AH68" s="2">
        <f t="shared" si="55"/>
        <v>4</v>
      </c>
      <c r="AI68" s="2">
        <f t="shared" si="56"/>
        <v>3</v>
      </c>
      <c r="AJ68" s="127">
        <f t="shared" si="57"/>
        <v>2</v>
      </c>
      <c r="AK68" s="2">
        <f t="shared" si="58"/>
        <v>1.5748031496062995E-2</v>
      </c>
      <c r="AL68" s="8">
        <f t="shared" si="8"/>
        <v>0.31657743115201814</v>
      </c>
      <c r="AM68" s="138">
        <f t="shared" si="59"/>
        <v>0.5</v>
      </c>
      <c r="AN68" s="12">
        <f t="shared" si="9"/>
        <v>26240.855388062188</v>
      </c>
      <c r="AO68" s="138">
        <f t="shared" si="60"/>
        <v>0.5</v>
      </c>
      <c r="AP68" s="116">
        <f t="shared" si="61"/>
        <v>2175570</v>
      </c>
      <c r="AQ68" s="2">
        <f t="shared" si="62"/>
        <v>1.5748031496062995E-2</v>
      </c>
      <c r="AR68" s="8">
        <f t="shared" si="63"/>
        <v>29.657481264000001</v>
      </c>
      <c r="AS68" s="116">
        <f t="shared" si="64"/>
        <v>2610.6840000000002</v>
      </c>
      <c r="AT68" s="217">
        <f t="shared" si="65"/>
        <v>3.6814275098271766E-2</v>
      </c>
      <c r="AU68" s="207">
        <f t="shared" si="66"/>
        <v>4.693096415159804</v>
      </c>
      <c r="AV68" s="144">
        <f t="shared" si="67"/>
        <v>7160.5069609078928</v>
      </c>
      <c r="AW68" s="138">
        <f t="shared" si="68"/>
        <v>2</v>
      </c>
      <c r="AX68" s="116">
        <f t="shared" si="69"/>
        <v>2175570</v>
      </c>
      <c r="AY68" s="2">
        <f t="shared" si="70"/>
        <v>1.5748031496062995E-2</v>
      </c>
      <c r="AZ68" s="8">
        <f t="shared" si="71"/>
        <v>29.657481264000001</v>
      </c>
      <c r="BA68" s="116">
        <f t="shared" si="72"/>
        <v>2610.6840000000002</v>
      </c>
      <c r="BB68" s="217">
        <f t="shared" si="73"/>
        <v>0.14725710039308706</v>
      </c>
      <c r="BC68" s="207">
        <f t="shared" si="74"/>
        <v>3.4640707666746744</v>
      </c>
      <c r="BD68" s="144">
        <f t="shared" si="75"/>
        <v>84565.073950672479</v>
      </c>
      <c r="BE68" s="138">
        <f t="shared" si="76"/>
        <v>2</v>
      </c>
      <c r="BF68" s="116">
        <f t="shared" si="77"/>
        <v>2175570</v>
      </c>
      <c r="BG68" s="2">
        <f t="shared" si="78"/>
        <v>1.5748031496062995E-2</v>
      </c>
      <c r="BH68" s="8">
        <f t="shared" si="79"/>
        <v>29.657481264000001</v>
      </c>
      <c r="BI68" s="116">
        <f t="shared" si="80"/>
        <v>2610.6840000000002</v>
      </c>
      <c r="BJ68" s="217">
        <f t="shared" si="81"/>
        <v>0.14725710039308706</v>
      </c>
      <c r="BK68" s="207">
        <f t="shared" si="82"/>
        <v>3.4640707666746744</v>
      </c>
      <c r="BL68" s="144">
        <f t="shared" si="83"/>
        <v>84565.073950672479</v>
      </c>
      <c r="BM68" s="216">
        <f t="shared" si="84"/>
        <v>2</v>
      </c>
      <c r="BN68" s="216">
        <f t="shared" si="85"/>
        <v>2.3622047244094495E-2</v>
      </c>
      <c r="BO68" s="238">
        <f t="shared" si="86"/>
        <v>1.5748031496062995E-2</v>
      </c>
      <c r="BP68" s="216">
        <f t="shared" si="87"/>
        <v>2</v>
      </c>
      <c r="BQ68" s="138">
        <f t="shared" si="88"/>
        <v>0</v>
      </c>
      <c r="BR68" s="138">
        <f t="shared" si="89"/>
        <v>0</v>
      </c>
      <c r="BS68" s="238">
        <f t="shared" si="90"/>
        <v>0</v>
      </c>
      <c r="BT68" s="138">
        <f t="shared" si="91"/>
        <v>2</v>
      </c>
      <c r="BU68" s="138">
        <f t="shared" si="92"/>
        <v>0</v>
      </c>
      <c r="BV68" s="138">
        <f t="shared" si="93"/>
        <v>0</v>
      </c>
      <c r="BW68" s="238">
        <f t="shared" si="94"/>
        <v>0</v>
      </c>
      <c r="BX68" s="216">
        <f t="shared" si="95"/>
        <v>2.3622047244094495E-2</v>
      </c>
      <c r="BY68" s="138">
        <f t="shared" si="96"/>
        <v>0</v>
      </c>
      <c r="BZ68" s="138">
        <f t="shared" si="97"/>
        <v>0</v>
      </c>
      <c r="CA68" s="238">
        <f t="shared" si="98"/>
        <v>0</v>
      </c>
      <c r="CB68" s="138">
        <f t="shared" si="99"/>
        <v>2.3622047244094495E-2</v>
      </c>
      <c r="CC68" s="138">
        <f t="shared" si="100"/>
        <v>0</v>
      </c>
      <c r="CD68" s="138">
        <f t="shared" si="101"/>
        <v>0</v>
      </c>
      <c r="CE68" s="238">
        <f t="shared" si="102"/>
        <v>0</v>
      </c>
      <c r="CF68" s="216">
        <f t="shared" si="103"/>
        <v>1.5748031496062995E-2</v>
      </c>
      <c r="CG68" s="138">
        <f t="shared" si="104"/>
        <v>0</v>
      </c>
      <c r="CH68" s="138">
        <f t="shared" si="105"/>
        <v>0</v>
      </c>
      <c r="CI68" s="238">
        <f t="shared" si="106"/>
        <v>0</v>
      </c>
      <c r="CJ68" s="138">
        <f t="shared" si="107"/>
        <v>2.3622047244094495E-2</v>
      </c>
      <c r="CK68" s="138">
        <f t="shared" si="108"/>
        <v>0</v>
      </c>
      <c r="CL68" s="138">
        <f t="shared" si="109"/>
        <v>0</v>
      </c>
      <c r="CM68" s="238">
        <f t="shared" si="110"/>
        <v>0</v>
      </c>
      <c r="CN68" s="17">
        <f t="shared" si="111"/>
        <v>2</v>
      </c>
      <c r="CO68" s="17">
        <f t="shared" si="112"/>
        <v>2.3622047244094495E-2</v>
      </c>
      <c r="CP68" s="17">
        <f t="shared" si="113"/>
        <v>2.3622047244094495E-2</v>
      </c>
      <c r="CQ68" s="17">
        <f>$U68-IF('Inputs-Imperial'!$E$13,0,2)*($CO68+$CN68+$CP68)</f>
        <v>10.676693255040002</v>
      </c>
      <c r="CR68" s="116">
        <f t="shared" si="114"/>
        <v>97980.78334445064</v>
      </c>
      <c r="CS68" s="8">
        <f t="shared" si="10"/>
        <v>2.5333218711075021</v>
      </c>
      <c r="CT68" s="8">
        <f t="shared" si="115"/>
        <v>1.5916412507558046</v>
      </c>
      <c r="CU68" s="8">
        <f t="shared" si="11"/>
        <v>2.5333218711075021</v>
      </c>
      <c r="CV68" s="8">
        <f t="shared" si="116"/>
        <v>1.5916412507558046</v>
      </c>
      <c r="CW68" s="216">
        <f t="shared" si="117"/>
        <v>9.0850520042841971</v>
      </c>
      <c r="CX68" s="116">
        <f t="shared" si="118"/>
        <v>115146.37100194057</v>
      </c>
      <c r="CY68" s="8">
        <f t="shared" si="119"/>
        <v>2.9771431711501615</v>
      </c>
      <c r="CZ68" s="8">
        <f t="shared" si="120"/>
        <v>1.7254399934944598</v>
      </c>
      <c r="DA68" s="8">
        <f t="shared" si="121"/>
        <v>2.9771431711501615</v>
      </c>
      <c r="DB68" s="8">
        <f t="shared" si="122"/>
        <v>1.7254399934944598</v>
      </c>
      <c r="DC68" s="216">
        <f t="shared" si="123"/>
        <v>8.951253261545542</v>
      </c>
      <c r="DD68" s="116">
        <f t="shared" si="124"/>
        <v>116867.51989816991</v>
      </c>
      <c r="DE68" s="8">
        <f t="shared" si="125"/>
        <v>3.0216439803233435</v>
      </c>
      <c r="DF68" s="8">
        <f t="shared" si="126"/>
        <v>1.7382876575306354</v>
      </c>
      <c r="DG68" s="8">
        <f t="shared" si="127"/>
        <v>3.0216439803233435</v>
      </c>
      <c r="DH68" s="8">
        <f t="shared" si="128"/>
        <v>1.7382876575306354</v>
      </c>
      <c r="DI68" s="216">
        <f t="shared" si="129"/>
        <v>8.9384055975093677</v>
      </c>
      <c r="DJ68" s="116">
        <f t="shared" si="130"/>
        <v>117035.50003914841</v>
      </c>
      <c r="DK68" s="8">
        <f t="shared" si="131"/>
        <v>3.0259871561025835</v>
      </c>
      <c r="DL68" s="8">
        <f t="shared" si="132"/>
        <v>1.7395364773705044</v>
      </c>
      <c r="DM68" s="8">
        <f t="shared" si="133"/>
        <v>3.0259871561025835</v>
      </c>
      <c r="DN68" s="8">
        <f t="shared" si="134"/>
        <v>1.7395364773705044</v>
      </c>
      <c r="DO68" s="216">
        <f t="shared" si="135"/>
        <v>8.9371567776694985</v>
      </c>
      <c r="DP68" s="116">
        <f t="shared" si="136"/>
        <v>117051.8538145217</v>
      </c>
      <c r="DQ68" s="170">
        <f t="shared" si="137"/>
        <v>3.0264099877580795</v>
      </c>
      <c r="DR68" s="8">
        <f t="shared" si="138"/>
        <v>1.7396580088506131</v>
      </c>
      <c r="DS68" s="8">
        <f t="shared" si="139"/>
        <v>3.0264099877580795</v>
      </c>
      <c r="DT68" s="134">
        <f t="shared" si="140"/>
        <v>1.7396580088506131</v>
      </c>
      <c r="DU68" s="170">
        <f t="shared" si="141"/>
        <v>3.5859228878785925</v>
      </c>
      <c r="DV68" s="170">
        <f t="shared" si="141"/>
        <v>1.8936533177639967</v>
      </c>
      <c r="DW68" s="170">
        <f t="shared" si="141"/>
        <v>3.5859228878785925</v>
      </c>
      <c r="DX68" s="272">
        <f t="shared" si="141"/>
        <v>1.8936533177639967</v>
      </c>
      <c r="DY68" s="272">
        <f t="shared" si="142"/>
        <v>6.8893866195120079</v>
      </c>
      <c r="DZ68" s="22">
        <f t="shared" si="12"/>
        <v>819.50658662449575</v>
      </c>
      <c r="EA68" s="216">
        <f t="shared" si="13"/>
        <v>5.3690659266637394E-2</v>
      </c>
      <c r="EB68" s="12">
        <f t="shared" si="143"/>
        <v>7</v>
      </c>
      <c r="EC68" s="7">
        <f>ROUND(MAX(DV68,DX68)/'Inputs-Imperial'!$E$21,0)</f>
        <v>16</v>
      </c>
      <c r="ED68" s="12">
        <f t="shared" si="144"/>
        <v>16</v>
      </c>
      <c r="EE68" s="2">
        <f t="shared" si="145"/>
        <v>8</v>
      </c>
      <c r="EF68" s="127">
        <f t="shared" si="146"/>
        <v>8</v>
      </c>
      <c r="EG68" s="2">
        <f t="shared" si="147"/>
        <v>6.2992125984251982E-2</v>
      </c>
      <c r="EH68" s="8">
        <f t="shared" si="14"/>
        <v>0.56502887975874994</v>
      </c>
      <c r="EI68" s="138">
        <f t="shared" si="148"/>
        <v>0.75</v>
      </c>
      <c r="EJ68" s="12">
        <f t="shared" si="15"/>
        <v>11708.700356397481</v>
      </c>
      <c r="EK68" s="138">
        <f t="shared" si="149"/>
        <v>0.75</v>
      </c>
      <c r="EL68" s="116">
        <f t="shared" si="150"/>
        <v>2175570</v>
      </c>
      <c r="EM68" s="2">
        <f t="shared" si="16"/>
        <v>6.2992125984251982E-2</v>
      </c>
      <c r="EN68" s="8">
        <f t="shared" si="151"/>
        <v>10.676693255040002</v>
      </c>
      <c r="EO68" s="116">
        <f t="shared" si="152"/>
        <v>2610.6840000000002</v>
      </c>
      <c r="EP68" s="217">
        <f t="shared" si="153"/>
        <v>1.7043645878829516</v>
      </c>
      <c r="EQ68" s="207">
        <f t="shared" si="154"/>
        <v>2</v>
      </c>
      <c r="ER68" s="144">
        <f t="shared" si="155"/>
        <v>52977.542314554572</v>
      </c>
      <c r="ES68" s="138">
        <f t="shared" si="17"/>
        <v>0.75</v>
      </c>
      <c r="ET68" s="116">
        <f t="shared" si="156"/>
        <v>2175570</v>
      </c>
      <c r="EU68" s="2">
        <f t="shared" si="18"/>
        <v>6.2992125984251982E-2</v>
      </c>
      <c r="EV68" s="8">
        <f t="shared" si="157"/>
        <v>10.676693255040002</v>
      </c>
      <c r="EW68" s="116">
        <f t="shared" si="158"/>
        <v>2610.6840000000002</v>
      </c>
      <c r="EX68" s="217">
        <f t="shared" si="159"/>
        <v>1.7043645878829516</v>
      </c>
      <c r="EY68" s="207">
        <f t="shared" si="160"/>
        <v>2</v>
      </c>
      <c r="EZ68" s="144">
        <f t="shared" si="161"/>
        <v>52977.542314554572</v>
      </c>
      <c r="FA68" s="138">
        <f t="shared" si="19"/>
        <v>0.75</v>
      </c>
      <c r="FB68" s="116">
        <f t="shared" si="162"/>
        <v>2175570</v>
      </c>
      <c r="FC68" s="2">
        <f t="shared" si="20"/>
        <v>6.2992125984251982E-2</v>
      </c>
      <c r="FD68" s="8">
        <f t="shared" si="163"/>
        <v>10.676693255040002</v>
      </c>
      <c r="FE68" s="116">
        <f t="shared" si="164"/>
        <v>2610.6840000000002</v>
      </c>
      <c r="FF68" s="217">
        <f t="shared" si="165"/>
        <v>1.7043645878829516</v>
      </c>
      <c r="FG68" s="207">
        <f t="shared" si="166"/>
        <v>2</v>
      </c>
      <c r="FH68" s="144">
        <f t="shared" si="167"/>
        <v>52977.542314554572</v>
      </c>
      <c r="FI68" s="128">
        <f t="shared" si="168"/>
        <v>0.75</v>
      </c>
      <c r="FJ68" s="2">
        <f t="shared" si="169"/>
        <v>6.2992125984251982E-2</v>
      </c>
      <c r="FK68" s="127">
        <f t="shared" si="170"/>
        <v>6.2992125984251982E-2</v>
      </c>
      <c r="FL68" s="216">
        <f t="shared" si="171"/>
        <v>0.75</v>
      </c>
      <c r="FM68" s="138">
        <f t="shared" si="172"/>
        <v>0</v>
      </c>
      <c r="FN68" s="138">
        <f t="shared" si="173"/>
        <v>0</v>
      </c>
      <c r="FO68" s="238">
        <f t="shared" si="174"/>
        <v>0</v>
      </c>
      <c r="FP68" s="216">
        <f t="shared" si="21"/>
        <v>0.75</v>
      </c>
      <c r="FQ68" s="138">
        <f t="shared" si="22"/>
        <v>0</v>
      </c>
      <c r="FR68" s="138">
        <f t="shared" si="23"/>
        <v>0</v>
      </c>
      <c r="FS68" s="238">
        <f t="shared" si="24"/>
        <v>0</v>
      </c>
      <c r="FT68" s="216">
        <f t="shared" si="175"/>
        <v>6.2992125984251982E-2</v>
      </c>
      <c r="FU68" s="138">
        <f t="shared" si="176"/>
        <v>0</v>
      </c>
      <c r="FV68" s="138">
        <f t="shared" si="177"/>
        <v>0</v>
      </c>
      <c r="FW68" s="238">
        <f t="shared" si="178"/>
        <v>0</v>
      </c>
      <c r="FX68" s="216">
        <f t="shared" si="25"/>
        <v>6.2992125984251982E-2</v>
      </c>
      <c r="FY68" s="138">
        <f t="shared" si="26"/>
        <v>0</v>
      </c>
      <c r="FZ68" s="138">
        <f t="shared" si="27"/>
        <v>0</v>
      </c>
      <c r="GA68" s="238">
        <f t="shared" si="28"/>
        <v>0</v>
      </c>
      <c r="GB68" s="216">
        <f t="shared" si="179"/>
        <v>6.2992125984251982E-2</v>
      </c>
      <c r="GC68" s="138">
        <f t="shared" si="180"/>
        <v>0</v>
      </c>
      <c r="GD68" s="138">
        <f t="shared" si="181"/>
        <v>0</v>
      </c>
      <c r="GE68" s="238">
        <f t="shared" si="182"/>
        <v>0</v>
      </c>
      <c r="GF68" s="216">
        <f t="shared" si="29"/>
        <v>6.2992125984251982E-2</v>
      </c>
      <c r="GG68" s="138">
        <f t="shared" si="30"/>
        <v>0</v>
      </c>
      <c r="GH68" s="138">
        <f t="shared" si="31"/>
        <v>0</v>
      </c>
      <c r="GI68" s="238">
        <f t="shared" si="32"/>
        <v>0</v>
      </c>
      <c r="GJ68" s="216">
        <f t="shared" si="183"/>
        <v>0.75</v>
      </c>
      <c r="GK68" s="216">
        <f t="shared" si="184"/>
        <v>6.2992125984251982E-2</v>
      </c>
      <c r="GL68" s="17">
        <f t="shared" si="185"/>
        <v>6.2992125984251982E-2</v>
      </c>
      <c r="GM68" s="216">
        <f t="shared" si="186"/>
        <v>2.879351660931441E-2</v>
      </c>
      <c r="GN68" s="2">
        <f t="shared" si="187"/>
        <v>4</v>
      </c>
      <c r="GO68" s="2">
        <f t="shared" si="188"/>
        <v>2</v>
      </c>
      <c r="GP68" s="142">
        <f t="shared" si="189"/>
        <v>2</v>
      </c>
      <c r="GQ68" s="2">
        <f t="shared" si="190"/>
        <v>1.5748031496062995E-2</v>
      </c>
      <c r="GR68" s="8">
        <f t="shared" si="33"/>
        <v>0.3030167380378081</v>
      </c>
      <c r="GS68" s="138">
        <f t="shared" si="191"/>
        <v>0.5</v>
      </c>
      <c r="GT68" s="12">
        <f t="shared" si="34"/>
        <v>25116.820153848028</v>
      </c>
      <c r="GU68" s="138">
        <f t="shared" si="192"/>
        <v>0.5</v>
      </c>
      <c r="GV68" s="116">
        <f t="shared" si="193"/>
        <v>2175570</v>
      </c>
      <c r="GW68" s="2">
        <f t="shared" si="35"/>
        <v>6.2992125984251982E-2</v>
      </c>
      <c r="GX68" s="8">
        <f t="shared" si="36"/>
        <v>5.3383466275200009</v>
      </c>
      <c r="GY68" s="116">
        <f t="shared" si="194"/>
        <v>2610.6840000000002</v>
      </c>
      <c r="GZ68" s="217">
        <f t="shared" si="195"/>
        <v>4.544972234354538</v>
      </c>
      <c r="HA68" s="207">
        <f t="shared" si="196"/>
        <v>2</v>
      </c>
      <c r="HB68" s="144">
        <f t="shared" si="197"/>
        <v>94182.297448097015</v>
      </c>
      <c r="HC68" s="138">
        <f t="shared" si="37"/>
        <v>0.5</v>
      </c>
      <c r="HD68" s="116">
        <f t="shared" si="198"/>
        <v>2175570</v>
      </c>
      <c r="HE68" s="2">
        <f t="shared" si="38"/>
        <v>6.2992125984251982E-2</v>
      </c>
      <c r="HF68" s="8">
        <f t="shared" si="199"/>
        <v>5.3383466275200009</v>
      </c>
      <c r="HG68" s="116">
        <f t="shared" si="200"/>
        <v>2610.6840000000002</v>
      </c>
      <c r="HH68" s="217">
        <f t="shared" si="201"/>
        <v>4.544972234354538</v>
      </c>
      <c r="HI68" s="207">
        <f t="shared" si="202"/>
        <v>2</v>
      </c>
      <c r="HJ68" s="144">
        <f t="shared" si="203"/>
        <v>94182.297448097015</v>
      </c>
      <c r="HK68" s="138">
        <f t="shared" si="39"/>
        <v>0.5</v>
      </c>
      <c r="HL68" s="116">
        <f t="shared" si="204"/>
        <v>2175570</v>
      </c>
      <c r="HM68" s="2">
        <f t="shared" si="40"/>
        <v>6.2992125984251982E-2</v>
      </c>
      <c r="HN68" s="8">
        <f t="shared" si="205"/>
        <v>5.3383466275200009</v>
      </c>
      <c r="HO68" s="116">
        <f t="shared" si="206"/>
        <v>2610.6840000000002</v>
      </c>
      <c r="HP68" s="217">
        <f t="shared" si="207"/>
        <v>4.544972234354538</v>
      </c>
      <c r="HQ68" s="207">
        <f t="shared" si="208"/>
        <v>2</v>
      </c>
      <c r="HR68" s="144">
        <f t="shared" si="209"/>
        <v>94182.297448097015</v>
      </c>
      <c r="HS68" s="128">
        <f t="shared" si="210"/>
        <v>0.5</v>
      </c>
      <c r="HT68" s="2">
        <f t="shared" si="211"/>
        <v>1.5748031496062995E-2</v>
      </c>
      <c r="HU68" s="127">
        <f t="shared" si="212"/>
        <v>1.5748031496062995E-2</v>
      </c>
      <c r="HV68" s="216">
        <f t="shared" si="213"/>
        <v>0.5</v>
      </c>
      <c r="HW68" s="138">
        <f t="shared" si="214"/>
        <v>0</v>
      </c>
      <c r="HX68" s="138">
        <f t="shared" si="215"/>
        <v>0</v>
      </c>
      <c r="HY68" s="238">
        <f t="shared" si="216"/>
        <v>0</v>
      </c>
      <c r="HZ68" s="138">
        <f t="shared" si="217"/>
        <v>0.5</v>
      </c>
      <c r="IA68" s="138">
        <f t="shared" si="218"/>
        <v>0</v>
      </c>
      <c r="IB68" s="138">
        <f t="shared" si="219"/>
        <v>0</v>
      </c>
      <c r="IC68" s="138">
        <f t="shared" si="220"/>
        <v>0</v>
      </c>
      <c r="ID68" s="216">
        <f t="shared" si="221"/>
        <v>1.5748031496062995E-2</v>
      </c>
      <c r="IE68" s="138">
        <f t="shared" si="222"/>
        <v>0</v>
      </c>
      <c r="IF68" s="138">
        <f t="shared" si="223"/>
        <v>0</v>
      </c>
      <c r="IG68" s="238">
        <f t="shared" si="224"/>
        <v>0</v>
      </c>
      <c r="IH68" s="138">
        <f t="shared" si="225"/>
        <v>1.5748031496062995E-2</v>
      </c>
      <c r="II68" s="138">
        <f t="shared" si="226"/>
        <v>0</v>
      </c>
      <c r="IJ68" s="138">
        <f t="shared" si="227"/>
        <v>0</v>
      </c>
      <c r="IK68" s="138">
        <f t="shared" si="228"/>
        <v>0</v>
      </c>
      <c r="IL68" s="216">
        <f t="shared" si="229"/>
        <v>1.5748031496062995E-2</v>
      </c>
      <c r="IM68" s="138">
        <f t="shared" si="230"/>
        <v>0</v>
      </c>
      <c r="IN68" s="138">
        <f t="shared" si="231"/>
        <v>0</v>
      </c>
      <c r="IO68" s="238">
        <f t="shared" si="232"/>
        <v>0</v>
      </c>
      <c r="IP68" s="138">
        <f t="shared" si="233"/>
        <v>1.5748031496062995E-2</v>
      </c>
      <c r="IQ68" s="138">
        <f t="shared" si="234"/>
        <v>0</v>
      </c>
      <c r="IR68" s="138">
        <f t="shared" si="235"/>
        <v>0</v>
      </c>
      <c r="IS68" s="138">
        <f t="shared" si="236"/>
        <v>0</v>
      </c>
      <c r="IT68" s="17">
        <f t="shared" si="237"/>
        <v>0.5</v>
      </c>
      <c r="IU68" s="17">
        <f t="shared" si="238"/>
        <v>1.5748031496062995E-2</v>
      </c>
      <c r="IV68" s="17">
        <f t="shared" si="239"/>
        <v>1.5748031496062995E-2</v>
      </c>
      <c r="IW68" s="253">
        <f t="shared" si="240"/>
        <v>29.657481264000001</v>
      </c>
      <c r="IX68" s="116">
        <f t="shared" si="241"/>
        <v>3527.3082004002263</v>
      </c>
      <c r="IY68" s="8">
        <f t="shared" si="242"/>
        <v>9.119958735987016E-2</v>
      </c>
      <c r="IZ68" s="8">
        <f t="shared" si="243"/>
        <v>9.119958735987016E-2</v>
      </c>
      <c r="JA68" s="8">
        <f t="shared" si="244"/>
        <v>4.559979367993508E-2</v>
      </c>
      <c r="JB68" s="134">
        <f t="shared" si="245"/>
        <v>0.21354108194896615</v>
      </c>
      <c r="JC68" s="170">
        <f t="shared" si="246"/>
        <v>5.3419963961966015E-2</v>
      </c>
      <c r="JD68" s="272">
        <f t="shared" si="247"/>
        <v>0.23112759238560421</v>
      </c>
      <c r="JE68" s="8"/>
      <c r="JF68" s="8"/>
    </row>
    <row r="69" spans="1:266" x14ac:dyDescent="0.25">
      <c r="A69" s="186">
        <v>9</v>
      </c>
      <c r="B69" s="187">
        <f>A69/100*'Inputs-Imperial'!$E$5</f>
        <v>2.1673229039999997</v>
      </c>
      <c r="C69" s="188">
        <f>'Inputs-Imperial'!$E$10+('Inputs-Imperial'!$E$9-'Inputs-Imperial'!$E$10)*(100-A69)/100</f>
        <v>4.9251149870000006</v>
      </c>
      <c r="D69" s="187">
        <f t="shared" si="248"/>
        <v>0.24081365599999982</v>
      </c>
      <c r="E69" s="188">
        <f t="shared" si="249"/>
        <v>1.1881780140312088</v>
      </c>
      <c r="F69" s="423">
        <f>Loads!P29</f>
        <v>863.09364623455872</v>
      </c>
      <c r="G69" s="423">
        <f>Loads!M29</f>
        <v>8630.9364623455876</v>
      </c>
      <c r="H69" s="423">
        <f>Loads!N29</f>
        <v>85068.869299919243</v>
      </c>
      <c r="I69" s="423">
        <f>Loads!V29</f>
        <v>-20158.85669723614</v>
      </c>
      <c r="J69" s="423">
        <f>Loads!Q29</f>
        <v>8506.8869299919315</v>
      </c>
      <c r="K69" s="2">
        <v>9</v>
      </c>
      <c r="L69" s="12">
        <f t="shared" si="41"/>
        <v>26.007874847999997</v>
      </c>
      <c r="M69" s="11">
        <f t="shared" si="42"/>
        <v>59.101379844000007</v>
      </c>
      <c r="N69" s="11">
        <f t="shared" si="43"/>
        <v>2.8897638719999978</v>
      </c>
      <c r="O69" s="152">
        <f t="shared" si="44"/>
        <v>171.09763402049407</v>
      </c>
      <c r="P69" s="151">
        <f t="shared" si="45"/>
        <v>863.09364623455872</v>
      </c>
      <c r="Q69" s="12">
        <f t="shared" si="46"/>
        <v>8630.9364623455876</v>
      </c>
      <c r="R69" s="12">
        <f t="shared" si="47"/>
        <v>1020826.431599031</v>
      </c>
      <c r="S69" s="12">
        <f t="shared" si="48"/>
        <v>-241906.28036683367</v>
      </c>
      <c r="T69" s="152">
        <f t="shared" si="49"/>
        <v>102082.64315990318</v>
      </c>
      <c r="U69" s="8">
        <f t="shared" si="0"/>
        <v>10.638248371920001</v>
      </c>
      <c r="V69" s="8">
        <f t="shared" si="1"/>
        <v>10.638248371920001</v>
      </c>
      <c r="W69" s="134">
        <f t="shared" si="2"/>
        <v>5.3191241859600007</v>
      </c>
      <c r="X69" s="311">
        <f t="shared" si="3"/>
        <v>14.775344961000002</v>
      </c>
      <c r="Y69" s="11">
        <f t="shared" si="4"/>
        <v>44.326034883000005</v>
      </c>
      <c r="Z69" s="11">
        <f t="shared" si="5"/>
        <v>29.550689922000004</v>
      </c>
      <c r="AA69" s="316">
        <f t="shared" si="50"/>
        <v>44.326034883000005</v>
      </c>
      <c r="AB69" s="170">
        <f t="shared" si="51"/>
        <v>7.9786862789400015</v>
      </c>
      <c r="AC69" s="11">
        <f t="shared" si="52"/>
        <v>44.326034883000005</v>
      </c>
      <c r="AD69" s="152">
        <f t="shared" si="53"/>
        <v>277.76668403302773</v>
      </c>
      <c r="AE69" s="151">
        <f t="shared" si="6"/>
        <v>19.471483260632766</v>
      </c>
      <c r="AF69" s="12">
        <f t="shared" si="54"/>
        <v>435.44869538434261</v>
      </c>
      <c r="AG69" s="216">
        <f t="shared" si="7"/>
        <v>2.9804475892927628E-2</v>
      </c>
      <c r="AH69" s="2">
        <f t="shared" si="55"/>
        <v>4</v>
      </c>
      <c r="AI69" s="2">
        <f t="shared" si="56"/>
        <v>3</v>
      </c>
      <c r="AJ69" s="127">
        <f t="shared" si="57"/>
        <v>2</v>
      </c>
      <c r="AK69" s="2">
        <f t="shared" si="58"/>
        <v>1.5748031496062995E-2</v>
      </c>
      <c r="AL69" s="8">
        <f t="shared" si="8"/>
        <v>0.31365585477252539</v>
      </c>
      <c r="AM69" s="138">
        <f t="shared" si="59"/>
        <v>0.5</v>
      </c>
      <c r="AN69" s="12">
        <f t="shared" si="9"/>
        <v>25998.68820956034</v>
      </c>
      <c r="AO69" s="138">
        <f t="shared" si="60"/>
        <v>0.5</v>
      </c>
      <c r="AP69" s="116">
        <f t="shared" si="61"/>
        <v>2175570</v>
      </c>
      <c r="AQ69" s="2">
        <f t="shared" si="62"/>
        <v>1.5748031496062995E-2</v>
      </c>
      <c r="AR69" s="8">
        <f t="shared" si="63"/>
        <v>29.550689922000004</v>
      </c>
      <c r="AS69" s="116">
        <f t="shared" si="64"/>
        <v>2610.6840000000002</v>
      </c>
      <c r="AT69" s="217">
        <f t="shared" si="65"/>
        <v>3.7080837378395806E-2</v>
      </c>
      <c r="AU69" s="207">
        <f t="shared" si="66"/>
        <v>4.689123087584365</v>
      </c>
      <c r="AV69" s="144">
        <f t="shared" si="67"/>
        <v>7206.2480560276144</v>
      </c>
      <c r="AW69" s="138">
        <f t="shared" si="68"/>
        <v>2</v>
      </c>
      <c r="AX69" s="116">
        <f t="shared" si="69"/>
        <v>2175570</v>
      </c>
      <c r="AY69" s="2">
        <f t="shared" si="70"/>
        <v>1.5748031496062995E-2</v>
      </c>
      <c r="AZ69" s="8">
        <f t="shared" si="71"/>
        <v>29.550689922000004</v>
      </c>
      <c r="BA69" s="116">
        <f t="shared" si="72"/>
        <v>2610.6840000000002</v>
      </c>
      <c r="BB69" s="217">
        <f t="shared" si="73"/>
        <v>0.14832334951358322</v>
      </c>
      <c r="BC69" s="207">
        <f t="shared" si="74"/>
        <v>3.4556075399859925</v>
      </c>
      <c r="BD69" s="144">
        <f t="shared" si="75"/>
        <v>84969.286247495285</v>
      </c>
      <c r="BE69" s="138">
        <f t="shared" si="76"/>
        <v>2</v>
      </c>
      <c r="BF69" s="116">
        <f t="shared" si="77"/>
        <v>2175570</v>
      </c>
      <c r="BG69" s="2">
        <f t="shared" si="78"/>
        <v>1.5748031496062995E-2</v>
      </c>
      <c r="BH69" s="8">
        <f t="shared" si="79"/>
        <v>29.550689922000004</v>
      </c>
      <c r="BI69" s="116">
        <f t="shared" si="80"/>
        <v>2610.6840000000002</v>
      </c>
      <c r="BJ69" s="217">
        <f t="shared" si="81"/>
        <v>0.14832334951358322</v>
      </c>
      <c r="BK69" s="207">
        <f t="shared" si="82"/>
        <v>3.4556075399859925</v>
      </c>
      <c r="BL69" s="144">
        <f t="shared" si="83"/>
        <v>84969.286247495285</v>
      </c>
      <c r="BM69" s="216">
        <f t="shared" si="84"/>
        <v>2</v>
      </c>
      <c r="BN69" s="216">
        <f t="shared" si="85"/>
        <v>2.3622047244094495E-2</v>
      </c>
      <c r="BO69" s="238">
        <f t="shared" si="86"/>
        <v>1.5748031496062995E-2</v>
      </c>
      <c r="BP69" s="216">
        <f t="shared" si="87"/>
        <v>2</v>
      </c>
      <c r="BQ69" s="138">
        <f t="shared" si="88"/>
        <v>0</v>
      </c>
      <c r="BR69" s="138">
        <f t="shared" si="89"/>
        <v>0</v>
      </c>
      <c r="BS69" s="238">
        <f t="shared" si="90"/>
        <v>0</v>
      </c>
      <c r="BT69" s="138">
        <f t="shared" si="91"/>
        <v>2</v>
      </c>
      <c r="BU69" s="138">
        <f t="shared" si="92"/>
        <v>0</v>
      </c>
      <c r="BV69" s="138">
        <f t="shared" si="93"/>
        <v>0</v>
      </c>
      <c r="BW69" s="238">
        <f t="shared" si="94"/>
        <v>0</v>
      </c>
      <c r="BX69" s="216">
        <f t="shared" si="95"/>
        <v>2.3622047244094495E-2</v>
      </c>
      <c r="BY69" s="138">
        <f t="shared" si="96"/>
        <v>0</v>
      </c>
      <c r="BZ69" s="138">
        <f t="shared" si="97"/>
        <v>0</v>
      </c>
      <c r="CA69" s="238">
        <f t="shared" si="98"/>
        <v>0</v>
      </c>
      <c r="CB69" s="138">
        <f t="shared" si="99"/>
        <v>2.3622047244094495E-2</v>
      </c>
      <c r="CC69" s="138">
        <f t="shared" si="100"/>
        <v>0</v>
      </c>
      <c r="CD69" s="138">
        <f t="shared" si="101"/>
        <v>0</v>
      </c>
      <c r="CE69" s="238">
        <f t="shared" si="102"/>
        <v>0</v>
      </c>
      <c r="CF69" s="216">
        <f t="shared" si="103"/>
        <v>1.5748031496062995E-2</v>
      </c>
      <c r="CG69" s="138">
        <f t="shared" si="104"/>
        <v>0</v>
      </c>
      <c r="CH69" s="138">
        <f t="shared" si="105"/>
        <v>0</v>
      </c>
      <c r="CI69" s="238">
        <f t="shared" si="106"/>
        <v>0</v>
      </c>
      <c r="CJ69" s="138">
        <f t="shared" si="107"/>
        <v>2.3622047244094495E-2</v>
      </c>
      <c r="CK69" s="138">
        <f t="shared" si="108"/>
        <v>0</v>
      </c>
      <c r="CL69" s="138">
        <f t="shared" si="109"/>
        <v>0</v>
      </c>
      <c r="CM69" s="238">
        <f t="shared" si="110"/>
        <v>0</v>
      </c>
      <c r="CN69" s="17">
        <f t="shared" si="111"/>
        <v>2</v>
      </c>
      <c r="CO69" s="17">
        <f t="shared" si="112"/>
        <v>2.3622047244094495E-2</v>
      </c>
      <c r="CP69" s="17">
        <f t="shared" si="113"/>
        <v>2.3622047244094495E-2</v>
      </c>
      <c r="CQ69" s="17">
        <f>$U69-IF('Inputs-Imperial'!$E$13,0,2)*($CO69+$CN69+$CP69)</f>
        <v>10.638248371920001</v>
      </c>
      <c r="CR69" s="116">
        <f t="shared" si="114"/>
        <v>95958.131067285023</v>
      </c>
      <c r="CS69" s="8">
        <f t="shared" si="10"/>
        <v>2.4810256036508971</v>
      </c>
      <c r="CT69" s="8">
        <f t="shared" si="115"/>
        <v>1.5751271706281043</v>
      </c>
      <c r="CU69" s="8">
        <f t="shared" si="11"/>
        <v>2.4810256036508971</v>
      </c>
      <c r="CV69" s="8">
        <f t="shared" si="116"/>
        <v>1.5751271706281043</v>
      </c>
      <c r="CW69" s="216">
        <f t="shared" si="117"/>
        <v>9.0631212012918976</v>
      </c>
      <c r="CX69" s="116">
        <f t="shared" si="118"/>
        <v>112635.19585874211</v>
      </c>
      <c r="CY69" s="8">
        <f t="shared" si="119"/>
        <v>2.9122160018083734</v>
      </c>
      <c r="CZ69" s="8">
        <f t="shared" si="120"/>
        <v>1.7065216089485575</v>
      </c>
      <c r="DA69" s="8">
        <f t="shared" si="121"/>
        <v>2.9122160018083734</v>
      </c>
      <c r="DB69" s="8">
        <f t="shared" si="122"/>
        <v>1.7065216089485575</v>
      </c>
      <c r="DC69" s="216">
        <f t="shared" si="123"/>
        <v>8.9317267629714454</v>
      </c>
      <c r="DD69" s="116">
        <f t="shared" si="124"/>
        <v>114292.16977741693</v>
      </c>
      <c r="DE69" s="8">
        <f t="shared" si="125"/>
        <v>2.9550575481274799</v>
      </c>
      <c r="DF69" s="8">
        <f t="shared" si="126"/>
        <v>1.7190280824138622</v>
      </c>
      <c r="DG69" s="8">
        <f t="shared" si="127"/>
        <v>2.9550575481274799</v>
      </c>
      <c r="DH69" s="8">
        <f t="shared" si="128"/>
        <v>1.7190280824138622</v>
      </c>
      <c r="DI69" s="216">
        <f t="shared" si="129"/>
        <v>8.9192202895061392</v>
      </c>
      <c r="DJ69" s="116">
        <f t="shared" si="130"/>
        <v>114452.42952459407</v>
      </c>
      <c r="DK69" s="8">
        <f t="shared" si="131"/>
        <v>2.9592011108621721</v>
      </c>
      <c r="DL69" s="8">
        <f t="shared" si="132"/>
        <v>1.7202328653011405</v>
      </c>
      <c r="DM69" s="8">
        <f t="shared" si="133"/>
        <v>2.9592011108621721</v>
      </c>
      <c r="DN69" s="8">
        <f t="shared" si="134"/>
        <v>1.7202328653011405</v>
      </c>
      <c r="DO69" s="216">
        <f t="shared" si="135"/>
        <v>8.9180155066188593</v>
      </c>
      <c r="DP69" s="116">
        <f t="shared" si="136"/>
        <v>114467.89152153683</v>
      </c>
      <c r="DQ69" s="170">
        <f t="shared" si="137"/>
        <v>2.9596008853249707</v>
      </c>
      <c r="DR69" s="8">
        <f t="shared" si="138"/>
        <v>1.7203490591519417</v>
      </c>
      <c r="DS69" s="8">
        <f t="shared" si="139"/>
        <v>2.9596008853249707</v>
      </c>
      <c r="DT69" s="134">
        <f t="shared" si="140"/>
        <v>1.7203490591519417</v>
      </c>
      <c r="DU69" s="170">
        <f t="shared" si="141"/>
        <v>3.5859228878785925</v>
      </c>
      <c r="DV69" s="170">
        <f t="shared" si="141"/>
        <v>1.8936533177639967</v>
      </c>
      <c r="DW69" s="170">
        <f t="shared" si="141"/>
        <v>3.5859228878785925</v>
      </c>
      <c r="DX69" s="272">
        <f t="shared" si="141"/>
        <v>1.8936533177639967</v>
      </c>
      <c r="DY69" s="272">
        <f t="shared" si="142"/>
        <v>6.8509417363920075</v>
      </c>
      <c r="DZ69" s="22">
        <f t="shared" si="12"/>
        <v>811.31180252636534</v>
      </c>
      <c r="EA69" s="216">
        <f t="shared" si="13"/>
        <v>5.3153771134244653E-2</v>
      </c>
      <c r="EB69" s="12">
        <f t="shared" si="143"/>
        <v>7</v>
      </c>
      <c r="EC69" s="7">
        <f>ROUND(MAX(DV69,DX69)/'Inputs-Imperial'!$E$21,0)</f>
        <v>16</v>
      </c>
      <c r="ED69" s="12">
        <f t="shared" si="144"/>
        <v>16</v>
      </c>
      <c r="EE69" s="2">
        <f t="shared" si="145"/>
        <v>8</v>
      </c>
      <c r="EF69" s="127">
        <f t="shared" si="146"/>
        <v>8</v>
      </c>
      <c r="EG69" s="2">
        <f t="shared" si="147"/>
        <v>6.2992125984251982E-2</v>
      </c>
      <c r="EH69" s="8">
        <f t="shared" si="14"/>
        <v>0.55937878523308737</v>
      </c>
      <c r="EI69" s="138">
        <f t="shared" si="148"/>
        <v>0.75</v>
      </c>
      <c r="EJ69" s="12">
        <f t="shared" si="15"/>
        <v>11591.617378595442</v>
      </c>
      <c r="EK69" s="138">
        <f t="shared" si="149"/>
        <v>0.75</v>
      </c>
      <c r="EL69" s="116">
        <f t="shared" si="150"/>
        <v>2175570</v>
      </c>
      <c r="EM69" s="2">
        <f t="shared" si="16"/>
        <v>6.2992125984251982E-2</v>
      </c>
      <c r="EN69" s="8">
        <f t="shared" si="151"/>
        <v>10.638248371920001</v>
      </c>
      <c r="EO69" s="116">
        <f t="shared" si="152"/>
        <v>2610.6840000000002</v>
      </c>
      <c r="EP69" s="217">
        <f t="shared" si="153"/>
        <v>1.716705434184991</v>
      </c>
      <c r="EQ69" s="207">
        <f t="shared" si="154"/>
        <v>2</v>
      </c>
      <c r="ER69" s="144">
        <f t="shared" si="155"/>
        <v>53361.138472214589</v>
      </c>
      <c r="ES69" s="138">
        <f t="shared" si="17"/>
        <v>0.75</v>
      </c>
      <c r="ET69" s="116">
        <f t="shared" si="156"/>
        <v>2175570</v>
      </c>
      <c r="EU69" s="2">
        <f t="shared" si="18"/>
        <v>6.2992125984251982E-2</v>
      </c>
      <c r="EV69" s="8">
        <f t="shared" si="157"/>
        <v>10.638248371920001</v>
      </c>
      <c r="EW69" s="116">
        <f t="shared" si="158"/>
        <v>2610.6840000000002</v>
      </c>
      <c r="EX69" s="217">
        <f t="shared" si="159"/>
        <v>1.716705434184991</v>
      </c>
      <c r="EY69" s="207">
        <f t="shared" si="160"/>
        <v>2</v>
      </c>
      <c r="EZ69" s="144">
        <f t="shared" si="161"/>
        <v>53361.138472214589</v>
      </c>
      <c r="FA69" s="138">
        <f t="shared" si="19"/>
        <v>0.75</v>
      </c>
      <c r="FB69" s="116">
        <f t="shared" si="162"/>
        <v>2175570</v>
      </c>
      <c r="FC69" s="2">
        <f t="shared" si="20"/>
        <v>6.2992125984251982E-2</v>
      </c>
      <c r="FD69" s="8">
        <f t="shared" si="163"/>
        <v>10.638248371920001</v>
      </c>
      <c r="FE69" s="116">
        <f t="shared" si="164"/>
        <v>2610.6840000000002</v>
      </c>
      <c r="FF69" s="217">
        <f t="shared" si="165"/>
        <v>1.716705434184991</v>
      </c>
      <c r="FG69" s="207">
        <f t="shared" si="166"/>
        <v>2</v>
      </c>
      <c r="FH69" s="144">
        <f t="shared" si="167"/>
        <v>53361.138472214589</v>
      </c>
      <c r="FI69" s="128">
        <f t="shared" si="168"/>
        <v>0.75</v>
      </c>
      <c r="FJ69" s="2">
        <f t="shared" si="169"/>
        <v>6.2992125984251982E-2</v>
      </c>
      <c r="FK69" s="127">
        <f t="shared" si="170"/>
        <v>6.2992125984251982E-2</v>
      </c>
      <c r="FL69" s="216">
        <f t="shared" si="171"/>
        <v>0.75</v>
      </c>
      <c r="FM69" s="138">
        <f t="shared" si="172"/>
        <v>0</v>
      </c>
      <c r="FN69" s="138">
        <f t="shared" si="173"/>
        <v>0</v>
      </c>
      <c r="FO69" s="238">
        <f t="shared" si="174"/>
        <v>0</v>
      </c>
      <c r="FP69" s="216">
        <f t="shared" si="21"/>
        <v>0.75</v>
      </c>
      <c r="FQ69" s="138">
        <f t="shared" si="22"/>
        <v>0</v>
      </c>
      <c r="FR69" s="138">
        <f t="shared" si="23"/>
        <v>0</v>
      </c>
      <c r="FS69" s="238">
        <f t="shared" si="24"/>
        <v>0</v>
      </c>
      <c r="FT69" s="216">
        <f t="shared" si="175"/>
        <v>6.2992125984251982E-2</v>
      </c>
      <c r="FU69" s="138">
        <f t="shared" si="176"/>
        <v>0</v>
      </c>
      <c r="FV69" s="138">
        <f t="shared" si="177"/>
        <v>0</v>
      </c>
      <c r="FW69" s="238">
        <f t="shared" si="178"/>
        <v>0</v>
      </c>
      <c r="FX69" s="216">
        <f t="shared" si="25"/>
        <v>6.2992125984251982E-2</v>
      </c>
      <c r="FY69" s="138">
        <f t="shared" si="26"/>
        <v>0</v>
      </c>
      <c r="FZ69" s="138">
        <f t="shared" si="27"/>
        <v>0</v>
      </c>
      <c r="GA69" s="238">
        <f t="shared" si="28"/>
        <v>0</v>
      </c>
      <c r="GB69" s="216">
        <f t="shared" si="179"/>
        <v>6.2992125984251982E-2</v>
      </c>
      <c r="GC69" s="138">
        <f t="shared" si="180"/>
        <v>0</v>
      </c>
      <c r="GD69" s="138">
        <f t="shared" si="181"/>
        <v>0</v>
      </c>
      <c r="GE69" s="238">
        <f t="shared" si="182"/>
        <v>0</v>
      </c>
      <c r="GF69" s="216">
        <f t="shared" si="29"/>
        <v>6.2992125984251982E-2</v>
      </c>
      <c r="GG69" s="138">
        <f t="shared" si="30"/>
        <v>0</v>
      </c>
      <c r="GH69" s="138">
        <f t="shared" si="31"/>
        <v>0</v>
      </c>
      <c r="GI69" s="238">
        <f t="shared" si="32"/>
        <v>0</v>
      </c>
      <c r="GJ69" s="216">
        <f t="shared" si="183"/>
        <v>0.75</v>
      </c>
      <c r="GK69" s="216">
        <f t="shared" si="184"/>
        <v>6.2992125984251982E-2</v>
      </c>
      <c r="GL69" s="17">
        <f t="shared" si="185"/>
        <v>6.2992125984251982E-2</v>
      </c>
      <c r="GM69" s="216">
        <f t="shared" si="186"/>
        <v>2.8528785385705753E-2</v>
      </c>
      <c r="GN69" s="2">
        <f t="shared" si="187"/>
        <v>4</v>
      </c>
      <c r="GO69" s="2">
        <f t="shared" si="188"/>
        <v>2</v>
      </c>
      <c r="GP69" s="142">
        <f t="shared" si="189"/>
        <v>2</v>
      </c>
      <c r="GQ69" s="2">
        <f t="shared" si="190"/>
        <v>1.5748031496062995E-2</v>
      </c>
      <c r="GR69" s="8">
        <f t="shared" si="33"/>
        <v>0.30023076392693132</v>
      </c>
      <c r="GS69" s="138">
        <f t="shared" si="191"/>
        <v>0.5</v>
      </c>
      <c r="GT69" s="12">
        <f t="shared" si="34"/>
        <v>24885.892941215177</v>
      </c>
      <c r="GU69" s="138">
        <f t="shared" si="192"/>
        <v>0.5</v>
      </c>
      <c r="GV69" s="116">
        <f t="shared" si="193"/>
        <v>2175570</v>
      </c>
      <c r="GW69" s="2">
        <f t="shared" si="35"/>
        <v>6.2992125984251982E-2</v>
      </c>
      <c r="GX69" s="8">
        <f t="shared" si="36"/>
        <v>5.3191241859600007</v>
      </c>
      <c r="GY69" s="116">
        <f t="shared" si="194"/>
        <v>2610.6840000000002</v>
      </c>
      <c r="GZ69" s="217">
        <f t="shared" si="195"/>
        <v>4.577881157826643</v>
      </c>
      <c r="HA69" s="207">
        <f t="shared" si="196"/>
        <v>2</v>
      </c>
      <c r="HB69" s="144">
        <f t="shared" si="197"/>
        <v>94864.246172825937</v>
      </c>
      <c r="HC69" s="138">
        <f t="shared" si="37"/>
        <v>0.5</v>
      </c>
      <c r="HD69" s="116">
        <f t="shared" si="198"/>
        <v>2175570</v>
      </c>
      <c r="HE69" s="2">
        <f t="shared" si="38"/>
        <v>6.2992125984251982E-2</v>
      </c>
      <c r="HF69" s="8">
        <f t="shared" si="199"/>
        <v>5.3191241859600007</v>
      </c>
      <c r="HG69" s="116">
        <f t="shared" si="200"/>
        <v>2610.6840000000002</v>
      </c>
      <c r="HH69" s="217">
        <f t="shared" si="201"/>
        <v>4.577881157826643</v>
      </c>
      <c r="HI69" s="207">
        <f t="shared" si="202"/>
        <v>2</v>
      </c>
      <c r="HJ69" s="144">
        <f t="shared" si="203"/>
        <v>94864.246172825937</v>
      </c>
      <c r="HK69" s="138">
        <f t="shared" si="39"/>
        <v>0.5</v>
      </c>
      <c r="HL69" s="116">
        <f t="shared" si="204"/>
        <v>2175570</v>
      </c>
      <c r="HM69" s="2">
        <f t="shared" si="40"/>
        <v>6.2992125984251982E-2</v>
      </c>
      <c r="HN69" s="8">
        <f t="shared" si="205"/>
        <v>5.3191241859600007</v>
      </c>
      <c r="HO69" s="116">
        <f t="shared" si="206"/>
        <v>2610.6840000000002</v>
      </c>
      <c r="HP69" s="217">
        <f t="shared" si="207"/>
        <v>4.577881157826643</v>
      </c>
      <c r="HQ69" s="207">
        <f t="shared" si="208"/>
        <v>2</v>
      </c>
      <c r="HR69" s="144">
        <f t="shared" si="209"/>
        <v>94864.246172825937</v>
      </c>
      <c r="HS69" s="128">
        <f t="shared" si="210"/>
        <v>0.5</v>
      </c>
      <c r="HT69" s="2">
        <f t="shared" si="211"/>
        <v>1.5748031496062995E-2</v>
      </c>
      <c r="HU69" s="127">
        <f t="shared" si="212"/>
        <v>1.5748031496062995E-2</v>
      </c>
      <c r="HV69" s="216">
        <f t="shared" si="213"/>
        <v>0.5</v>
      </c>
      <c r="HW69" s="138">
        <f t="shared" si="214"/>
        <v>0</v>
      </c>
      <c r="HX69" s="138">
        <f t="shared" si="215"/>
        <v>0</v>
      </c>
      <c r="HY69" s="238">
        <f t="shared" si="216"/>
        <v>0</v>
      </c>
      <c r="HZ69" s="138">
        <f t="shared" si="217"/>
        <v>0.5</v>
      </c>
      <c r="IA69" s="138">
        <f t="shared" si="218"/>
        <v>0</v>
      </c>
      <c r="IB69" s="138">
        <f t="shared" si="219"/>
        <v>0</v>
      </c>
      <c r="IC69" s="138">
        <f t="shared" si="220"/>
        <v>0</v>
      </c>
      <c r="ID69" s="216">
        <f t="shared" si="221"/>
        <v>1.5748031496062995E-2</v>
      </c>
      <c r="IE69" s="138">
        <f t="shared" si="222"/>
        <v>0</v>
      </c>
      <c r="IF69" s="138">
        <f t="shared" si="223"/>
        <v>0</v>
      </c>
      <c r="IG69" s="238">
        <f t="shared" si="224"/>
        <v>0</v>
      </c>
      <c r="IH69" s="138">
        <f t="shared" si="225"/>
        <v>1.5748031496062995E-2</v>
      </c>
      <c r="II69" s="138">
        <f t="shared" si="226"/>
        <v>0</v>
      </c>
      <c r="IJ69" s="138">
        <f t="shared" si="227"/>
        <v>0</v>
      </c>
      <c r="IK69" s="138">
        <f t="shared" si="228"/>
        <v>0</v>
      </c>
      <c r="IL69" s="216">
        <f t="shared" si="229"/>
        <v>1.5748031496062995E-2</v>
      </c>
      <c r="IM69" s="138">
        <f t="shared" si="230"/>
        <v>0</v>
      </c>
      <c r="IN69" s="138">
        <f t="shared" si="231"/>
        <v>0</v>
      </c>
      <c r="IO69" s="238">
        <f t="shared" si="232"/>
        <v>0</v>
      </c>
      <c r="IP69" s="138">
        <f t="shared" si="233"/>
        <v>1.5748031496062995E-2</v>
      </c>
      <c r="IQ69" s="138">
        <f t="shared" si="234"/>
        <v>0</v>
      </c>
      <c r="IR69" s="138">
        <f t="shared" si="235"/>
        <v>0</v>
      </c>
      <c r="IS69" s="138">
        <f t="shared" si="236"/>
        <v>0</v>
      </c>
      <c r="IT69" s="17">
        <f t="shared" si="237"/>
        <v>0.5</v>
      </c>
      <c r="IU69" s="17">
        <f t="shared" si="238"/>
        <v>1.5748031496062995E-2</v>
      </c>
      <c r="IV69" s="17">
        <f t="shared" si="239"/>
        <v>1.5748031496062995E-2</v>
      </c>
      <c r="IW69" s="253">
        <f t="shared" si="240"/>
        <v>29.550689922000004</v>
      </c>
      <c r="IX69" s="116">
        <f t="shared" si="241"/>
        <v>3454.4927184222634</v>
      </c>
      <c r="IY69" s="8">
        <f t="shared" si="242"/>
        <v>8.9316921731432367E-2</v>
      </c>
      <c r="IZ69" s="8">
        <f t="shared" si="243"/>
        <v>8.9316921731432367E-2</v>
      </c>
      <c r="JA69" s="8">
        <f t="shared" si="244"/>
        <v>4.4658460865716183E-2</v>
      </c>
      <c r="JB69" s="134">
        <f t="shared" si="245"/>
        <v>0.21132548560388115</v>
      </c>
      <c r="JC69" s="170">
        <f t="shared" si="246"/>
        <v>5.3419963961966015E-2</v>
      </c>
      <c r="JD69" s="272">
        <f t="shared" si="247"/>
        <v>0.23112759238560421</v>
      </c>
      <c r="JE69" s="8"/>
      <c r="JF69" s="8"/>
    </row>
    <row r="70" spans="1:266" x14ac:dyDescent="0.25">
      <c r="A70" s="186">
        <v>10</v>
      </c>
      <c r="B70" s="187">
        <f>A70/100*'Inputs-Imperial'!$E$5</f>
        <v>2.40813656</v>
      </c>
      <c r="C70" s="188">
        <f>'Inputs-Imperial'!$E$10+('Inputs-Imperial'!$E$9-'Inputs-Imperial'!$E$10)*(100-A70)/100</f>
        <v>4.9073164299999998</v>
      </c>
      <c r="D70" s="187">
        <f t="shared" si="248"/>
        <v>0.24081365600000026</v>
      </c>
      <c r="E70" s="188">
        <f t="shared" si="249"/>
        <v>1.1838918784485166</v>
      </c>
      <c r="F70" s="423">
        <f>Loads!P30</f>
        <v>851.25143011253522</v>
      </c>
      <c r="G70" s="423">
        <f>Loads!M30</f>
        <v>8512.5143011253513</v>
      </c>
      <c r="H70" s="423">
        <f>Loads!N30</f>
        <v>82990.421935718099</v>
      </c>
      <c r="I70" s="423">
        <f>Loads!V30</f>
        <v>-19825.957710997001</v>
      </c>
      <c r="J70" s="423">
        <f>Loads!Q30</f>
        <v>8299.0421935718168</v>
      </c>
      <c r="K70" s="2">
        <v>10</v>
      </c>
      <c r="L70" s="12">
        <f t="shared" si="41"/>
        <v>28.89763872</v>
      </c>
      <c r="M70" s="11">
        <f t="shared" si="42"/>
        <v>58.887797159999998</v>
      </c>
      <c r="N70" s="11">
        <f t="shared" si="43"/>
        <v>2.8897638720000032</v>
      </c>
      <c r="O70" s="152">
        <f t="shared" si="44"/>
        <v>170.48043049658639</v>
      </c>
      <c r="P70" s="151">
        <f t="shared" si="45"/>
        <v>851.25143011253522</v>
      </c>
      <c r="Q70" s="12">
        <f t="shared" si="46"/>
        <v>8512.5143011253513</v>
      </c>
      <c r="R70" s="12">
        <f t="shared" si="47"/>
        <v>995885.06322861719</v>
      </c>
      <c r="S70" s="12">
        <f t="shared" si="48"/>
        <v>-237911.49253196403</v>
      </c>
      <c r="T70" s="152">
        <f t="shared" si="49"/>
        <v>99588.506322861795</v>
      </c>
      <c r="U70" s="8">
        <f t="shared" si="0"/>
        <v>10.599803488799999</v>
      </c>
      <c r="V70" s="8">
        <f t="shared" si="1"/>
        <v>10.599803488799999</v>
      </c>
      <c r="W70" s="134">
        <f t="shared" si="2"/>
        <v>5.2999017443999996</v>
      </c>
      <c r="X70" s="311">
        <f t="shared" si="3"/>
        <v>14.72194929</v>
      </c>
      <c r="Y70" s="11">
        <f t="shared" si="4"/>
        <v>44.16584787</v>
      </c>
      <c r="Z70" s="11">
        <f t="shared" si="5"/>
        <v>29.443898580000003</v>
      </c>
      <c r="AA70" s="316">
        <f t="shared" si="50"/>
        <v>44.16584787</v>
      </c>
      <c r="AB70" s="170">
        <f t="shared" si="51"/>
        <v>7.9498526165999994</v>
      </c>
      <c r="AC70" s="11">
        <f t="shared" si="52"/>
        <v>44.16584787</v>
      </c>
      <c r="AD70" s="152">
        <f t="shared" si="53"/>
        <v>275.76270522347721</v>
      </c>
      <c r="AE70" s="151">
        <f t="shared" si="6"/>
        <v>19.273974601781717</v>
      </c>
      <c r="AF70" s="12">
        <f t="shared" si="54"/>
        <v>431.36995689674808</v>
      </c>
      <c r="AG70" s="216">
        <f t="shared" si="7"/>
        <v>2.9524313985473741E-2</v>
      </c>
      <c r="AH70" s="2">
        <f t="shared" si="55"/>
        <v>4</v>
      </c>
      <c r="AI70" s="2">
        <f t="shared" si="56"/>
        <v>3</v>
      </c>
      <c r="AJ70" s="127">
        <f t="shared" si="57"/>
        <v>2</v>
      </c>
      <c r="AK70" s="2">
        <f t="shared" si="58"/>
        <v>1.5748031496062995E-2</v>
      </c>
      <c r="AL70" s="8">
        <f t="shared" si="8"/>
        <v>0.31070749148397647</v>
      </c>
      <c r="AM70" s="138">
        <f t="shared" si="59"/>
        <v>0.5</v>
      </c>
      <c r="AN70" s="12">
        <f t="shared" si="9"/>
        <v>25754.300685140974</v>
      </c>
      <c r="AO70" s="138">
        <f t="shared" si="60"/>
        <v>0.5</v>
      </c>
      <c r="AP70" s="116">
        <f t="shared" si="61"/>
        <v>2175570</v>
      </c>
      <c r="AQ70" s="2">
        <f t="shared" si="62"/>
        <v>1.5748031496062995E-2</v>
      </c>
      <c r="AR70" s="8">
        <f t="shared" si="63"/>
        <v>29.443898580000003</v>
      </c>
      <c r="AS70" s="116">
        <f t="shared" si="64"/>
        <v>2610.6840000000002</v>
      </c>
      <c r="AT70" s="217">
        <f t="shared" si="65"/>
        <v>3.7350305333776035E-2</v>
      </c>
      <c r="AU70" s="207">
        <f t="shared" si="66"/>
        <v>4.685112210680888</v>
      </c>
      <c r="AV70" s="144">
        <f t="shared" si="67"/>
        <v>7252.4074418972077</v>
      </c>
      <c r="AW70" s="138">
        <f t="shared" si="68"/>
        <v>2</v>
      </c>
      <c r="AX70" s="116">
        <f t="shared" si="69"/>
        <v>2175570</v>
      </c>
      <c r="AY70" s="2">
        <f t="shared" si="70"/>
        <v>1.5748031496062995E-2</v>
      </c>
      <c r="AZ70" s="8">
        <f t="shared" si="71"/>
        <v>29.443898580000003</v>
      </c>
      <c r="BA70" s="116">
        <f t="shared" si="72"/>
        <v>2610.6840000000002</v>
      </c>
      <c r="BB70" s="217">
        <f t="shared" si="73"/>
        <v>0.14940122133510414</v>
      </c>
      <c r="BC70" s="207">
        <f t="shared" si="74"/>
        <v>3.4471049213526292</v>
      </c>
      <c r="BD70" s="144">
        <f t="shared" si="75"/>
        <v>85376.17289976521</v>
      </c>
      <c r="BE70" s="138">
        <f t="shared" si="76"/>
        <v>2</v>
      </c>
      <c r="BF70" s="116">
        <f t="shared" si="77"/>
        <v>2175570</v>
      </c>
      <c r="BG70" s="2">
        <f t="shared" si="78"/>
        <v>1.5748031496062995E-2</v>
      </c>
      <c r="BH70" s="8">
        <f t="shared" si="79"/>
        <v>29.443898580000003</v>
      </c>
      <c r="BI70" s="116">
        <f t="shared" si="80"/>
        <v>2610.6840000000002</v>
      </c>
      <c r="BJ70" s="217">
        <f t="shared" si="81"/>
        <v>0.14940122133510414</v>
      </c>
      <c r="BK70" s="207">
        <f t="shared" si="82"/>
        <v>3.4471049213526292</v>
      </c>
      <c r="BL70" s="144">
        <f t="shared" si="83"/>
        <v>85376.17289976521</v>
      </c>
      <c r="BM70" s="216">
        <f t="shared" si="84"/>
        <v>2</v>
      </c>
      <c r="BN70" s="216">
        <f t="shared" si="85"/>
        <v>2.3622047244094495E-2</v>
      </c>
      <c r="BO70" s="238">
        <f t="shared" si="86"/>
        <v>1.5748031496062995E-2</v>
      </c>
      <c r="BP70" s="216">
        <f t="shared" si="87"/>
        <v>2</v>
      </c>
      <c r="BQ70" s="138">
        <f t="shared" si="88"/>
        <v>0</v>
      </c>
      <c r="BR70" s="138">
        <f t="shared" si="89"/>
        <v>0</v>
      </c>
      <c r="BS70" s="238">
        <f t="shared" si="90"/>
        <v>0</v>
      </c>
      <c r="BT70" s="138">
        <f t="shared" si="91"/>
        <v>2</v>
      </c>
      <c r="BU70" s="138">
        <f t="shared" si="92"/>
        <v>0</v>
      </c>
      <c r="BV70" s="138">
        <f t="shared" si="93"/>
        <v>0</v>
      </c>
      <c r="BW70" s="238">
        <f t="shared" si="94"/>
        <v>0</v>
      </c>
      <c r="BX70" s="216">
        <f t="shared" si="95"/>
        <v>2.3622047244094495E-2</v>
      </c>
      <c r="BY70" s="138">
        <f t="shared" si="96"/>
        <v>0</v>
      </c>
      <c r="BZ70" s="138">
        <f t="shared" si="97"/>
        <v>0</v>
      </c>
      <c r="CA70" s="238">
        <f t="shared" si="98"/>
        <v>0</v>
      </c>
      <c r="CB70" s="138">
        <f t="shared" si="99"/>
        <v>2.3622047244094495E-2</v>
      </c>
      <c r="CC70" s="138">
        <f t="shared" si="100"/>
        <v>0</v>
      </c>
      <c r="CD70" s="138">
        <f t="shared" si="101"/>
        <v>0</v>
      </c>
      <c r="CE70" s="238">
        <f t="shared" si="102"/>
        <v>0</v>
      </c>
      <c r="CF70" s="216">
        <f t="shared" si="103"/>
        <v>1.5748031496062995E-2</v>
      </c>
      <c r="CG70" s="138">
        <f t="shared" si="104"/>
        <v>0</v>
      </c>
      <c r="CH70" s="138">
        <f t="shared" si="105"/>
        <v>0</v>
      </c>
      <c r="CI70" s="238">
        <f t="shared" si="106"/>
        <v>0</v>
      </c>
      <c r="CJ70" s="138">
        <f t="shared" si="107"/>
        <v>2.3622047244094495E-2</v>
      </c>
      <c r="CK70" s="138">
        <f t="shared" si="108"/>
        <v>0</v>
      </c>
      <c r="CL70" s="138">
        <f t="shared" si="109"/>
        <v>0</v>
      </c>
      <c r="CM70" s="238">
        <f t="shared" si="110"/>
        <v>0</v>
      </c>
      <c r="CN70" s="17">
        <f t="shared" si="111"/>
        <v>2</v>
      </c>
      <c r="CO70" s="17">
        <f t="shared" si="112"/>
        <v>2.3622047244094495E-2</v>
      </c>
      <c r="CP70" s="17">
        <f t="shared" si="113"/>
        <v>2.3622047244094495E-2</v>
      </c>
      <c r="CQ70" s="17">
        <f>$U70-IF('Inputs-Imperial'!$E$13,0,2)*($CO70+$CN70+$CP70)</f>
        <v>10.599803488799999</v>
      </c>
      <c r="CR70" s="116">
        <f t="shared" si="114"/>
        <v>93953.162837489654</v>
      </c>
      <c r="CS70" s="8">
        <f t="shared" si="10"/>
        <v>2.4291865624221662</v>
      </c>
      <c r="CT70" s="8">
        <f t="shared" si="115"/>
        <v>1.5585847947488023</v>
      </c>
      <c r="CU70" s="8">
        <f t="shared" si="11"/>
        <v>2.4291865624221662</v>
      </c>
      <c r="CV70" s="8">
        <f t="shared" si="116"/>
        <v>1.5585847947488023</v>
      </c>
      <c r="CW70" s="216">
        <f t="shared" si="117"/>
        <v>9.0412186940511958</v>
      </c>
      <c r="CX70" s="116">
        <f t="shared" si="118"/>
        <v>110149.42751953058</v>
      </c>
      <c r="CY70" s="8">
        <f t="shared" si="119"/>
        <v>2.8479457328302904</v>
      </c>
      <c r="CZ70" s="8">
        <f t="shared" si="120"/>
        <v>1.6875857705107289</v>
      </c>
      <c r="DA70" s="8">
        <f t="shared" si="121"/>
        <v>2.8479457328302904</v>
      </c>
      <c r="DB70" s="8">
        <f t="shared" si="122"/>
        <v>1.6875857705107289</v>
      </c>
      <c r="DC70" s="216">
        <f t="shared" si="123"/>
        <v>8.9122177182892699</v>
      </c>
      <c r="DD70" s="116">
        <f t="shared" si="124"/>
        <v>111743.79876121122</v>
      </c>
      <c r="DE70" s="8">
        <f t="shared" si="125"/>
        <v>2.8891686685871432</v>
      </c>
      <c r="DF70" s="8">
        <f t="shared" si="126"/>
        <v>1.6997554731746396</v>
      </c>
      <c r="DG70" s="8">
        <f t="shared" si="127"/>
        <v>2.8891686685871432</v>
      </c>
      <c r="DH70" s="8">
        <f t="shared" si="128"/>
        <v>1.6997554731746396</v>
      </c>
      <c r="DI70" s="216">
        <f t="shared" si="129"/>
        <v>8.9000480156253587</v>
      </c>
      <c r="DJ70" s="116">
        <f t="shared" si="130"/>
        <v>111896.59443187191</v>
      </c>
      <c r="DK70" s="8">
        <f t="shared" si="131"/>
        <v>2.8931192454358143</v>
      </c>
      <c r="DL70" s="8">
        <f t="shared" si="132"/>
        <v>1.7009171777120173</v>
      </c>
      <c r="DM70" s="8">
        <f t="shared" si="133"/>
        <v>2.8931192454358143</v>
      </c>
      <c r="DN70" s="8">
        <f t="shared" si="134"/>
        <v>1.7009171777120173</v>
      </c>
      <c r="DO70" s="216">
        <f t="shared" si="135"/>
        <v>8.8988863110879812</v>
      </c>
      <c r="DP70" s="116">
        <f t="shared" si="136"/>
        <v>111911.20196554797</v>
      </c>
      <c r="DQ70" s="170">
        <f t="shared" si="137"/>
        <v>2.8934969275004128</v>
      </c>
      <c r="DR70" s="8">
        <f t="shared" si="138"/>
        <v>1.7010281971503038</v>
      </c>
      <c r="DS70" s="8">
        <f t="shared" si="139"/>
        <v>2.8934969275004128</v>
      </c>
      <c r="DT70" s="134">
        <f t="shared" si="140"/>
        <v>1.7010281971503038</v>
      </c>
      <c r="DU70" s="170">
        <f>MAX(DQ$70:DQ$79)</f>
        <v>2.8934969275004128</v>
      </c>
      <c r="DV70" s="170">
        <f>MAX(DR$70:DR$79)</f>
        <v>1.7010281971503038</v>
      </c>
      <c r="DW70" s="170">
        <f>MAX(DS$70:DS$79)</f>
        <v>2.8934969275004128</v>
      </c>
      <c r="DX70" s="272">
        <f>MAX(DT$70:DT$79)</f>
        <v>1.7010281971503038</v>
      </c>
      <c r="DY70" s="272">
        <f t="shared" si="142"/>
        <v>7.1977470944993911</v>
      </c>
      <c r="DZ70" s="22">
        <f t="shared" si="12"/>
        <v>803.08227507423828</v>
      </c>
      <c r="EA70" s="216">
        <f t="shared" si="13"/>
        <v>5.2614606761963591E-2</v>
      </c>
      <c r="EB70" s="12">
        <f t="shared" si="143"/>
        <v>7</v>
      </c>
      <c r="EC70" s="7">
        <f>ROUND(MAX(DV70,DX70)/'Inputs-Imperial'!$E$21,0)</f>
        <v>14</v>
      </c>
      <c r="ED70" s="12">
        <f t="shared" si="144"/>
        <v>14</v>
      </c>
      <c r="EE70" s="2">
        <f t="shared" si="145"/>
        <v>7</v>
      </c>
      <c r="EF70" s="127">
        <f t="shared" si="146"/>
        <v>7</v>
      </c>
      <c r="EG70" s="2">
        <f t="shared" si="147"/>
        <v>5.5118110236220486E-2</v>
      </c>
      <c r="EH70" s="8">
        <f t="shared" si="14"/>
        <v>0.55370473605140602</v>
      </c>
      <c r="EI70" s="138">
        <f t="shared" si="148"/>
        <v>0.75</v>
      </c>
      <c r="EJ70" s="12">
        <f t="shared" si="15"/>
        <v>13113.186291569345</v>
      </c>
      <c r="EK70" s="138">
        <f t="shared" si="149"/>
        <v>0.75</v>
      </c>
      <c r="EL70" s="116">
        <f t="shared" si="150"/>
        <v>2175570</v>
      </c>
      <c r="EM70" s="2">
        <f t="shared" si="16"/>
        <v>5.5118110236220486E-2</v>
      </c>
      <c r="EN70" s="8">
        <f t="shared" si="151"/>
        <v>10.599803488799999</v>
      </c>
      <c r="EO70" s="116">
        <f t="shared" si="152"/>
        <v>2610.6840000000002</v>
      </c>
      <c r="EP70" s="217">
        <f t="shared" si="153"/>
        <v>1.5130332021784278</v>
      </c>
      <c r="EQ70" s="207">
        <f t="shared" si="154"/>
        <v>2</v>
      </c>
      <c r="ER70" s="144">
        <f t="shared" si="155"/>
        <v>53748.916038673946</v>
      </c>
      <c r="ES70" s="138">
        <f t="shared" si="17"/>
        <v>0.75</v>
      </c>
      <c r="ET70" s="116">
        <f t="shared" si="156"/>
        <v>2175570</v>
      </c>
      <c r="EU70" s="2">
        <f t="shared" si="18"/>
        <v>5.5118110236220486E-2</v>
      </c>
      <c r="EV70" s="8">
        <f t="shared" si="157"/>
        <v>10.599803488799999</v>
      </c>
      <c r="EW70" s="116">
        <f t="shared" si="158"/>
        <v>2610.6840000000002</v>
      </c>
      <c r="EX70" s="217">
        <f t="shared" si="159"/>
        <v>1.5130332021784278</v>
      </c>
      <c r="EY70" s="207">
        <f t="shared" si="160"/>
        <v>2</v>
      </c>
      <c r="EZ70" s="144">
        <f t="shared" si="161"/>
        <v>53748.916038673946</v>
      </c>
      <c r="FA70" s="138">
        <f t="shared" si="19"/>
        <v>0.75</v>
      </c>
      <c r="FB70" s="116">
        <f t="shared" si="162"/>
        <v>2175570</v>
      </c>
      <c r="FC70" s="2">
        <f t="shared" si="20"/>
        <v>5.5118110236220486E-2</v>
      </c>
      <c r="FD70" s="8">
        <f t="shared" si="163"/>
        <v>10.599803488799999</v>
      </c>
      <c r="FE70" s="116">
        <f t="shared" si="164"/>
        <v>2610.6840000000002</v>
      </c>
      <c r="FF70" s="217">
        <f t="shared" si="165"/>
        <v>1.5130332021784278</v>
      </c>
      <c r="FG70" s="207">
        <f t="shared" si="166"/>
        <v>2</v>
      </c>
      <c r="FH70" s="144">
        <f t="shared" si="167"/>
        <v>53748.916038673946</v>
      </c>
      <c r="FI70" s="128">
        <f t="shared" si="168"/>
        <v>0.75</v>
      </c>
      <c r="FJ70" s="2">
        <f t="shared" si="169"/>
        <v>5.5118110236220486E-2</v>
      </c>
      <c r="FK70" s="127">
        <f t="shared" si="170"/>
        <v>5.5118110236220486E-2</v>
      </c>
      <c r="FL70" s="216">
        <f t="shared" si="171"/>
        <v>0.75</v>
      </c>
      <c r="FM70" s="138">
        <f t="shared" si="172"/>
        <v>0</v>
      </c>
      <c r="FN70" s="138">
        <f t="shared" si="173"/>
        <v>0</v>
      </c>
      <c r="FO70" s="238">
        <f t="shared" si="174"/>
        <v>0</v>
      </c>
      <c r="FP70" s="216">
        <f t="shared" si="21"/>
        <v>0.75</v>
      </c>
      <c r="FQ70" s="138">
        <f t="shared" si="22"/>
        <v>0</v>
      </c>
      <c r="FR70" s="138">
        <f t="shared" si="23"/>
        <v>0</v>
      </c>
      <c r="FS70" s="238">
        <f t="shared" si="24"/>
        <v>0</v>
      </c>
      <c r="FT70" s="216">
        <f t="shared" si="175"/>
        <v>5.5118110236220486E-2</v>
      </c>
      <c r="FU70" s="138">
        <f t="shared" si="176"/>
        <v>0</v>
      </c>
      <c r="FV70" s="138">
        <f t="shared" si="177"/>
        <v>0</v>
      </c>
      <c r="FW70" s="238">
        <f t="shared" si="178"/>
        <v>0</v>
      </c>
      <c r="FX70" s="216">
        <f t="shared" si="25"/>
        <v>6.2992125984251982E-2</v>
      </c>
      <c r="FY70" s="138">
        <f t="shared" si="26"/>
        <v>0</v>
      </c>
      <c r="FZ70" s="138">
        <f t="shared" si="27"/>
        <v>0</v>
      </c>
      <c r="GA70" s="238">
        <f t="shared" si="28"/>
        <v>0</v>
      </c>
      <c r="GB70" s="216">
        <f t="shared" si="179"/>
        <v>5.5118110236220486E-2</v>
      </c>
      <c r="GC70" s="138">
        <f t="shared" si="180"/>
        <v>0</v>
      </c>
      <c r="GD70" s="138">
        <f t="shared" si="181"/>
        <v>0</v>
      </c>
      <c r="GE70" s="238">
        <f t="shared" si="182"/>
        <v>0</v>
      </c>
      <c r="GF70" s="216">
        <f t="shared" si="29"/>
        <v>6.2992125984251982E-2</v>
      </c>
      <c r="GG70" s="138">
        <f t="shared" si="30"/>
        <v>0</v>
      </c>
      <c r="GH70" s="138">
        <f t="shared" si="31"/>
        <v>0</v>
      </c>
      <c r="GI70" s="238">
        <f t="shared" si="32"/>
        <v>0</v>
      </c>
      <c r="GJ70" s="216">
        <f t="shared" si="183"/>
        <v>0.75</v>
      </c>
      <c r="GK70" s="216">
        <f t="shared" si="184"/>
        <v>6.2992125984251982E-2</v>
      </c>
      <c r="GL70" s="17">
        <f t="shared" si="185"/>
        <v>6.2992125984251982E-2</v>
      </c>
      <c r="GM70" s="216">
        <f t="shared" si="186"/>
        <v>2.8261563423186614E-2</v>
      </c>
      <c r="GN70" s="2">
        <f t="shared" si="187"/>
        <v>4</v>
      </c>
      <c r="GO70" s="2">
        <f t="shared" si="188"/>
        <v>2</v>
      </c>
      <c r="GP70" s="142">
        <f t="shared" si="189"/>
        <v>2</v>
      </c>
      <c r="GQ70" s="2">
        <f t="shared" si="190"/>
        <v>1.5748031496062995E-2</v>
      </c>
      <c r="GR70" s="8">
        <f t="shared" si="33"/>
        <v>0.2974185778187427</v>
      </c>
      <c r="GS70" s="138">
        <f t="shared" si="191"/>
        <v>0.5</v>
      </c>
      <c r="GT70" s="12">
        <f t="shared" si="34"/>
        <v>24652.793036649149</v>
      </c>
      <c r="GU70" s="138">
        <f t="shared" si="192"/>
        <v>0.5</v>
      </c>
      <c r="GV70" s="116">
        <f t="shared" si="193"/>
        <v>2175570</v>
      </c>
      <c r="GW70" s="2">
        <f t="shared" si="35"/>
        <v>5.5118110236220486E-2</v>
      </c>
      <c r="GX70" s="8">
        <f t="shared" si="36"/>
        <v>5.2999017443999996</v>
      </c>
      <c r="GY70" s="116">
        <f t="shared" si="194"/>
        <v>2610.6840000000002</v>
      </c>
      <c r="GZ70" s="217">
        <f t="shared" si="195"/>
        <v>4.0347552058091409</v>
      </c>
      <c r="HA70" s="207">
        <f t="shared" si="196"/>
        <v>2</v>
      </c>
      <c r="HB70" s="144">
        <f t="shared" si="197"/>
        <v>95553.628513198128</v>
      </c>
      <c r="HC70" s="138">
        <f t="shared" si="37"/>
        <v>0.5</v>
      </c>
      <c r="HD70" s="116">
        <f t="shared" si="198"/>
        <v>2175570</v>
      </c>
      <c r="HE70" s="2">
        <f t="shared" si="38"/>
        <v>5.5118110236220486E-2</v>
      </c>
      <c r="HF70" s="8">
        <f t="shared" si="199"/>
        <v>5.2999017443999996</v>
      </c>
      <c r="HG70" s="116">
        <f t="shared" si="200"/>
        <v>2610.6840000000002</v>
      </c>
      <c r="HH70" s="217">
        <f t="shared" si="201"/>
        <v>4.0347552058091409</v>
      </c>
      <c r="HI70" s="207">
        <f t="shared" si="202"/>
        <v>2</v>
      </c>
      <c r="HJ70" s="144">
        <f t="shared" si="203"/>
        <v>95553.628513198128</v>
      </c>
      <c r="HK70" s="138">
        <f t="shared" si="39"/>
        <v>0.5</v>
      </c>
      <c r="HL70" s="116">
        <f t="shared" si="204"/>
        <v>2175570</v>
      </c>
      <c r="HM70" s="2">
        <f t="shared" si="40"/>
        <v>5.5118110236220486E-2</v>
      </c>
      <c r="HN70" s="8">
        <f t="shared" si="205"/>
        <v>5.2999017443999996</v>
      </c>
      <c r="HO70" s="116">
        <f t="shared" si="206"/>
        <v>2610.6840000000002</v>
      </c>
      <c r="HP70" s="217">
        <f t="shared" si="207"/>
        <v>4.0347552058091409</v>
      </c>
      <c r="HQ70" s="207">
        <f t="shared" si="208"/>
        <v>2</v>
      </c>
      <c r="HR70" s="144">
        <f t="shared" si="209"/>
        <v>95553.628513198128</v>
      </c>
      <c r="HS70" s="128">
        <f t="shared" si="210"/>
        <v>0.5</v>
      </c>
      <c r="HT70" s="2">
        <f t="shared" si="211"/>
        <v>1.5748031496062995E-2</v>
      </c>
      <c r="HU70" s="127">
        <f t="shared" si="212"/>
        <v>1.5748031496062995E-2</v>
      </c>
      <c r="HV70" s="216">
        <f t="shared" si="213"/>
        <v>0.5</v>
      </c>
      <c r="HW70" s="138">
        <f t="shared" si="214"/>
        <v>0</v>
      </c>
      <c r="HX70" s="138">
        <f t="shared" si="215"/>
        <v>0</v>
      </c>
      <c r="HY70" s="238">
        <f t="shared" si="216"/>
        <v>0</v>
      </c>
      <c r="HZ70" s="138">
        <f t="shared" si="217"/>
        <v>0.5</v>
      </c>
      <c r="IA70" s="138">
        <f t="shared" si="218"/>
        <v>0</v>
      </c>
      <c r="IB70" s="138">
        <f t="shared" si="219"/>
        <v>0</v>
      </c>
      <c r="IC70" s="138">
        <f t="shared" si="220"/>
        <v>0</v>
      </c>
      <c r="ID70" s="216">
        <f t="shared" si="221"/>
        <v>1.5748031496062995E-2</v>
      </c>
      <c r="IE70" s="138">
        <f t="shared" si="222"/>
        <v>0</v>
      </c>
      <c r="IF70" s="138">
        <f t="shared" si="223"/>
        <v>0</v>
      </c>
      <c r="IG70" s="238">
        <f t="shared" si="224"/>
        <v>0</v>
      </c>
      <c r="IH70" s="138">
        <f t="shared" si="225"/>
        <v>1.5748031496062995E-2</v>
      </c>
      <c r="II70" s="138">
        <f t="shared" si="226"/>
        <v>0</v>
      </c>
      <c r="IJ70" s="138">
        <f t="shared" si="227"/>
        <v>0</v>
      </c>
      <c r="IK70" s="138">
        <f t="shared" si="228"/>
        <v>0</v>
      </c>
      <c r="IL70" s="216">
        <f t="shared" si="229"/>
        <v>1.5748031496062995E-2</v>
      </c>
      <c r="IM70" s="138">
        <f t="shared" si="230"/>
        <v>0</v>
      </c>
      <c r="IN70" s="138">
        <f t="shared" si="231"/>
        <v>0</v>
      </c>
      <c r="IO70" s="238">
        <f t="shared" si="232"/>
        <v>0</v>
      </c>
      <c r="IP70" s="138">
        <f t="shared" si="233"/>
        <v>1.5748031496062995E-2</v>
      </c>
      <c r="IQ70" s="138">
        <f t="shared" si="234"/>
        <v>0</v>
      </c>
      <c r="IR70" s="138">
        <f t="shared" si="235"/>
        <v>0</v>
      </c>
      <c r="IS70" s="138">
        <f t="shared" si="236"/>
        <v>0</v>
      </c>
      <c r="IT70" s="17">
        <f t="shared" si="237"/>
        <v>0.5</v>
      </c>
      <c r="IU70" s="17">
        <f t="shared" si="238"/>
        <v>1.5748031496062995E-2</v>
      </c>
      <c r="IV70" s="17">
        <f t="shared" si="239"/>
        <v>1.5748031496062995E-2</v>
      </c>
      <c r="IW70" s="253">
        <f t="shared" si="240"/>
        <v>29.443898580000003</v>
      </c>
      <c r="IX70" s="116">
        <f t="shared" si="241"/>
        <v>3382.3138621496291</v>
      </c>
      <c r="IY70" s="8">
        <f t="shared" si="242"/>
        <v>8.7450716247198038E-2</v>
      </c>
      <c r="IZ70" s="8">
        <f t="shared" si="243"/>
        <v>8.7450716247198038E-2</v>
      </c>
      <c r="JA70" s="8">
        <f t="shared" si="244"/>
        <v>4.3725358123599019E-2</v>
      </c>
      <c r="JB70" s="134">
        <f t="shared" si="245"/>
        <v>0.20910609298535282</v>
      </c>
      <c r="JC70" s="170">
        <f>MAX(JA$70:JA$79)</f>
        <v>4.3725358123599019E-2</v>
      </c>
      <c r="JD70" s="272">
        <f>MAX(JB$70:JB$79)</f>
        <v>0.20910609298535282</v>
      </c>
      <c r="JE70" s="8"/>
      <c r="JF70" s="8"/>
    </row>
    <row r="71" spans="1:266" x14ac:dyDescent="0.25">
      <c r="A71" s="186">
        <v>11</v>
      </c>
      <c r="B71" s="187">
        <f>A71/100*'Inputs-Imperial'!$E$5</f>
        <v>2.6489502159999998</v>
      </c>
      <c r="C71" s="188">
        <f>'Inputs-Imperial'!$E$10+('Inputs-Imperial'!$E$9-'Inputs-Imperial'!$E$10)*(100-A71)/100</f>
        <v>4.8895178730000008</v>
      </c>
      <c r="D71" s="187">
        <f t="shared" si="248"/>
        <v>0.24081365599999982</v>
      </c>
      <c r="E71" s="188">
        <f t="shared" si="249"/>
        <v>1.17960574286582</v>
      </c>
      <c r="F71" s="423">
        <f>Loads!P31</f>
        <v>839.43602285760687</v>
      </c>
      <c r="G71" s="423">
        <f>Loads!M31</f>
        <v>8394.360228576068</v>
      </c>
      <c r="H71" s="423">
        <f>Loads!N31</f>
        <v>80940.492245111818</v>
      </c>
      <c r="I71" s="423">
        <f>Loads!V31</f>
        <v>-19494.573930277678</v>
      </c>
      <c r="J71" s="423">
        <f>Loads!Q31</f>
        <v>8094.0492245111882</v>
      </c>
      <c r="K71" s="2">
        <v>11</v>
      </c>
      <c r="L71" s="12">
        <f t="shared" si="41"/>
        <v>31.787402591999999</v>
      </c>
      <c r="M71" s="11">
        <f t="shared" si="42"/>
        <v>58.67421447600001</v>
      </c>
      <c r="N71" s="11">
        <f t="shared" si="43"/>
        <v>2.8897638719999978</v>
      </c>
      <c r="O71" s="152">
        <f t="shared" si="44"/>
        <v>169.86322697267809</v>
      </c>
      <c r="P71" s="151">
        <f t="shared" si="45"/>
        <v>839.43602285760687</v>
      </c>
      <c r="Q71" s="12">
        <f t="shared" si="46"/>
        <v>8394.360228576068</v>
      </c>
      <c r="R71" s="12">
        <f t="shared" si="47"/>
        <v>971285.90694134182</v>
      </c>
      <c r="S71" s="12">
        <f t="shared" si="48"/>
        <v>-233934.88716333214</v>
      </c>
      <c r="T71" s="152">
        <f t="shared" si="49"/>
        <v>97128.590694134255</v>
      </c>
      <c r="U71" s="8">
        <f t="shared" si="0"/>
        <v>10.561358605680001</v>
      </c>
      <c r="V71" s="8">
        <f t="shared" si="1"/>
        <v>10.561358605680001</v>
      </c>
      <c r="W71" s="134">
        <f t="shared" si="2"/>
        <v>5.2806793028400003</v>
      </c>
      <c r="X71" s="311">
        <f t="shared" si="3"/>
        <v>14.668553619000003</v>
      </c>
      <c r="Y71" s="11">
        <f t="shared" si="4"/>
        <v>44.005660857000009</v>
      </c>
      <c r="Z71" s="11">
        <f t="shared" si="5"/>
        <v>29.337107238000009</v>
      </c>
      <c r="AA71" s="316">
        <f t="shared" si="50"/>
        <v>44.005660857000009</v>
      </c>
      <c r="AB71" s="170">
        <f t="shared" si="51"/>
        <v>7.9210189542600009</v>
      </c>
      <c r="AC71" s="11">
        <f t="shared" si="52"/>
        <v>44.005660857000009</v>
      </c>
      <c r="AD71" s="152">
        <f t="shared" si="53"/>
        <v>273.76598157382705</v>
      </c>
      <c r="AE71" s="151">
        <f t="shared" si="6"/>
        <v>19.075637236432442</v>
      </c>
      <c r="AF71" s="12">
        <f t="shared" si="54"/>
        <v>427.25338958932417</v>
      </c>
      <c r="AG71" s="216">
        <f t="shared" si="7"/>
        <v>2.9241619397858378E-2</v>
      </c>
      <c r="AH71" s="2">
        <f t="shared" si="55"/>
        <v>4</v>
      </c>
      <c r="AI71" s="2">
        <f t="shared" si="56"/>
        <v>3</v>
      </c>
      <c r="AJ71" s="127">
        <f t="shared" si="57"/>
        <v>2</v>
      </c>
      <c r="AK71" s="2">
        <f t="shared" si="58"/>
        <v>1.5748031496062995E-2</v>
      </c>
      <c r="AL71" s="8">
        <f t="shared" si="8"/>
        <v>0.30773247481746618</v>
      </c>
      <c r="AM71" s="138">
        <f t="shared" si="59"/>
        <v>0.5</v>
      </c>
      <c r="AN71" s="12">
        <f t="shared" si="9"/>
        <v>25507.703883091985</v>
      </c>
      <c r="AO71" s="138">
        <f t="shared" si="60"/>
        <v>0.5</v>
      </c>
      <c r="AP71" s="116">
        <f t="shared" si="61"/>
        <v>2175570</v>
      </c>
      <c r="AQ71" s="2">
        <f t="shared" si="62"/>
        <v>1.5748031496062995E-2</v>
      </c>
      <c r="AR71" s="8">
        <f t="shared" si="63"/>
        <v>29.337107238000009</v>
      </c>
      <c r="AS71" s="116">
        <f t="shared" si="64"/>
        <v>2610.6840000000002</v>
      </c>
      <c r="AT71" s="217">
        <f t="shared" si="65"/>
        <v>3.7622721349647954E-2</v>
      </c>
      <c r="AU71" s="207">
        <f t="shared" si="66"/>
        <v>4.6810633362698209</v>
      </c>
      <c r="AV71" s="144">
        <f t="shared" si="67"/>
        <v>7298.9899355537773</v>
      </c>
      <c r="AW71" s="138">
        <f t="shared" si="68"/>
        <v>1.75</v>
      </c>
      <c r="AX71" s="116">
        <f t="shared" si="69"/>
        <v>2175570</v>
      </c>
      <c r="AY71" s="2">
        <f t="shared" si="70"/>
        <v>1.5748031496062995E-2</v>
      </c>
      <c r="AZ71" s="8">
        <f t="shared" si="71"/>
        <v>29.337107238000009</v>
      </c>
      <c r="BA71" s="116">
        <f t="shared" si="72"/>
        <v>2610.6840000000002</v>
      </c>
      <c r="BB71" s="217">
        <f t="shared" si="73"/>
        <v>0.13167952472376779</v>
      </c>
      <c r="BC71" s="207">
        <f t="shared" si="74"/>
        <v>3.5938805785520049</v>
      </c>
      <c r="BD71" s="144">
        <f t="shared" si="75"/>
        <v>68646.433412364597</v>
      </c>
      <c r="BE71" s="138">
        <f t="shared" si="76"/>
        <v>1.75</v>
      </c>
      <c r="BF71" s="116">
        <f t="shared" si="77"/>
        <v>2175570</v>
      </c>
      <c r="BG71" s="2">
        <f t="shared" si="78"/>
        <v>1.5748031496062995E-2</v>
      </c>
      <c r="BH71" s="8">
        <f t="shared" si="79"/>
        <v>29.337107238000009</v>
      </c>
      <c r="BI71" s="116">
        <f t="shared" si="80"/>
        <v>2610.6840000000002</v>
      </c>
      <c r="BJ71" s="217">
        <f t="shared" si="81"/>
        <v>0.13167952472376779</v>
      </c>
      <c r="BK71" s="207">
        <f t="shared" si="82"/>
        <v>3.5938805785520049</v>
      </c>
      <c r="BL71" s="144">
        <f t="shared" si="83"/>
        <v>68646.433412364597</v>
      </c>
      <c r="BM71" s="216">
        <f t="shared" si="84"/>
        <v>1.75</v>
      </c>
      <c r="BN71" s="216">
        <f t="shared" si="85"/>
        <v>2.3622047244094495E-2</v>
      </c>
      <c r="BO71" s="238">
        <f t="shared" si="86"/>
        <v>1.5748031496062995E-2</v>
      </c>
      <c r="BP71" s="216">
        <f t="shared" si="87"/>
        <v>1.75</v>
      </c>
      <c r="BQ71" s="138">
        <f t="shared" si="88"/>
        <v>0</v>
      </c>
      <c r="BR71" s="138">
        <f t="shared" si="89"/>
        <v>0</v>
      </c>
      <c r="BS71" s="238">
        <f t="shared" si="90"/>
        <v>0</v>
      </c>
      <c r="BT71" s="138">
        <f t="shared" si="91"/>
        <v>2</v>
      </c>
      <c r="BU71" s="138">
        <f t="shared" si="92"/>
        <v>0</v>
      </c>
      <c r="BV71" s="138">
        <f t="shared" si="93"/>
        <v>0</v>
      </c>
      <c r="BW71" s="238">
        <f t="shared" si="94"/>
        <v>0</v>
      </c>
      <c r="BX71" s="216">
        <f t="shared" si="95"/>
        <v>2.3622047244094495E-2</v>
      </c>
      <c r="BY71" s="138">
        <f t="shared" si="96"/>
        <v>0</v>
      </c>
      <c r="BZ71" s="138">
        <f t="shared" si="97"/>
        <v>0</v>
      </c>
      <c r="CA71" s="238">
        <f t="shared" si="98"/>
        <v>0</v>
      </c>
      <c r="CB71" s="138">
        <f t="shared" si="99"/>
        <v>2.3622047244094495E-2</v>
      </c>
      <c r="CC71" s="138">
        <f t="shared" si="100"/>
        <v>0</v>
      </c>
      <c r="CD71" s="138">
        <f t="shared" si="101"/>
        <v>0</v>
      </c>
      <c r="CE71" s="238">
        <f t="shared" si="102"/>
        <v>0</v>
      </c>
      <c r="CF71" s="216">
        <f t="shared" si="103"/>
        <v>1.5748031496062995E-2</v>
      </c>
      <c r="CG71" s="138">
        <f t="shared" si="104"/>
        <v>0</v>
      </c>
      <c r="CH71" s="138">
        <f t="shared" si="105"/>
        <v>0</v>
      </c>
      <c r="CI71" s="238">
        <f t="shared" si="106"/>
        <v>0</v>
      </c>
      <c r="CJ71" s="138">
        <f t="shared" si="107"/>
        <v>2.3622047244094495E-2</v>
      </c>
      <c r="CK71" s="138">
        <f t="shared" si="108"/>
        <v>0</v>
      </c>
      <c r="CL71" s="138">
        <f t="shared" si="109"/>
        <v>0</v>
      </c>
      <c r="CM71" s="238">
        <f t="shared" si="110"/>
        <v>0</v>
      </c>
      <c r="CN71" s="17">
        <f t="shared" si="111"/>
        <v>2</v>
      </c>
      <c r="CO71" s="17">
        <f t="shared" si="112"/>
        <v>2.3622047244094495E-2</v>
      </c>
      <c r="CP71" s="17">
        <f t="shared" si="113"/>
        <v>2.3622047244094495E-2</v>
      </c>
      <c r="CQ71" s="17">
        <f>$U71-IF('Inputs-Imperial'!$E$13,0,2)*($CO71+$CN71+$CP71)</f>
        <v>10.561358605680001</v>
      </c>
      <c r="CR71" s="116">
        <f t="shared" si="114"/>
        <v>91966.000133635738</v>
      </c>
      <c r="CS71" s="8">
        <f t="shared" si="10"/>
        <v>2.3778078882853735</v>
      </c>
      <c r="CT71" s="8">
        <f t="shared" si="115"/>
        <v>1.5420142308958673</v>
      </c>
      <c r="CU71" s="8">
        <f t="shared" si="11"/>
        <v>2.3778078882853735</v>
      </c>
      <c r="CV71" s="8">
        <f t="shared" si="116"/>
        <v>1.5420142308958673</v>
      </c>
      <c r="CW71" s="216">
        <f t="shared" si="117"/>
        <v>9.0193443747841346</v>
      </c>
      <c r="CX71" s="116">
        <f t="shared" si="118"/>
        <v>107689.19187261748</v>
      </c>
      <c r="CY71" s="8">
        <f t="shared" si="119"/>
        <v>2.7843356190951027</v>
      </c>
      <c r="CZ71" s="8">
        <f t="shared" si="120"/>
        <v>1.668632859287837</v>
      </c>
      <c r="DA71" s="8">
        <f t="shared" si="121"/>
        <v>2.7843356190951027</v>
      </c>
      <c r="DB71" s="8">
        <f t="shared" si="122"/>
        <v>1.668632859287837</v>
      </c>
      <c r="DC71" s="216">
        <f t="shared" si="123"/>
        <v>8.8927257463921645</v>
      </c>
      <c r="DD71" s="116">
        <f t="shared" si="124"/>
        <v>109222.51901621938</v>
      </c>
      <c r="DE71" s="8">
        <f t="shared" si="125"/>
        <v>2.8239802418043727</v>
      </c>
      <c r="DF71" s="8">
        <f t="shared" si="126"/>
        <v>1.6804702442484285</v>
      </c>
      <c r="DG71" s="8">
        <f t="shared" si="127"/>
        <v>2.8239802418043727</v>
      </c>
      <c r="DH71" s="8">
        <f t="shared" si="128"/>
        <v>1.6804702442484285</v>
      </c>
      <c r="DI71" s="216">
        <f t="shared" si="129"/>
        <v>8.8808883614315715</v>
      </c>
      <c r="DJ71" s="116">
        <f t="shared" si="130"/>
        <v>109368.10231277061</v>
      </c>
      <c r="DK71" s="8">
        <f t="shared" si="131"/>
        <v>2.8277443406065292</v>
      </c>
      <c r="DL71" s="8">
        <f t="shared" si="132"/>
        <v>1.6815898253160695</v>
      </c>
      <c r="DM71" s="8">
        <f t="shared" si="133"/>
        <v>2.8277443406065292</v>
      </c>
      <c r="DN71" s="8">
        <f t="shared" si="134"/>
        <v>1.6815898253160695</v>
      </c>
      <c r="DO71" s="216">
        <f t="shared" si="135"/>
        <v>8.8797687803639302</v>
      </c>
      <c r="DP71" s="116">
        <f t="shared" si="136"/>
        <v>109381.89168722188</v>
      </c>
      <c r="DQ71" s="170">
        <f t="shared" si="137"/>
        <v>2.8281008689245719</v>
      </c>
      <c r="DR71" s="8">
        <f t="shared" si="138"/>
        <v>1.681695831274066</v>
      </c>
      <c r="DS71" s="8">
        <f t="shared" si="139"/>
        <v>2.8281008689245719</v>
      </c>
      <c r="DT71" s="134">
        <f t="shared" si="140"/>
        <v>1.681695831274066</v>
      </c>
      <c r="DU71" s="170">
        <f t="shared" ref="DU71:DX79" si="250">MAX(DQ$70:DQ$79)</f>
        <v>2.8934969275004128</v>
      </c>
      <c r="DV71" s="170">
        <f t="shared" si="250"/>
        <v>1.7010281971503038</v>
      </c>
      <c r="DW71" s="170">
        <f t="shared" si="250"/>
        <v>2.8934969275004128</v>
      </c>
      <c r="DX71" s="272">
        <f t="shared" si="250"/>
        <v>1.7010281971503038</v>
      </c>
      <c r="DY71" s="272">
        <f t="shared" si="142"/>
        <v>7.1593022113793925</v>
      </c>
      <c r="DZ71" s="22">
        <f t="shared" si="12"/>
        <v>794.81821818468507</v>
      </c>
      <c r="EA71" s="216">
        <f t="shared" si="13"/>
        <v>5.2073180164717195E-2</v>
      </c>
      <c r="EB71" s="12">
        <f t="shared" si="143"/>
        <v>7</v>
      </c>
      <c r="EC71" s="7">
        <f>ROUND(MAX(DV71,DX71)/'Inputs-Imperial'!$E$21,0)</f>
        <v>14</v>
      </c>
      <c r="ED71" s="12">
        <f t="shared" si="144"/>
        <v>14</v>
      </c>
      <c r="EE71" s="2">
        <f t="shared" si="145"/>
        <v>7</v>
      </c>
      <c r="EF71" s="127">
        <f t="shared" si="146"/>
        <v>7</v>
      </c>
      <c r="EG71" s="2">
        <f t="shared" si="147"/>
        <v>5.5118110236220486E-2</v>
      </c>
      <c r="EH71" s="8">
        <f t="shared" si="14"/>
        <v>0.54800687970372253</v>
      </c>
      <c r="EI71" s="138">
        <f t="shared" si="148"/>
        <v>0.75</v>
      </c>
      <c r="EJ71" s="12">
        <f t="shared" si="15"/>
        <v>12978.246048358498</v>
      </c>
      <c r="EK71" s="138">
        <f t="shared" si="149"/>
        <v>0.75</v>
      </c>
      <c r="EL71" s="116">
        <f t="shared" si="150"/>
        <v>2175570</v>
      </c>
      <c r="EM71" s="2">
        <f t="shared" si="16"/>
        <v>5.5118110236220486E-2</v>
      </c>
      <c r="EN71" s="8">
        <f t="shared" si="151"/>
        <v>10.561358605680001</v>
      </c>
      <c r="EO71" s="116">
        <f t="shared" si="152"/>
        <v>2610.6840000000002</v>
      </c>
      <c r="EP71" s="217">
        <f t="shared" si="153"/>
        <v>1.524068573191758</v>
      </c>
      <c r="EQ71" s="207">
        <f t="shared" si="154"/>
        <v>2</v>
      </c>
      <c r="ER71" s="144">
        <f t="shared" si="155"/>
        <v>54140.936008359422</v>
      </c>
      <c r="ES71" s="138">
        <f t="shared" si="17"/>
        <v>0.75</v>
      </c>
      <c r="ET71" s="116">
        <f t="shared" si="156"/>
        <v>2175570</v>
      </c>
      <c r="EU71" s="2">
        <f t="shared" si="18"/>
        <v>5.5118110236220486E-2</v>
      </c>
      <c r="EV71" s="8">
        <f t="shared" si="157"/>
        <v>10.561358605680001</v>
      </c>
      <c r="EW71" s="116">
        <f t="shared" si="158"/>
        <v>2610.6840000000002</v>
      </c>
      <c r="EX71" s="217">
        <f t="shared" si="159"/>
        <v>1.524068573191758</v>
      </c>
      <c r="EY71" s="207">
        <f t="shared" si="160"/>
        <v>2</v>
      </c>
      <c r="EZ71" s="144">
        <f t="shared" si="161"/>
        <v>54140.936008359422</v>
      </c>
      <c r="FA71" s="138">
        <f t="shared" si="19"/>
        <v>0.75</v>
      </c>
      <c r="FB71" s="116">
        <f t="shared" si="162"/>
        <v>2175570</v>
      </c>
      <c r="FC71" s="2">
        <f t="shared" si="20"/>
        <v>5.5118110236220486E-2</v>
      </c>
      <c r="FD71" s="8">
        <f t="shared" si="163"/>
        <v>10.561358605680001</v>
      </c>
      <c r="FE71" s="116">
        <f t="shared" si="164"/>
        <v>2610.6840000000002</v>
      </c>
      <c r="FF71" s="217">
        <f t="shared" si="165"/>
        <v>1.524068573191758</v>
      </c>
      <c r="FG71" s="207">
        <f t="shared" si="166"/>
        <v>2</v>
      </c>
      <c r="FH71" s="144">
        <f t="shared" si="167"/>
        <v>54140.936008359422</v>
      </c>
      <c r="FI71" s="128">
        <f t="shared" si="168"/>
        <v>0.75</v>
      </c>
      <c r="FJ71" s="2">
        <f t="shared" si="169"/>
        <v>5.5118110236220486E-2</v>
      </c>
      <c r="FK71" s="127">
        <f t="shared" si="170"/>
        <v>5.5118110236220486E-2</v>
      </c>
      <c r="FL71" s="216">
        <f t="shared" si="171"/>
        <v>0.75</v>
      </c>
      <c r="FM71" s="138">
        <f t="shared" si="172"/>
        <v>0</v>
      </c>
      <c r="FN71" s="138">
        <f t="shared" si="173"/>
        <v>0</v>
      </c>
      <c r="FO71" s="238">
        <f t="shared" si="174"/>
        <v>0</v>
      </c>
      <c r="FP71" s="216">
        <f t="shared" si="21"/>
        <v>0.75</v>
      </c>
      <c r="FQ71" s="138">
        <f t="shared" si="22"/>
        <v>0</v>
      </c>
      <c r="FR71" s="138">
        <f t="shared" si="23"/>
        <v>0</v>
      </c>
      <c r="FS71" s="238">
        <f t="shared" si="24"/>
        <v>0</v>
      </c>
      <c r="FT71" s="216">
        <f t="shared" si="175"/>
        <v>5.5118110236220486E-2</v>
      </c>
      <c r="FU71" s="138">
        <f t="shared" si="176"/>
        <v>0</v>
      </c>
      <c r="FV71" s="138">
        <f t="shared" si="177"/>
        <v>0</v>
      </c>
      <c r="FW71" s="238">
        <f t="shared" si="178"/>
        <v>0</v>
      </c>
      <c r="FX71" s="216">
        <f t="shared" si="25"/>
        <v>6.2992125984251982E-2</v>
      </c>
      <c r="FY71" s="138">
        <f t="shared" si="26"/>
        <v>0</v>
      </c>
      <c r="FZ71" s="138">
        <f t="shared" si="27"/>
        <v>0</v>
      </c>
      <c r="GA71" s="238">
        <f t="shared" si="28"/>
        <v>0</v>
      </c>
      <c r="GB71" s="216">
        <f t="shared" si="179"/>
        <v>5.5118110236220486E-2</v>
      </c>
      <c r="GC71" s="138">
        <f t="shared" si="180"/>
        <v>0</v>
      </c>
      <c r="GD71" s="138">
        <f t="shared" si="181"/>
        <v>0</v>
      </c>
      <c r="GE71" s="238">
        <f t="shared" si="182"/>
        <v>0</v>
      </c>
      <c r="GF71" s="216">
        <f t="shared" si="29"/>
        <v>6.2992125984251982E-2</v>
      </c>
      <c r="GG71" s="138">
        <f t="shared" si="30"/>
        <v>0</v>
      </c>
      <c r="GH71" s="138">
        <f t="shared" si="31"/>
        <v>0</v>
      </c>
      <c r="GI71" s="238">
        <f t="shared" si="32"/>
        <v>0</v>
      </c>
      <c r="GJ71" s="216">
        <f t="shared" si="183"/>
        <v>0.75</v>
      </c>
      <c r="GK71" s="216">
        <f t="shared" si="184"/>
        <v>6.2992125984251982E-2</v>
      </c>
      <c r="GL71" s="17">
        <f t="shared" si="185"/>
        <v>6.2992125984251982E-2</v>
      </c>
      <c r="GM71" s="216">
        <f t="shared" si="186"/>
        <v>2.7991863073905165E-2</v>
      </c>
      <c r="GN71" s="2">
        <f t="shared" si="187"/>
        <v>4</v>
      </c>
      <c r="GO71" s="2">
        <f t="shared" si="188"/>
        <v>2</v>
      </c>
      <c r="GP71" s="142">
        <f t="shared" si="189"/>
        <v>2</v>
      </c>
      <c r="GQ71" s="2">
        <f t="shared" si="190"/>
        <v>1.5748031496062995E-2</v>
      </c>
      <c r="GR71" s="8">
        <f t="shared" si="33"/>
        <v>0.29458030970457683</v>
      </c>
      <c r="GS71" s="138">
        <f t="shared" si="191"/>
        <v>0.5</v>
      </c>
      <c r="GT71" s="12">
        <f t="shared" si="34"/>
        <v>24417.531215029871</v>
      </c>
      <c r="GU71" s="138">
        <f t="shared" si="192"/>
        <v>0.5</v>
      </c>
      <c r="GV71" s="116">
        <f t="shared" si="193"/>
        <v>2175570</v>
      </c>
      <c r="GW71" s="2">
        <f t="shared" si="35"/>
        <v>5.5118110236220486E-2</v>
      </c>
      <c r="GX71" s="8">
        <f t="shared" si="36"/>
        <v>5.2806793028400003</v>
      </c>
      <c r="GY71" s="116">
        <f t="shared" si="194"/>
        <v>2610.6840000000002</v>
      </c>
      <c r="GZ71" s="217">
        <f t="shared" si="195"/>
        <v>4.0641828618446878</v>
      </c>
      <c r="HA71" s="207">
        <f t="shared" si="196"/>
        <v>2</v>
      </c>
      <c r="HB71" s="144">
        <f t="shared" si="197"/>
        <v>96250.552903750082</v>
      </c>
      <c r="HC71" s="138">
        <f t="shared" si="37"/>
        <v>0.5</v>
      </c>
      <c r="HD71" s="116">
        <f t="shared" si="198"/>
        <v>2175570</v>
      </c>
      <c r="HE71" s="2">
        <f t="shared" si="38"/>
        <v>5.5118110236220486E-2</v>
      </c>
      <c r="HF71" s="8">
        <f t="shared" si="199"/>
        <v>5.2806793028400003</v>
      </c>
      <c r="HG71" s="116">
        <f t="shared" si="200"/>
        <v>2610.6840000000002</v>
      </c>
      <c r="HH71" s="217">
        <f t="shared" si="201"/>
        <v>4.0641828618446878</v>
      </c>
      <c r="HI71" s="207">
        <f t="shared" si="202"/>
        <v>2</v>
      </c>
      <c r="HJ71" s="144">
        <f t="shared" si="203"/>
        <v>96250.552903750082</v>
      </c>
      <c r="HK71" s="138">
        <f t="shared" si="39"/>
        <v>0.5</v>
      </c>
      <c r="HL71" s="116">
        <f t="shared" si="204"/>
        <v>2175570</v>
      </c>
      <c r="HM71" s="2">
        <f t="shared" si="40"/>
        <v>5.5118110236220486E-2</v>
      </c>
      <c r="HN71" s="8">
        <f t="shared" si="205"/>
        <v>5.2806793028400003</v>
      </c>
      <c r="HO71" s="116">
        <f t="shared" si="206"/>
        <v>2610.6840000000002</v>
      </c>
      <c r="HP71" s="217">
        <f t="shared" si="207"/>
        <v>4.0641828618446878</v>
      </c>
      <c r="HQ71" s="207">
        <f t="shared" si="208"/>
        <v>2</v>
      </c>
      <c r="HR71" s="144">
        <f t="shared" si="209"/>
        <v>96250.552903750082</v>
      </c>
      <c r="HS71" s="128">
        <f t="shared" si="210"/>
        <v>0.5</v>
      </c>
      <c r="HT71" s="2">
        <f t="shared" si="211"/>
        <v>1.5748031496062995E-2</v>
      </c>
      <c r="HU71" s="127">
        <f t="shared" si="212"/>
        <v>1.5748031496062995E-2</v>
      </c>
      <c r="HV71" s="216">
        <f t="shared" si="213"/>
        <v>0.5</v>
      </c>
      <c r="HW71" s="138">
        <f t="shared" si="214"/>
        <v>0</v>
      </c>
      <c r="HX71" s="138">
        <f t="shared" si="215"/>
        <v>0</v>
      </c>
      <c r="HY71" s="238">
        <f t="shared" si="216"/>
        <v>0</v>
      </c>
      <c r="HZ71" s="138">
        <f t="shared" si="217"/>
        <v>0.5</v>
      </c>
      <c r="IA71" s="138">
        <f t="shared" si="218"/>
        <v>0</v>
      </c>
      <c r="IB71" s="138">
        <f t="shared" si="219"/>
        <v>0</v>
      </c>
      <c r="IC71" s="138">
        <f t="shared" si="220"/>
        <v>0</v>
      </c>
      <c r="ID71" s="216">
        <f t="shared" si="221"/>
        <v>1.5748031496062995E-2</v>
      </c>
      <c r="IE71" s="138">
        <f t="shared" si="222"/>
        <v>0</v>
      </c>
      <c r="IF71" s="138">
        <f t="shared" si="223"/>
        <v>0</v>
      </c>
      <c r="IG71" s="238">
        <f t="shared" si="224"/>
        <v>0</v>
      </c>
      <c r="IH71" s="138">
        <f t="shared" si="225"/>
        <v>1.5748031496062995E-2</v>
      </c>
      <c r="II71" s="138">
        <f t="shared" si="226"/>
        <v>0</v>
      </c>
      <c r="IJ71" s="138">
        <f t="shared" si="227"/>
        <v>0</v>
      </c>
      <c r="IK71" s="138">
        <f t="shared" si="228"/>
        <v>0</v>
      </c>
      <c r="IL71" s="216">
        <f t="shared" si="229"/>
        <v>1.5748031496062995E-2</v>
      </c>
      <c r="IM71" s="138">
        <f t="shared" si="230"/>
        <v>0</v>
      </c>
      <c r="IN71" s="138">
        <f t="shared" si="231"/>
        <v>0</v>
      </c>
      <c r="IO71" s="238">
        <f t="shared" si="232"/>
        <v>0</v>
      </c>
      <c r="IP71" s="138">
        <f t="shared" si="233"/>
        <v>1.5748031496062995E-2</v>
      </c>
      <c r="IQ71" s="138">
        <f t="shared" si="234"/>
        <v>0</v>
      </c>
      <c r="IR71" s="138">
        <f t="shared" si="235"/>
        <v>0</v>
      </c>
      <c r="IS71" s="138">
        <f t="shared" si="236"/>
        <v>0</v>
      </c>
      <c r="IT71" s="17">
        <f t="shared" si="237"/>
        <v>0.5</v>
      </c>
      <c r="IU71" s="17">
        <f t="shared" si="238"/>
        <v>1.5748031496062995E-2</v>
      </c>
      <c r="IV71" s="17">
        <f t="shared" si="239"/>
        <v>1.5748031496062995E-2</v>
      </c>
      <c r="IW71" s="253">
        <f t="shared" si="240"/>
        <v>29.337107238000009</v>
      </c>
      <c r="IX71" s="116">
        <f t="shared" si="241"/>
        <v>3310.776004810888</v>
      </c>
      <c r="IY71" s="8">
        <f t="shared" si="242"/>
        <v>8.5601083978273484E-2</v>
      </c>
      <c r="IZ71" s="8">
        <f t="shared" si="243"/>
        <v>8.5601083978273484E-2</v>
      </c>
      <c r="JA71" s="8">
        <f t="shared" si="244"/>
        <v>4.2800541989136742E-2</v>
      </c>
      <c r="JB71" s="134">
        <f t="shared" si="245"/>
        <v>0.20688291855331301</v>
      </c>
      <c r="JC71" s="170">
        <f t="shared" ref="JC71:JC79" si="251">MAX(JA$70:JA$79)</f>
        <v>4.3725358123599019E-2</v>
      </c>
      <c r="JD71" s="272">
        <f t="shared" ref="JD71:JD79" si="252">MAX(JB$70:JB$79)</f>
        <v>0.20910609298535282</v>
      </c>
      <c r="JE71" s="8"/>
      <c r="JF71" s="8"/>
    </row>
    <row r="72" spans="1:266" x14ac:dyDescent="0.25">
      <c r="A72" s="186">
        <v>12</v>
      </c>
      <c r="B72" s="187">
        <f>A72/100*'Inputs-Imperial'!$E$5</f>
        <v>2.8897638719999996</v>
      </c>
      <c r="C72" s="188">
        <f>'Inputs-Imperial'!$E$10+('Inputs-Imperial'!$E$9-'Inputs-Imperial'!$E$10)*(100-A72)/100</f>
        <v>4.8717193160000001</v>
      </c>
      <c r="D72" s="187">
        <f t="shared" si="248"/>
        <v>0.24081365599999982</v>
      </c>
      <c r="E72" s="188">
        <f t="shared" si="249"/>
        <v>1.1753196072831258</v>
      </c>
      <c r="F72" s="423">
        <f>Loads!P32</f>
        <v>827.64805300830585</v>
      </c>
      <c r="G72" s="423">
        <f>Loads!M32</f>
        <v>8276.4805300830576</v>
      </c>
      <c r="H72" s="423">
        <f>Loads!N32</f>
        <v>78919.015668687425</v>
      </c>
      <c r="I72" s="423">
        <f>Loads!V32</f>
        <v>-19164.737122816216</v>
      </c>
      <c r="J72" s="423">
        <f>Loads!Q32</f>
        <v>7891.9015668687489</v>
      </c>
      <c r="K72" s="2">
        <v>12</v>
      </c>
      <c r="L72" s="12">
        <f t="shared" si="41"/>
        <v>34.677166463999995</v>
      </c>
      <c r="M72" s="11">
        <f t="shared" si="42"/>
        <v>58.460631792000001</v>
      </c>
      <c r="N72" s="11">
        <f t="shared" si="43"/>
        <v>2.8897638719999978</v>
      </c>
      <c r="O72" s="152">
        <f t="shared" si="44"/>
        <v>169.2460234487701</v>
      </c>
      <c r="P72" s="151">
        <f t="shared" si="45"/>
        <v>827.64805300830585</v>
      </c>
      <c r="Q72" s="12">
        <f t="shared" si="46"/>
        <v>8276.4805300830576</v>
      </c>
      <c r="R72" s="12">
        <f t="shared" si="47"/>
        <v>947028.18802424916</v>
      </c>
      <c r="S72" s="12">
        <f t="shared" si="48"/>
        <v>-229976.84547379459</v>
      </c>
      <c r="T72" s="152">
        <f t="shared" si="49"/>
        <v>94702.818802424983</v>
      </c>
      <c r="U72" s="8">
        <f t="shared" si="0"/>
        <v>10.52291372256</v>
      </c>
      <c r="V72" s="8">
        <f t="shared" si="1"/>
        <v>10.52291372256</v>
      </c>
      <c r="W72" s="134">
        <f t="shared" si="2"/>
        <v>5.2614568612800001</v>
      </c>
      <c r="X72" s="311">
        <f t="shared" si="3"/>
        <v>14.615157948</v>
      </c>
      <c r="Y72" s="11">
        <f t="shared" si="4"/>
        <v>43.845473843999997</v>
      </c>
      <c r="Z72" s="11">
        <f t="shared" si="5"/>
        <v>29.230315895999997</v>
      </c>
      <c r="AA72" s="316">
        <f t="shared" si="50"/>
        <v>43.845473843999997</v>
      </c>
      <c r="AB72" s="170">
        <f t="shared" si="51"/>
        <v>7.8921852919200006</v>
      </c>
      <c r="AC72" s="11">
        <f t="shared" si="52"/>
        <v>43.845473843999997</v>
      </c>
      <c r="AD72" s="152">
        <f t="shared" si="53"/>
        <v>271.77651308407673</v>
      </c>
      <c r="AE72" s="151">
        <f t="shared" si="6"/>
        <v>18.876476416996567</v>
      </c>
      <c r="AF72" s="12">
        <f t="shared" si="54"/>
        <v>423.09919069910393</v>
      </c>
      <c r="AG72" s="216">
        <f t="shared" si="7"/>
        <v>2.8956405396346814E-2</v>
      </c>
      <c r="AH72" s="2">
        <f t="shared" si="55"/>
        <v>4</v>
      </c>
      <c r="AI72" s="2">
        <f t="shared" si="56"/>
        <v>3</v>
      </c>
      <c r="AJ72" s="127">
        <f t="shared" si="57"/>
        <v>2</v>
      </c>
      <c r="AK72" s="2">
        <f t="shared" si="58"/>
        <v>1.5748031496062995E-2</v>
      </c>
      <c r="AL72" s="8">
        <f t="shared" si="8"/>
        <v>0.30473094438429965</v>
      </c>
      <c r="AM72" s="138">
        <f t="shared" si="59"/>
        <v>0.5</v>
      </c>
      <c r="AN72" s="12">
        <f t="shared" si="9"/>
        <v>25258.90937568514</v>
      </c>
      <c r="AO72" s="138">
        <f t="shared" si="60"/>
        <v>0.5</v>
      </c>
      <c r="AP72" s="116">
        <f t="shared" si="61"/>
        <v>2175570</v>
      </c>
      <c r="AQ72" s="2">
        <f t="shared" si="62"/>
        <v>1.5748031496062995E-2</v>
      </c>
      <c r="AR72" s="8">
        <f t="shared" si="63"/>
        <v>29.230315895999997</v>
      </c>
      <c r="AS72" s="116">
        <f t="shared" si="64"/>
        <v>2610.6840000000002</v>
      </c>
      <c r="AT72" s="217">
        <f t="shared" si="65"/>
        <v>3.7898128586919509E-2</v>
      </c>
      <c r="AU72" s="207">
        <f t="shared" si="66"/>
        <v>4.6769760100103239</v>
      </c>
      <c r="AV72" s="144">
        <f t="shared" si="67"/>
        <v>7346.0004184060654</v>
      </c>
      <c r="AW72" s="138">
        <f t="shared" si="68"/>
        <v>1.75</v>
      </c>
      <c r="AX72" s="116">
        <f t="shared" si="69"/>
        <v>2175570</v>
      </c>
      <c r="AY72" s="2">
        <f t="shared" si="70"/>
        <v>1.5748031496062995E-2</v>
      </c>
      <c r="AZ72" s="8">
        <f t="shared" si="71"/>
        <v>29.230315895999997</v>
      </c>
      <c r="BA72" s="116">
        <f t="shared" si="72"/>
        <v>2610.6840000000002</v>
      </c>
      <c r="BB72" s="217">
        <f t="shared" si="73"/>
        <v>0.13264345005421824</v>
      </c>
      <c r="BC72" s="207">
        <f t="shared" si="74"/>
        <v>3.5855018771139822</v>
      </c>
      <c r="BD72" s="144">
        <f t="shared" si="75"/>
        <v>68987.729112888293</v>
      </c>
      <c r="BE72" s="138">
        <f t="shared" si="76"/>
        <v>1.75</v>
      </c>
      <c r="BF72" s="116">
        <f t="shared" si="77"/>
        <v>2175570</v>
      </c>
      <c r="BG72" s="2">
        <f t="shared" si="78"/>
        <v>1.5748031496062995E-2</v>
      </c>
      <c r="BH72" s="8">
        <f t="shared" si="79"/>
        <v>29.230315895999997</v>
      </c>
      <c r="BI72" s="116">
        <f t="shared" si="80"/>
        <v>2610.6840000000002</v>
      </c>
      <c r="BJ72" s="217">
        <f t="shared" si="81"/>
        <v>0.13264345005421824</v>
      </c>
      <c r="BK72" s="207">
        <f t="shared" si="82"/>
        <v>3.5855018771139822</v>
      </c>
      <c r="BL72" s="144">
        <f t="shared" si="83"/>
        <v>68987.729112888293</v>
      </c>
      <c r="BM72" s="216">
        <f t="shared" si="84"/>
        <v>1.75</v>
      </c>
      <c r="BN72" s="216">
        <f t="shared" si="85"/>
        <v>2.3622047244094495E-2</v>
      </c>
      <c r="BO72" s="238">
        <f t="shared" si="86"/>
        <v>1.5748031496062995E-2</v>
      </c>
      <c r="BP72" s="216">
        <f t="shared" si="87"/>
        <v>1.75</v>
      </c>
      <c r="BQ72" s="138">
        <f t="shared" si="88"/>
        <v>0</v>
      </c>
      <c r="BR72" s="138">
        <f t="shared" si="89"/>
        <v>0</v>
      </c>
      <c r="BS72" s="238">
        <f t="shared" si="90"/>
        <v>0</v>
      </c>
      <c r="BT72" s="138">
        <f t="shared" si="91"/>
        <v>2</v>
      </c>
      <c r="BU72" s="138">
        <f t="shared" si="92"/>
        <v>0</v>
      </c>
      <c r="BV72" s="138">
        <f t="shared" si="93"/>
        <v>0</v>
      </c>
      <c r="BW72" s="238">
        <f t="shared" si="94"/>
        <v>0</v>
      </c>
      <c r="BX72" s="216">
        <f t="shared" si="95"/>
        <v>2.3622047244094495E-2</v>
      </c>
      <c r="BY72" s="138">
        <f t="shared" si="96"/>
        <v>0</v>
      </c>
      <c r="BZ72" s="138">
        <f t="shared" si="97"/>
        <v>0</v>
      </c>
      <c r="CA72" s="238">
        <f t="shared" si="98"/>
        <v>0</v>
      </c>
      <c r="CB72" s="138">
        <f t="shared" si="99"/>
        <v>2.3622047244094495E-2</v>
      </c>
      <c r="CC72" s="138">
        <f t="shared" si="100"/>
        <v>0</v>
      </c>
      <c r="CD72" s="138">
        <f t="shared" si="101"/>
        <v>0</v>
      </c>
      <c r="CE72" s="238">
        <f t="shared" si="102"/>
        <v>0</v>
      </c>
      <c r="CF72" s="216">
        <f t="shared" si="103"/>
        <v>1.5748031496062995E-2</v>
      </c>
      <c r="CG72" s="138">
        <f t="shared" si="104"/>
        <v>0</v>
      </c>
      <c r="CH72" s="138">
        <f t="shared" si="105"/>
        <v>0</v>
      </c>
      <c r="CI72" s="238">
        <f t="shared" si="106"/>
        <v>0</v>
      </c>
      <c r="CJ72" s="138">
        <f t="shared" si="107"/>
        <v>2.3622047244094495E-2</v>
      </c>
      <c r="CK72" s="138">
        <f t="shared" si="108"/>
        <v>0</v>
      </c>
      <c r="CL72" s="138">
        <f t="shared" si="109"/>
        <v>0</v>
      </c>
      <c r="CM72" s="238">
        <f t="shared" si="110"/>
        <v>0</v>
      </c>
      <c r="CN72" s="17">
        <f t="shared" si="111"/>
        <v>2</v>
      </c>
      <c r="CO72" s="17">
        <f t="shared" si="112"/>
        <v>2.3622047244094495E-2</v>
      </c>
      <c r="CP72" s="17">
        <f t="shared" si="113"/>
        <v>2.3622047244094495E-2</v>
      </c>
      <c r="CQ72" s="17">
        <f>$U72-IF('Inputs-Imperial'!$E$13,0,2)*($CO72+$CN72+$CP72)</f>
        <v>10.52291372256</v>
      </c>
      <c r="CR72" s="116">
        <f t="shared" si="114"/>
        <v>89996.764488710207</v>
      </c>
      <c r="CS72" s="8">
        <f t="shared" si="10"/>
        <v>2.326892723511516</v>
      </c>
      <c r="CT72" s="8">
        <f t="shared" si="115"/>
        <v>1.5254155904249556</v>
      </c>
      <c r="CU72" s="8">
        <f t="shared" si="11"/>
        <v>2.326892723511516</v>
      </c>
      <c r="CV72" s="8">
        <f t="shared" si="116"/>
        <v>1.5254155904249556</v>
      </c>
      <c r="CW72" s="216">
        <f t="shared" si="117"/>
        <v>8.9974981321350445</v>
      </c>
      <c r="CX72" s="116">
        <f t="shared" si="118"/>
        <v>105254.61346214538</v>
      </c>
      <c r="CY72" s="8">
        <f t="shared" si="119"/>
        <v>2.7213888807281208</v>
      </c>
      <c r="CZ72" s="8">
        <f t="shared" si="120"/>
        <v>1.649663262829151</v>
      </c>
      <c r="DA72" s="8">
        <f t="shared" si="121"/>
        <v>2.7213888807281208</v>
      </c>
      <c r="DB72" s="8">
        <f t="shared" si="122"/>
        <v>1.649663262829151</v>
      </c>
      <c r="DC72" s="216">
        <f t="shared" si="123"/>
        <v>8.8732504597308495</v>
      </c>
      <c r="DD72" s="116">
        <f t="shared" si="124"/>
        <v>106728.44098361843</v>
      </c>
      <c r="DE72" s="8">
        <f t="shared" si="125"/>
        <v>2.7594951232681719</v>
      </c>
      <c r="DF72" s="8">
        <f t="shared" si="126"/>
        <v>1.6611728155939021</v>
      </c>
      <c r="DG72" s="8">
        <f t="shared" si="127"/>
        <v>2.7594951232681719</v>
      </c>
      <c r="DH72" s="8">
        <f t="shared" si="128"/>
        <v>1.6611728155939021</v>
      </c>
      <c r="DI72" s="216">
        <f t="shared" si="129"/>
        <v>8.8617409069660997</v>
      </c>
      <c r="DJ72" s="116">
        <f t="shared" si="130"/>
        <v>106867.05896352742</v>
      </c>
      <c r="DK72" s="8">
        <f t="shared" si="131"/>
        <v>2.7630791317670389</v>
      </c>
      <c r="DL72" s="8">
        <f t="shared" si="132"/>
        <v>1.662251224023324</v>
      </c>
      <c r="DM72" s="8">
        <f t="shared" si="133"/>
        <v>2.7630791317670389</v>
      </c>
      <c r="DN72" s="8">
        <f t="shared" si="134"/>
        <v>1.662251224023324</v>
      </c>
      <c r="DO72" s="216">
        <f t="shared" si="135"/>
        <v>8.8606624985366746</v>
      </c>
      <c r="DP72" s="116">
        <f t="shared" si="136"/>
        <v>106880.0654782472</v>
      </c>
      <c r="DQ72" s="170">
        <f t="shared" si="137"/>
        <v>2.7634154190172713</v>
      </c>
      <c r="DR72" s="8">
        <f t="shared" si="138"/>
        <v>1.6623523751050111</v>
      </c>
      <c r="DS72" s="8">
        <f t="shared" si="139"/>
        <v>2.7634154190172713</v>
      </c>
      <c r="DT72" s="134">
        <f t="shared" si="140"/>
        <v>1.6623523751050111</v>
      </c>
      <c r="DU72" s="170">
        <f t="shared" si="250"/>
        <v>2.8934969275004128</v>
      </c>
      <c r="DV72" s="170">
        <f t="shared" si="250"/>
        <v>1.7010281971503038</v>
      </c>
      <c r="DW72" s="170">
        <f t="shared" si="250"/>
        <v>2.8934969275004128</v>
      </c>
      <c r="DX72" s="272">
        <f t="shared" si="250"/>
        <v>1.7010281971503038</v>
      </c>
      <c r="DY72" s="272">
        <f t="shared" si="142"/>
        <v>7.1208573282593921</v>
      </c>
      <c r="DZ72" s="22">
        <f t="shared" si="12"/>
        <v>786.51985070819023</v>
      </c>
      <c r="EA72" s="216">
        <f t="shared" si="13"/>
        <v>5.1529505680677955E-2</v>
      </c>
      <c r="EB72" s="12">
        <f t="shared" si="143"/>
        <v>7</v>
      </c>
      <c r="EC72" s="7">
        <f>ROUND(MAX(DV72,DX72)/'Inputs-Imperial'!$E$21,0)</f>
        <v>14</v>
      </c>
      <c r="ED72" s="12">
        <f t="shared" si="144"/>
        <v>14</v>
      </c>
      <c r="EE72" s="2">
        <f t="shared" si="145"/>
        <v>7</v>
      </c>
      <c r="EF72" s="127">
        <f t="shared" si="146"/>
        <v>7</v>
      </c>
      <c r="EG72" s="2">
        <f t="shared" si="147"/>
        <v>5.5118110236220486E-2</v>
      </c>
      <c r="EH72" s="8">
        <f t="shared" si="14"/>
        <v>0.54228536708186148</v>
      </c>
      <c r="EI72" s="138">
        <f t="shared" si="148"/>
        <v>0.75</v>
      </c>
      <c r="EJ72" s="12">
        <f t="shared" si="15"/>
        <v>12842.745562278018</v>
      </c>
      <c r="EK72" s="138">
        <f t="shared" si="149"/>
        <v>0.75</v>
      </c>
      <c r="EL72" s="116">
        <f t="shared" si="150"/>
        <v>2175570</v>
      </c>
      <c r="EM72" s="2">
        <f t="shared" si="16"/>
        <v>5.5118110236220486E-2</v>
      </c>
      <c r="EN72" s="8">
        <f t="shared" si="151"/>
        <v>10.52291372256</v>
      </c>
      <c r="EO72" s="116">
        <f t="shared" si="152"/>
        <v>2610.6840000000002</v>
      </c>
      <c r="EP72" s="217">
        <f t="shared" si="153"/>
        <v>1.5352251163682669</v>
      </c>
      <c r="EQ72" s="207">
        <f t="shared" si="154"/>
        <v>2</v>
      </c>
      <c r="ER72" s="144">
        <f t="shared" si="155"/>
        <v>54537.260491928355</v>
      </c>
      <c r="ES72" s="138">
        <f t="shared" si="17"/>
        <v>0.75</v>
      </c>
      <c r="ET72" s="116">
        <f t="shared" si="156"/>
        <v>2175570</v>
      </c>
      <c r="EU72" s="2">
        <f t="shared" si="18"/>
        <v>5.5118110236220486E-2</v>
      </c>
      <c r="EV72" s="8">
        <f t="shared" si="157"/>
        <v>10.52291372256</v>
      </c>
      <c r="EW72" s="116">
        <f t="shared" si="158"/>
        <v>2610.6840000000002</v>
      </c>
      <c r="EX72" s="217">
        <f t="shared" si="159"/>
        <v>1.5352251163682669</v>
      </c>
      <c r="EY72" s="207">
        <f t="shared" si="160"/>
        <v>2</v>
      </c>
      <c r="EZ72" s="144">
        <f t="shared" si="161"/>
        <v>54537.260491928355</v>
      </c>
      <c r="FA72" s="138">
        <f t="shared" si="19"/>
        <v>0.75</v>
      </c>
      <c r="FB72" s="116">
        <f t="shared" si="162"/>
        <v>2175570</v>
      </c>
      <c r="FC72" s="2">
        <f t="shared" si="20"/>
        <v>5.5118110236220486E-2</v>
      </c>
      <c r="FD72" s="8">
        <f t="shared" si="163"/>
        <v>10.52291372256</v>
      </c>
      <c r="FE72" s="116">
        <f t="shared" si="164"/>
        <v>2610.6840000000002</v>
      </c>
      <c r="FF72" s="217">
        <f t="shared" si="165"/>
        <v>1.5352251163682669</v>
      </c>
      <c r="FG72" s="207">
        <f t="shared" si="166"/>
        <v>2</v>
      </c>
      <c r="FH72" s="144">
        <f t="shared" si="167"/>
        <v>54537.260491928355</v>
      </c>
      <c r="FI72" s="128">
        <f t="shared" si="168"/>
        <v>0.75</v>
      </c>
      <c r="FJ72" s="2">
        <f t="shared" si="169"/>
        <v>5.5118110236220486E-2</v>
      </c>
      <c r="FK72" s="127">
        <f t="shared" si="170"/>
        <v>5.5118110236220486E-2</v>
      </c>
      <c r="FL72" s="216">
        <f t="shared" si="171"/>
        <v>0.75</v>
      </c>
      <c r="FM72" s="138">
        <f t="shared" si="172"/>
        <v>0</v>
      </c>
      <c r="FN72" s="138">
        <f t="shared" si="173"/>
        <v>0</v>
      </c>
      <c r="FO72" s="238">
        <f t="shared" si="174"/>
        <v>0</v>
      </c>
      <c r="FP72" s="216">
        <f t="shared" si="21"/>
        <v>0.75</v>
      </c>
      <c r="FQ72" s="138">
        <f t="shared" si="22"/>
        <v>0</v>
      </c>
      <c r="FR72" s="138">
        <f t="shared" si="23"/>
        <v>0</v>
      </c>
      <c r="FS72" s="238">
        <f t="shared" si="24"/>
        <v>0</v>
      </c>
      <c r="FT72" s="216">
        <f t="shared" si="175"/>
        <v>5.5118110236220486E-2</v>
      </c>
      <c r="FU72" s="138">
        <f t="shared" si="176"/>
        <v>0</v>
      </c>
      <c r="FV72" s="138">
        <f t="shared" si="177"/>
        <v>0</v>
      </c>
      <c r="FW72" s="238">
        <f t="shared" si="178"/>
        <v>0</v>
      </c>
      <c r="FX72" s="216">
        <f t="shared" si="25"/>
        <v>6.2992125984251982E-2</v>
      </c>
      <c r="FY72" s="138">
        <f t="shared" si="26"/>
        <v>0</v>
      </c>
      <c r="FZ72" s="138">
        <f t="shared" si="27"/>
        <v>0</v>
      </c>
      <c r="GA72" s="238">
        <f t="shared" si="28"/>
        <v>0</v>
      </c>
      <c r="GB72" s="216">
        <f t="shared" si="179"/>
        <v>5.5118110236220486E-2</v>
      </c>
      <c r="GC72" s="138">
        <f t="shared" si="180"/>
        <v>0</v>
      </c>
      <c r="GD72" s="138">
        <f t="shared" si="181"/>
        <v>0</v>
      </c>
      <c r="GE72" s="238">
        <f t="shared" si="182"/>
        <v>0</v>
      </c>
      <c r="GF72" s="216">
        <f t="shared" si="29"/>
        <v>6.2992125984251982E-2</v>
      </c>
      <c r="GG72" s="138">
        <f t="shared" si="30"/>
        <v>0</v>
      </c>
      <c r="GH72" s="138">
        <f t="shared" si="31"/>
        <v>0</v>
      </c>
      <c r="GI72" s="238">
        <f t="shared" si="32"/>
        <v>0</v>
      </c>
      <c r="GJ72" s="216">
        <f t="shared" si="183"/>
        <v>0.75</v>
      </c>
      <c r="GK72" s="216">
        <f t="shared" si="184"/>
        <v>6.2992125984251982E-2</v>
      </c>
      <c r="GL72" s="17">
        <f t="shared" si="185"/>
        <v>6.2992125984251982E-2</v>
      </c>
      <c r="GM72" s="216">
        <f t="shared" si="186"/>
        <v>2.7719697260010542E-2</v>
      </c>
      <c r="GN72" s="2">
        <f t="shared" si="187"/>
        <v>4</v>
      </c>
      <c r="GO72" s="2">
        <f t="shared" si="188"/>
        <v>2</v>
      </c>
      <c r="GP72" s="142">
        <f t="shared" si="189"/>
        <v>2</v>
      </c>
      <c r="GQ72" s="2">
        <f t="shared" si="190"/>
        <v>1.5748031496062995E-2</v>
      </c>
      <c r="GR72" s="8">
        <f t="shared" si="33"/>
        <v>0.29171609557433492</v>
      </c>
      <c r="GS72" s="138">
        <f t="shared" si="191"/>
        <v>0.5</v>
      </c>
      <c r="GT72" s="12">
        <f t="shared" si="34"/>
        <v>24180.118748453784</v>
      </c>
      <c r="GU72" s="138">
        <f t="shared" si="192"/>
        <v>0.5</v>
      </c>
      <c r="GV72" s="116">
        <f t="shared" si="193"/>
        <v>2175570</v>
      </c>
      <c r="GW72" s="2">
        <f t="shared" si="35"/>
        <v>5.5118110236220486E-2</v>
      </c>
      <c r="GX72" s="8">
        <f t="shared" si="36"/>
        <v>5.2614568612800001</v>
      </c>
      <c r="GY72" s="116">
        <f t="shared" si="194"/>
        <v>2610.6840000000002</v>
      </c>
      <c r="GZ72" s="217">
        <f t="shared" si="195"/>
        <v>4.093933643648711</v>
      </c>
      <c r="HA72" s="207">
        <f t="shared" si="196"/>
        <v>2</v>
      </c>
      <c r="HB72" s="144">
        <f t="shared" si="197"/>
        <v>96955.129763428195</v>
      </c>
      <c r="HC72" s="138">
        <f t="shared" si="37"/>
        <v>0.5</v>
      </c>
      <c r="HD72" s="116">
        <f t="shared" si="198"/>
        <v>2175570</v>
      </c>
      <c r="HE72" s="2">
        <f t="shared" si="38"/>
        <v>5.5118110236220486E-2</v>
      </c>
      <c r="HF72" s="8">
        <f t="shared" si="199"/>
        <v>5.2614568612800001</v>
      </c>
      <c r="HG72" s="116">
        <f t="shared" si="200"/>
        <v>2610.6840000000002</v>
      </c>
      <c r="HH72" s="217">
        <f t="shared" si="201"/>
        <v>4.093933643648711</v>
      </c>
      <c r="HI72" s="207">
        <f t="shared" si="202"/>
        <v>2</v>
      </c>
      <c r="HJ72" s="144">
        <f t="shared" si="203"/>
        <v>96955.129763428195</v>
      </c>
      <c r="HK72" s="138">
        <f t="shared" si="39"/>
        <v>0.5</v>
      </c>
      <c r="HL72" s="116">
        <f t="shared" si="204"/>
        <v>2175570</v>
      </c>
      <c r="HM72" s="2">
        <f t="shared" si="40"/>
        <v>5.5118110236220486E-2</v>
      </c>
      <c r="HN72" s="8">
        <f t="shared" si="205"/>
        <v>5.2614568612800001</v>
      </c>
      <c r="HO72" s="116">
        <f t="shared" si="206"/>
        <v>2610.6840000000002</v>
      </c>
      <c r="HP72" s="217">
        <f t="shared" si="207"/>
        <v>4.093933643648711</v>
      </c>
      <c r="HQ72" s="207">
        <f t="shared" si="208"/>
        <v>2</v>
      </c>
      <c r="HR72" s="144">
        <f t="shared" si="209"/>
        <v>96955.129763428195</v>
      </c>
      <c r="HS72" s="128">
        <f t="shared" si="210"/>
        <v>0.5</v>
      </c>
      <c r="HT72" s="2">
        <f t="shared" si="211"/>
        <v>1.5748031496062995E-2</v>
      </c>
      <c r="HU72" s="127">
        <f t="shared" si="212"/>
        <v>1.5748031496062995E-2</v>
      </c>
      <c r="HV72" s="216">
        <f t="shared" si="213"/>
        <v>0.5</v>
      </c>
      <c r="HW72" s="138">
        <f t="shared" si="214"/>
        <v>0</v>
      </c>
      <c r="HX72" s="138">
        <f t="shared" si="215"/>
        <v>0</v>
      </c>
      <c r="HY72" s="238">
        <f t="shared" si="216"/>
        <v>0</v>
      </c>
      <c r="HZ72" s="138">
        <f t="shared" si="217"/>
        <v>0.5</v>
      </c>
      <c r="IA72" s="138">
        <f t="shared" si="218"/>
        <v>0</v>
      </c>
      <c r="IB72" s="138">
        <f t="shared" si="219"/>
        <v>0</v>
      </c>
      <c r="IC72" s="138">
        <f t="shared" si="220"/>
        <v>0</v>
      </c>
      <c r="ID72" s="216">
        <f t="shared" si="221"/>
        <v>1.5748031496062995E-2</v>
      </c>
      <c r="IE72" s="138">
        <f t="shared" si="222"/>
        <v>0</v>
      </c>
      <c r="IF72" s="138">
        <f t="shared" si="223"/>
        <v>0</v>
      </c>
      <c r="IG72" s="238">
        <f t="shared" si="224"/>
        <v>0</v>
      </c>
      <c r="IH72" s="138">
        <f t="shared" si="225"/>
        <v>1.5748031496062995E-2</v>
      </c>
      <c r="II72" s="138">
        <f t="shared" si="226"/>
        <v>0</v>
      </c>
      <c r="IJ72" s="138">
        <f t="shared" si="227"/>
        <v>0</v>
      </c>
      <c r="IK72" s="138">
        <f t="shared" si="228"/>
        <v>0</v>
      </c>
      <c r="IL72" s="216">
        <f t="shared" si="229"/>
        <v>1.5748031496062995E-2</v>
      </c>
      <c r="IM72" s="138">
        <f t="shared" si="230"/>
        <v>0</v>
      </c>
      <c r="IN72" s="138">
        <f t="shared" si="231"/>
        <v>0</v>
      </c>
      <c r="IO72" s="238">
        <f t="shared" si="232"/>
        <v>0</v>
      </c>
      <c r="IP72" s="138">
        <f t="shared" si="233"/>
        <v>1.5748031496062995E-2</v>
      </c>
      <c r="IQ72" s="138">
        <f t="shared" si="234"/>
        <v>0</v>
      </c>
      <c r="IR72" s="138">
        <f t="shared" si="235"/>
        <v>0</v>
      </c>
      <c r="IS72" s="138">
        <f t="shared" si="236"/>
        <v>0</v>
      </c>
      <c r="IT72" s="17">
        <f t="shared" si="237"/>
        <v>0.5</v>
      </c>
      <c r="IU72" s="17">
        <f t="shared" si="238"/>
        <v>1.5748031496062995E-2</v>
      </c>
      <c r="IV72" s="17">
        <f t="shared" si="239"/>
        <v>1.5748031496062995E-2</v>
      </c>
      <c r="IW72" s="253">
        <f t="shared" si="240"/>
        <v>29.230315895999997</v>
      </c>
      <c r="IX72" s="116">
        <f t="shared" si="241"/>
        <v>3239.8835215935701</v>
      </c>
      <c r="IY72" s="8">
        <f t="shared" si="242"/>
        <v>8.3768138046414642E-2</v>
      </c>
      <c r="IZ72" s="8">
        <f t="shared" si="243"/>
        <v>8.3768138046414642E-2</v>
      </c>
      <c r="JA72" s="8">
        <f t="shared" si="244"/>
        <v>4.1884069023207321E-2</v>
      </c>
      <c r="JB72" s="134">
        <f t="shared" si="245"/>
        <v>0.20465597724769077</v>
      </c>
      <c r="JC72" s="170">
        <f t="shared" si="251"/>
        <v>4.3725358123599019E-2</v>
      </c>
      <c r="JD72" s="272">
        <f t="shared" si="252"/>
        <v>0.20910609298535282</v>
      </c>
      <c r="JE72" s="8"/>
      <c r="JF72" s="8"/>
    </row>
    <row r="73" spans="1:266" x14ac:dyDescent="0.25">
      <c r="A73" s="186">
        <v>13</v>
      </c>
      <c r="B73" s="187">
        <f>A73/100*'Inputs-Imperial'!$E$5</f>
        <v>3.1305775279999999</v>
      </c>
      <c r="C73" s="188">
        <f>'Inputs-Imperial'!$E$10+('Inputs-Imperial'!$E$9-'Inputs-Imperial'!$E$10)*(100-A73)/100</f>
        <v>4.8539207590000011</v>
      </c>
      <c r="D73" s="187">
        <f t="shared" si="248"/>
        <v>0.24081365600000026</v>
      </c>
      <c r="E73" s="188">
        <f t="shared" si="249"/>
        <v>1.1710334717004336</v>
      </c>
      <c r="F73" s="423">
        <f>Loads!P33</f>
        <v>815.88815120685547</v>
      </c>
      <c r="G73" s="423">
        <f>Loads!M33</f>
        <v>8158.881512068554</v>
      </c>
      <c r="H73" s="423">
        <f>Loads!N33</f>
        <v>76925.92613342531</v>
      </c>
      <c r="I73" s="423">
        <f>Loads!V33</f>
        <v>-18836.478929192934</v>
      </c>
      <c r="J73" s="423">
        <f>Loads!Q33</f>
        <v>7692.5926133425364</v>
      </c>
      <c r="K73" s="2">
        <v>13</v>
      </c>
      <c r="L73" s="12">
        <f t="shared" si="41"/>
        <v>37.566930335999999</v>
      </c>
      <c r="M73" s="11">
        <f t="shared" si="42"/>
        <v>58.247049108000013</v>
      </c>
      <c r="N73" s="11">
        <f t="shared" si="43"/>
        <v>2.8897638720000032</v>
      </c>
      <c r="O73" s="152">
        <f t="shared" si="44"/>
        <v>168.62881992486243</v>
      </c>
      <c r="P73" s="151">
        <f t="shared" si="45"/>
        <v>815.88815120685547</v>
      </c>
      <c r="Q73" s="12">
        <f t="shared" si="46"/>
        <v>8158.881512068554</v>
      </c>
      <c r="R73" s="12">
        <f t="shared" si="47"/>
        <v>923111.11360110366</v>
      </c>
      <c r="S73" s="12">
        <f t="shared" si="48"/>
        <v>-226037.7471503152</v>
      </c>
      <c r="T73" s="152">
        <f t="shared" si="49"/>
        <v>92311.11136011043</v>
      </c>
      <c r="U73" s="8">
        <f t="shared" si="0"/>
        <v>10.484468839440002</v>
      </c>
      <c r="V73" s="8">
        <f t="shared" si="1"/>
        <v>10.484468839440002</v>
      </c>
      <c r="W73" s="134">
        <f t="shared" si="2"/>
        <v>5.2422344197200008</v>
      </c>
      <c r="X73" s="311">
        <f t="shared" si="3"/>
        <v>14.561762277000003</v>
      </c>
      <c r="Y73" s="11">
        <f t="shared" si="4"/>
        <v>43.685286831000013</v>
      </c>
      <c r="Z73" s="11">
        <f t="shared" si="5"/>
        <v>29.12352455400001</v>
      </c>
      <c r="AA73" s="316">
        <f t="shared" si="50"/>
        <v>43.685286831000013</v>
      </c>
      <c r="AB73" s="170">
        <f t="shared" si="51"/>
        <v>7.8633516295800012</v>
      </c>
      <c r="AC73" s="11">
        <f t="shared" si="52"/>
        <v>43.685286831000013</v>
      </c>
      <c r="AD73" s="152">
        <f t="shared" si="53"/>
        <v>269.79429975422676</v>
      </c>
      <c r="AE73" s="151">
        <f t="shared" si="6"/>
        <v>18.676497521080343</v>
      </c>
      <c r="AF73" s="12">
        <f t="shared" si="54"/>
        <v>418.90756653537113</v>
      </c>
      <c r="AG73" s="216">
        <f t="shared" si="7"/>
        <v>2.866868584978266E-2</v>
      </c>
      <c r="AH73" s="2">
        <f t="shared" si="55"/>
        <v>4</v>
      </c>
      <c r="AI73" s="2">
        <f t="shared" si="56"/>
        <v>3</v>
      </c>
      <c r="AJ73" s="127">
        <f t="shared" si="57"/>
        <v>2</v>
      </c>
      <c r="AK73" s="2">
        <f t="shared" si="58"/>
        <v>1.5748031496062995E-2</v>
      </c>
      <c r="AL73" s="8">
        <f t="shared" si="8"/>
        <v>0.30170304613718574</v>
      </c>
      <c r="AM73" s="138">
        <f t="shared" si="59"/>
        <v>0.5</v>
      </c>
      <c r="AN73" s="12">
        <f t="shared" si="9"/>
        <v>25007.9292608262</v>
      </c>
      <c r="AO73" s="138">
        <f t="shared" si="60"/>
        <v>0.5</v>
      </c>
      <c r="AP73" s="116">
        <f t="shared" si="61"/>
        <v>2175570</v>
      </c>
      <c r="AQ73" s="2">
        <f t="shared" si="62"/>
        <v>1.5748031496062995E-2</v>
      </c>
      <c r="AR73" s="8">
        <f t="shared" si="63"/>
        <v>29.12352455400001</v>
      </c>
      <c r="AS73" s="116">
        <f t="shared" si="64"/>
        <v>2610.6840000000002</v>
      </c>
      <c r="AT73" s="217">
        <f t="shared" si="65"/>
        <v>3.8176570999267696E-2</v>
      </c>
      <c r="AU73" s="207">
        <f t="shared" si="66"/>
        <v>4.6728497713125519</v>
      </c>
      <c r="AV73" s="144">
        <f t="shared" si="67"/>
        <v>7393.4438371649794</v>
      </c>
      <c r="AW73" s="138">
        <f t="shared" si="68"/>
        <v>1.75</v>
      </c>
      <c r="AX73" s="116">
        <f t="shared" si="69"/>
        <v>2175570</v>
      </c>
      <c r="AY73" s="2">
        <f t="shared" si="70"/>
        <v>1.5748031496062995E-2</v>
      </c>
      <c r="AZ73" s="8">
        <f t="shared" si="71"/>
        <v>29.12352455400001</v>
      </c>
      <c r="BA73" s="116">
        <f t="shared" si="72"/>
        <v>2610.6840000000002</v>
      </c>
      <c r="BB73" s="217">
        <f t="shared" si="73"/>
        <v>0.13361799849743689</v>
      </c>
      <c r="BC73" s="207">
        <f t="shared" si="74"/>
        <v>3.5770785789474684</v>
      </c>
      <c r="BD73" s="144">
        <f t="shared" si="75"/>
        <v>69331.329519187799</v>
      </c>
      <c r="BE73" s="138">
        <f t="shared" si="76"/>
        <v>1.75</v>
      </c>
      <c r="BF73" s="116">
        <f t="shared" si="77"/>
        <v>2175570</v>
      </c>
      <c r="BG73" s="2">
        <f t="shared" si="78"/>
        <v>1.5748031496062995E-2</v>
      </c>
      <c r="BH73" s="8">
        <f t="shared" si="79"/>
        <v>29.12352455400001</v>
      </c>
      <c r="BI73" s="116">
        <f t="shared" si="80"/>
        <v>2610.6840000000002</v>
      </c>
      <c r="BJ73" s="217">
        <f t="shared" si="81"/>
        <v>0.13361799849743689</v>
      </c>
      <c r="BK73" s="207">
        <f t="shared" si="82"/>
        <v>3.5770785789474684</v>
      </c>
      <c r="BL73" s="144">
        <f t="shared" si="83"/>
        <v>69331.329519187799</v>
      </c>
      <c r="BM73" s="216">
        <f t="shared" si="84"/>
        <v>1.75</v>
      </c>
      <c r="BN73" s="216">
        <f t="shared" si="85"/>
        <v>2.3622047244094495E-2</v>
      </c>
      <c r="BO73" s="238">
        <f t="shared" si="86"/>
        <v>1.5748031496062995E-2</v>
      </c>
      <c r="BP73" s="216">
        <f t="shared" si="87"/>
        <v>1.75</v>
      </c>
      <c r="BQ73" s="138">
        <f t="shared" si="88"/>
        <v>0</v>
      </c>
      <c r="BR73" s="138">
        <f t="shared" si="89"/>
        <v>0</v>
      </c>
      <c r="BS73" s="238">
        <f t="shared" si="90"/>
        <v>0</v>
      </c>
      <c r="BT73" s="138">
        <f t="shared" si="91"/>
        <v>2</v>
      </c>
      <c r="BU73" s="138">
        <f t="shared" si="92"/>
        <v>0</v>
      </c>
      <c r="BV73" s="138">
        <f t="shared" si="93"/>
        <v>0</v>
      </c>
      <c r="BW73" s="238">
        <f t="shared" si="94"/>
        <v>0</v>
      </c>
      <c r="BX73" s="216">
        <f t="shared" si="95"/>
        <v>2.3622047244094495E-2</v>
      </c>
      <c r="BY73" s="138">
        <f t="shared" si="96"/>
        <v>0</v>
      </c>
      <c r="BZ73" s="138">
        <f t="shared" si="97"/>
        <v>0</v>
      </c>
      <c r="CA73" s="238">
        <f t="shared" si="98"/>
        <v>0</v>
      </c>
      <c r="CB73" s="138">
        <f t="shared" si="99"/>
        <v>2.3622047244094495E-2</v>
      </c>
      <c r="CC73" s="138">
        <f t="shared" si="100"/>
        <v>0</v>
      </c>
      <c r="CD73" s="138">
        <f t="shared" si="101"/>
        <v>0</v>
      </c>
      <c r="CE73" s="238">
        <f t="shared" si="102"/>
        <v>0</v>
      </c>
      <c r="CF73" s="216">
        <f t="shared" si="103"/>
        <v>1.5748031496062995E-2</v>
      </c>
      <c r="CG73" s="138">
        <f t="shared" si="104"/>
        <v>0</v>
      </c>
      <c r="CH73" s="138">
        <f t="shared" si="105"/>
        <v>0</v>
      </c>
      <c r="CI73" s="238">
        <f t="shared" si="106"/>
        <v>0</v>
      </c>
      <c r="CJ73" s="138">
        <f t="shared" si="107"/>
        <v>2.3622047244094495E-2</v>
      </c>
      <c r="CK73" s="138">
        <f t="shared" si="108"/>
        <v>0</v>
      </c>
      <c r="CL73" s="138">
        <f t="shared" si="109"/>
        <v>0</v>
      </c>
      <c r="CM73" s="238">
        <f t="shared" si="110"/>
        <v>0</v>
      </c>
      <c r="CN73" s="17">
        <f t="shared" si="111"/>
        <v>2</v>
      </c>
      <c r="CO73" s="17">
        <f t="shared" si="112"/>
        <v>2.3622047244094495E-2</v>
      </c>
      <c r="CP73" s="17">
        <f t="shared" si="113"/>
        <v>2.3622047244094495E-2</v>
      </c>
      <c r="CQ73" s="17">
        <f>$U73-IF('Inputs-Imperial'!$E$13,0,2)*($CO73+$CN73+$CP73)</f>
        <v>10.484468839440002</v>
      </c>
      <c r="CR73" s="116">
        <f t="shared" si="114"/>
        <v>88045.577485869944</v>
      </c>
      <c r="CS73" s="8">
        <f t="shared" si="10"/>
        <v>2.2764442116687507</v>
      </c>
      <c r="CT73" s="8">
        <f t="shared" si="115"/>
        <v>1.5087889884502572</v>
      </c>
      <c r="CU73" s="8">
        <f t="shared" si="11"/>
        <v>2.2764442116687507</v>
      </c>
      <c r="CV73" s="8">
        <f t="shared" si="116"/>
        <v>1.5087889884502572</v>
      </c>
      <c r="CW73" s="216">
        <f t="shared" si="117"/>
        <v>8.9756798509897457</v>
      </c>
      <c r="CX73" s="116">
        <f t="shared" si="118"/>
        <v>102845.81546202458</v>
      </c>
      <c r="CY73" s="8">
        <f t="shared" si="119"/>
        <v>2.659108702426896</v>
      </c>
      <c r="CZ73" s="8">
        <f t="shared" si="120"/>
        <v>1.6306773753342185</v>
      </c>
      <c r="DA73" s="8">
        <f t="shared" si="121"/>
        <v>2.659108702426896</v>
      </c>
      <c r="DB73" s="8">
        <f t="shared" si="122"/>
        <v>1.6306773753342185</v>
      </c>
      <c r="DC73" s="216">
        <f t="shared" si="123"/>
        <v>8.8537914641057824</v>
      </c>
      <c r="DD73" s="116">
        <f t="shared" si="124"/>
        <v>104261.67335694486</v>
      </c>
      <c r="DE73" s="8">
        <f t="shared" si="125"/>
        <v>2.6957161232817826</v>
      </c>
      <c r="DF73" s="8">
        <f t="shared" si="126"/>
        <v>1.6418636128746451</v>
      </c>
      <c r="DG73" s="8">
        <f t="shared" si="127"/>
        <v>2.6957161232817826</v>
      </c>
      <c r="DH73" s="8">
        <f t="shared" si="128"/>
        <v>1.6418636128746451</v>
      </c>
      <c r="DI73" s="216">
        <f t="shared" si="129"/>
        <v>8.8426052265653574</v>
      </c>
      <c r="DJ73" s="116">
        <f t="shared" si="130"/>
        <v>104393.56840536669</v>
      </c>
      <c r="DK73" s="8">
        <f t="shared" si="131"/>
        <v>2.699126308416588</v>
      </c>
      <c r="DL73" s="8">
        <f t="shared" si="132"/>
        <v>1.6429017951224558</v>
      </c>
      <c r="DM73" s="8">
        <f t="shared" si="133"/>
        <v>2.699126308416588</v>
      </c>
      <c r="DN73" s="8">
        <f t="shared" si="134"/>
        <v>1.6429017951224558</v>
      </c>
      <c r="DO73" s="216">
        <f t="shared" si="135"/>
        <v>8.8415670443175465</v>
      </c>
      <c r="DP73" s="116">
        <f t="shared" si="136"/>
        <v>104405.82636246421</v>
      </c>
      <c r="DQ73" s="170">
        <f t="shared" si="137"/>
        <v>2.6994432414900977</v>
      </c>
      <c r="DR73" s="8">
        <f t="shared" si="138"/>
        <v>1.6429982475614811</v>
      </c>
      <c r="DS73" s="8">
        <f t="shared" si="139"/>
        <v>2.6994432414900977</v>
      </c>
      <c r="DT73" s="134">
        <f t="shared" si="140"/>
        <v>1.6429982475614811</v>
      </c>
      <c r="DU73" s="170">
        <f t="shared" si="250"/>
        <v>2.8934969275004128</v>
      </c>
      <c r="DV73" s="170">
        <f t="shared" si="250"/>
        <v>1.7010281971503038</v>
      </c>
      <c r="DW73" s="170">
        <f t="shared" si="250"/>
        <v>2.8934969275004128</v>
      </c>
      <c r="DX73" s="272">
        <f t="shared" si="250"/>
        <v>1.7010281971503038</v>
      </c>
      <c r="DY73" s="272">
        <f t="shared" si="142"/>
        <v>7.0824124451393935</v>
      </c>
      <c r="DZ73" s="22">
        <f t="shared" si="12"/>
        <v>778.187396711681</v>
      </c>
      <c r="EA73" s="216">
        <f t="shared" si="13"/>
        <v>5.0983597989777973E-2</v>
      </c>
      <c r="EB73" s="12">
        <f t="shared" si="143"/>
        <v>7</v>
      </c>
      <c r="EC73" s="7">
        <f>ROUND(MAX(DV73,DX73)/'Inputs-Imperial'!$E$21,0)</f>
        <v>14</v>
      </c>
      <c r="ED73" s="12">
        <f t="shared" si="144"/>
        <v>14</v>
      </c>
      <c r="EE73" s="2">
        <f t="shared" si="145"/>
        <v>7</v>
      </c>
      <c r="EF73" s="127">
        <f t="shared" si="146"/>
        <v>7</v>
      </c>
      <c r="EG73" s="2">
        <f t="shared" si="147"/>
        <v>5.5118110236220486E-2</v>
      </c>
      <c r="EH73" s="8">
        <f t="shared" si="14"/>
        <v>0.5365403526742516</v>
      </c>
      <c r="EI73" s="138">
        <f t="shared" si="148"/>
        <v>0.75</v>
      </c>
      <c r="EJ73" s="12">
        <f t="shared" si="15"/>
        <v>12706.688492020732</v>
      </c>
      <c r="EK73" s="138">
        <f t="shared" si="149"/>
        <v>0.75</v>
      </c>
      <c r="EL73" s="116">
        <f t="shared" si="150"/>
        <v>2175570</v>
      </c>
      <c r="EM73" s="2">
        <f t="shared" si="16"/>
        <v>5.5118110236220486E-2</v>
      </c>
      <c r="EN73" s="8">
        <f t="shared" si="151"/>
        <v>10.484468839440002</v>
      </c>
      <c r="EO73" s="116">
        <f t="shared" si="152"/>
        <v>2610.6840000000002</v>
      </c>
      <c r="EP73" s="217">
        <f t="shared" si="153"/>
        <v>1.5465046122388539</v>
      </c>
      <c r="EQ73" s="207">
        <f t="shared" si="154"/>
        <v>2</v>
      </c>
      <c r="ER73" s="144">
        <f t="shared" si="155"/>
        <v>54937.95274087166</v>
      </c>
      <c r="ES73" s="138">
        <f t="shared" si="17"/>
        <v>0.75</v>
      </c>
      <c r="ET73" s="116">
        <f t="shared" si="156"/>
        <v>2175570</v>
      </c>
      <c r="EU73" s="2">
        <f t="shared" si="18"/>
        <v>5.5118110236220486E-2</v>
      </c>
      <c r="EV73" s="8">
        <f t="shared" si="157"/>
        <v>10.484468839440002</v>
      </c>
      <c r="EW73" s="116">
        <f t="shared" si="158"/>
        <v>2610.6840000000002</v>
      </c>
      <c r="EX73" s="217">
        <f t="shared" si="159"/>
        <v>1.5465046122388539</v>
      </c>
      <c r="EY73" s="207">
        <f t="shared" si="160"/>
        <v>2</v>
      </c>
      <c r="EZ73" s="144">
        <f t="shared" si="161"/>
        <v>54937.95274087166</v>
      </c>
      <c r="FA73" s="138">
        <f t="shared" si="19"/>
        <v>0.75</v>
      </c>
      <c r="FB73" s="116">
        <f t="shared" si="162"/>
        <v>2175570</v>
      </c>
      <c r="FC73" s="2">
        <f t="shared" si="20"/>
        <v>5.5118110236220486E-2</v>
      </c>
      <c r="FD73" s="8">
        <f t="shared" si="163"/>
        <v>10.484468839440002</v>
      </c>
      <c r="FE73" s="116">
        <f t="shared" si="164"/>
        <v>2610.6840000000002</v>
      </c>
      <c r="FF73" s="217">
        <f t="shared" si="165"/>
        <v>1.5465046122388539</v>
      </c>
      <c r="FG73" s="207">
        <f t="shared" si="166"/>
        <v>2</v>
      </c>
      <c r="FH73" s="144">
        <f t="shared" si="167"/>
        <v>54937.95274087166</v>
      </c>
      <c r="FI73" s="128">
        <f t="shared" si="168"/>
        <v>0.75</v>
      </c>
      <c r="FJ73" s="2">
        <f t="shared" si="169"/>
        <v>5.5118110236220486E-2</v>
      </c>
      <c r="FK73" s="127">
        <f t="shared" si="170"/>
        <v>5.5118110236220486E-2</v>
      </c>
      <c r="FL73" s="216">
        <f t="shared" si="171"/>
        <v>0.75</v>
      </c>
      <c r="FM73" s="138">
        <f t="shared" si="172"/>
        <v>0</v>
      </c>
      <c r="FN73" s="138">
        <f t="shared" si="173"/>
        <v>0</v>
      </c>
      <c r="FO73" s="238">
        <f t="shared" si="174"/>
        <v>0</v>
      </c>
      <c r="FP73" s="216">
        <f t="shared" si="21"/>
        <v>0.75</v>
      </c>
      <c r="FQ73" s="138">
        <f t="shared" si="22"/>
        <v>0</v>
      </c>
      <c r="FR73" s="138">
        <f t="shared" si="23"/>
        <v>0</v>
      </c>
      <c r="FS73" s="238">
        <f t="shared" si="24"/>
        <v>0</v>
      </c>
      <c r="FT73" s="216">
        <f t="shared" si="175"/>
        <v>5.5118110236220486E-2</v>
      </c>
      <c r="FU73" s="138">
        <f t="shared" si="176"/>
        <v>0</v>
      </c>
      <c r="FV73" s="138">
        <f t="shared" si="177"/>
        <v>0</v>
      </c>
      <c r="FW73" s="238">
        <f t="shared" si="178"/>
        <v>0</v>
      </c>
      <c r="FX73" s="216">
        <f t="shared" si="25"/>
        <v>6.2992125984251982E-2</v>
      </c>
      <c r="FY73" s="138">
        <f t="shared" si="26"/>
        <v>0</v>
      </c>
      <c r="FZ73" s="138">
        <f t="shared" si="27"/>
        <v>0</v>
      </c>
      <c r="GA73" s="238">
        <f t="shared" si="28"/>
        <v>0</v>
      </c>
      <c r="GB73" s="216">
        <f t="shared" si="179"/>
        <v>5.5118110236220486E-2</v>
      </c>
      <c r="GC73" s="138">
        <f t="shared" si="180"/>
        <v>0</v>
      </c>
      <c r="GD73" s="138">
        <f t="shared" si="181"/>
        <v>0</v>
      </c>
      <c r="GE73" s="238">
        <f t="shared" si="182"/>
        <v>0</v>
      </c>
      <c r="GF73" s="216">
        <f t="shared" si="29"/>
        <v>6.2992125984251982E-2</v>
      </c>
      <c r="GG73" s="138">
        <f t="shared" si="30"/>
        <v>0</v>
      </c>
      <c r="GH73" s="138">
        <f t="shared" si="31"/>
        <v>0</v>
      </c>
      <c r="GI73" s="238">
        <f t="shared" si="32"/>
        <v>0</v>
      </c>
      <c r="GJ73" s="216">
        <f t="shared" si="183"/>
        <v>0.75</v>
      </c>
      <c r="GK73" s="216">
        <f t="shared" si="184"/>
        <v>6.2992125984251982E-2</v>
      </c>
      <c r="GL73" s="17">
        <f t="shared" si="185"/>
        <v>6.2992125984251982E-2</v>
      </c>
      <c r="GM73" s="216">
        <f t="shared" si="186"/>
        <v>2.7445079498027988E-2</v>
      </c>
      <c r="GN73" s="2">
        <f t="shared" si="187"/>
        <v>4</v>
      </c>
      <c r="GO73" s="2">
        <f t="shared" si="188"/>
        <v>2</v>
      </c>
      <c r="GP73" s="142">
        <f t="shared" si="189"/>
        <v>2</v>
      </c>
      <c r="GQ73" s="2">
        <f t="shared" si="190"/>
        <v>1.5748031496062995E-2</v>
      </c>
      <c r="GR73" s="8">
        <f t="shared" si="33"/>
        <v>0.28882607767300372</v>
      </c>
      <c r="GS73" s="138">
        <f t="shared" si="191"/>
        <v>0.5</v>
      </c>
      <c r="GT73" s="12">
        <f t="shared" si="34"/>
        <v>23940.567427496455</v>
      </c>
      <c r="GU73" s="138">
        <f t="shared" si="192"/>
        <v>0.5</v>
      </c>
      <c r="GV73" s="116">
        <f t="shared" si="193"/>
        <v>2175570</v>
      </c>
      <c r="GW73" s="2">
        <f t="shared" si="35"/>
        <v>5.5118110236220486E-2</v>
      </c>
      <c r="GX73" s="8">
        <f t="shared" si="36"/>
        <v>5.2422344197200008</v>
      </c>
      <c r="GY73" s="116">
        <f t="shared" si="194"/>
        <v>2610.6840000000002</v>
      </c>
      <c r="GZ73" s="217">
        <f t="shared" si="195"/>
        <v>4.1240122993036108</v>
      </c>
      <c r="HA73" s="207">
        <f t="shared" si="196"/>
        <v>2</v>
      </c>
      <c r="HB73" s="144">
        <f t="shared" si="197"/>
        <v>97667.471539327395</v>
      </c>
      <c r="HC73" s="138">
        <f t="shared" si="37"/>
        <v>0.5</v>
      </c>
      <c r="HD73" s="116">
        <f t="shared" si="198"/>
        <v>2175570</v>
      </c>
      <c r="HE73" s="2">
        <f t="shared" si="38"/>
        <v>5.5118110236220486E-2</v>
      </c>
      <c r="HF73" s="8">
        <f t="shared" si="199"/>
        <v>5.2422344197200008</v>
      </c>
      <c r="HG73" s="116">
        <f t="shared" si="200"/>
        <v>2610.6840000000002</v>
      </c>
      <c r="HH73" s="217">
        <f t="shared" si="201"/>
        <v>4.1240122993036108</v>
      </c>
      <c r="HI73" s="207">
        <f t="shared" si="202"/>
        <v>2</v>
      </c>
      <c r="HJ73" s="144">
        <f t="shared" si="203"/>
        <v>97667.471539327395</v>
      </c>
      <c r="HK73" s="138">
        <f t="shared" si="39"/>
        <v>0.5</v>
      </c>
      <c r="HL73" s="116">
        <f t="shared" si="204"/>
        <v>2175570</v>
      </c>
      <c r="HM73" s="2">
        <f t="shared" si="40"/>
        <v>5.5118110236220486E-2</v>
      </c>
      <c r="HN73" s="8">
        <f t="shared" si="205"/>
        <v>5.2422344197200008</v>
      </c>
      <c r="HO73" s="116">
        <f t="shared" si="206"/>
        <v>2610.6840000000002</v>
      </c>
      <c r="HP73" s="217">
        <f t="shared" si="207"/>
        <v>4.1240122993036108</v>
      </c>
      <c r="HQ73" s="207">
        <f t="shared" si="208"/>
        <v>2</v>
      </c>
      <c r="HR73" s="144">
        <f t="shared" si="209"/>
        <v>97667.471539327395</v>
      </c>
      <c r="HS73" s="128">
        <f t="shared" si="210"/>
        <v>0.5</v>
      </c>
      <c r="HT73" s="2">
        <f t="shared" si="211"/>
        <v>1.5748031496062995E-2</v>
      </c>
      <c r="HU73" s="127">
        <f t="shared" si="212"/>
        <v>1.5748031496062995E-2</v>
      </c>
      <c r="HV73" s="216">
        <f t="shared" si="213"/>
        <v>0.5</v>
      </c>
      <c r="HW73" s="138">
        <f t="shared" si="214"/>
        <v>0</v>
      </c>
      <c r="HX73" s="138">
        <f t="shared" si="215"/>
        <v>0</v>
      </c>
      <c r="HY73" s="238">
        <f t="shared" si="216"/>
        <v>0</v>
      </c>
      <c r="HZ73" s="138">
        <f t="shared" si="217"/>
        <v>0.5</v>
      </c>
      <c r="IA73" s="138">
        <f t="shared" si="218"/>
        <v>0</v>
      </c>
      <c r="IB73" s="138">
        <f t="shared" si="219"/>
        <v>0</v>
      </c>
      <c r="IC73" s="138">
        <f t="shared" si="220"/>
        <v>0</v>
      </c>
      <c r="ID73" s="216">
        <f t="shared" si="221"/>
        <v>1.5748031496062995E-2</v>
      </c>
      <c r="IE73" s="138">
        <f t="shared" si="222"/>
        <v>0</v>
      </c>
      <c r="IF73" s="138">
        <f t="shared" si="223"/>
        <v>0</v>
      </c>
      <c r="IG73" s="238">
        <f t="shared" si="224"/>
        <v>0</v>
      </c>
      <c r="IH73" s="138">
        <f t="shared" si="225"/>
        <v>1.5748031496062995E-2</v>
      </c>
      <c r="II73" s="138">
        <f t="shared" si="226"/>
        <v>0</v>
      </c>
      <c r="IJ73" s="138">
        <f t="shared" si="227"/>
        <v>0</v>
      </c>
      <c r="IK73" s="138">
        <f t="shared" si="228"/>
        <v>0</v>
      </c>
      <c r="IL73" s="216">
        <f t="shared" si="229"/>
        <v>1.5748031496062995E-2</v>
      </c>
      <c r="IM73" s="138">
        <f t="shared" si="230"/>
        <v>0</v>
      </c>
      <c r="IN73" s="138">
        <f t="shared" si="231"/>
        <v>0</v>
      </c>
      <c r="IO73" s="238">
        <f t="shared" si="232"/>
        <v>0</v>
      </c>
      <c r="IP73" s="138">
        <f t="shared" si="233"/>
        <v>1.5748031496062995E-2</v>
      </c>
      <c r="IQ73" s="138">
        <f t="shared" si="234"/>
        <v>0</v>
      </c>
      <c r="IR73" s="138">
        <f t="shared" si="235"/>
        <v>0</v>
      </c>
      <c r="IS73" s="138">
        <f t="shared" si="236"/>
        <v>0</v>
      </c>
      <c r="IT73" s="17">
        <f t="shared" si="237"/>
        <v>0.5</v>
      </c>
      <c r="IU73" s="17">
        <f t="shared" si="238"/>
        <v>1.5748031496062995E-2</v>
      </c>
      <c r="IV73" s="17">
        <f t="shared" si="239"/>
        <v>1.5748031496062995E-2</v>
      </c>
      <c r="IW73" s="253">
        <f t="shared" si="240"/>
        <v>29.12352455400001</v>
      </c>
      <c r="IX73" s="116">
        <f t="shared" si="241"/>
        <v>3169.64078949132</v>
      </c>
      <c r="IY73" s="8">
        <f t="shared" si="242"/>
        <v>8.1951991620075076E-2</v>
      </c>
      <c r="IZ73" s="8">
        <f t="shared" si="243"/>
        <v>8.1951991620075076E-2</v>
      </c>
      <c r="JA73" s="8">
        <f t="shared" si="244"/>
        <v>4.0975995810037538E-2</v>
      </c>
      <c r="JB73" s="134">
        <f t="shared" si="245"/>
        <v>0.2024252845126753</v>
      </c>
      <c r="JC73" s="170">
        <f t="shared" si="251"/>
        <v>4.3725358123599019E-2</v>
      </c>
      <c r="JD73" s="272">
        <f t="shared" si="252"/>
        <v>0.20910609298535282</v>
      </c>
      <c r="JE73" s="8"/>
      <c r="JF73" s="8"/>
    </row>
    <row r="74" spans="1:266" x14ac:dyDescent="0.25">
      <c r="A74" s="186">
        <v>14</v>
      </c>
      <c r="B74" s="187">
        <f>A74/100*'Inputs-Imperial'!$E$5</f>
        <v>3.3713911840000002</v>
      </c>
      <c r="C74" s="188">
        <f>'Inputs-Imperial'!$E$10+('Inputs-Imperial'!$E$9-'Inputs-Imperial'!$E$10)*(100-A74)/100</f>
        <v>4.8361222020000003</v>
      </c>
      <c r="D74" s="187">
        <f t="shared" si="248"/>
        <v>0.24081365600000026</v>
      </c>
      <c r="E74" s="188">
        <f t="shared" si="249"/>
        <v>1.1667473361177392</v>
      </c>
      <c r="F74" s="423">
        <f>Loads!P34</f>
        <v>804.15695040383389</v>
      </c>
      <c r="G74" s="423">
        <f>Loads!M34</f>
        <v>8041.569504038338</v>
      </c>
      <c r="H74" s="423">
        <f>Loads!N34</f>
        <v>74961.156047633267</v>
      </c>
      <c r="I74" s="423">
        <f>Loads!V34</f>
        <v>-18509.830867459314</v>
      </c>
      <c r="J74" s="423">
        <f>Loads!Q34</f>
        <v>7496.1156047633322</v>
      </c>
      <c r="K74" s="2">
        <v>14</v>
      </c>
      <c r="L74" s="12">
        <f t="shared" si="41"/>
        <v>40.456694208000002</v>
      </c>
      <c r="M74" s="11">
        <f t="shared" si="42"/>
        <v>58.033466424000004</v>
      </c>
      <c r="N74" s="11">
        <f t="shared" si="43"/>
        <v>2.8897638720000032</v>
      </c>
      <c r="O74" s="152">
        <f t="shared" si="44"/>
        <v>168.01161640095444</v>
      </c>
      <c r="P74" s="151">
        <f t="shared" si="45"/>
        <v>804.15695040383389</v>
      </c>
      <c r="Q74" s="12">
        <f t="shared" si="46"/>
        <v>8041.569504038338</v>
      </c>
      <c r="R74" s="12">
        <f t="shared" si="47"/>
        <v>899533.8725715992</v>
      </c>
      <c r="S74" s="12">
        <f t="shared" si="48"/>
        <v>-222117.97040951176</v>
      </c>
      <c r="T74" s="152">
        <f t="shared" si="49"/>
        <v>89953.387257159979</v>
      </c>
      <c r="U74" s="8">
        <f t="shared" si="0"/>
        <v>10.446023956319999</v>
      </c>
      <c r="V74" s="8">
        <f t="shared" si="1"/>
        <v>10.446023956319999</v>
      </c>
      <c r="W74" s="134">
        <f t="shared" si="2"/>
        <v>5.2230119781599997</v>
      </c>
      <c r="X74" s="311">
        <f t="shared" si="3"/>
        <v>14.508366606000001</v>
      </c>
      <c r="Y74" s="11">
        <f t="shared" si="4"/>
        <v>43.525099818000001</v>
      </c>
      <c r="Z74" s="11">
        <f t="shared" si="5"/>
        <v>29.016733211999998</v>
      </c>
      <c r="AA74" s="316">
        <f t="shared" si="50"/>
        <v>43.525099818000001</v>
      </c>
      <c r="AB74" s="170">
        <f t="shared" si="51"/>
        <v>7.83451796724</v>
      </c>
      <c r="AC74" s="11">
        <f t="shared" si="52"/>
        <v>43.525099818000001</v>
      </c>
      <c r="AD74" s="152">
        <f t="shared" si="53"/>
        <v>267.81934158427669</v>
      </c>
      <c r="AE74" s="151">
        <f t="shared" si="6"/>
        <v>18.475706058490672</v>
      </c>
      <c r="AF74" s="12">
        <f t="shared" si="54"/>
        <v>414.67873286443779</v>
      </c>
      <c r="AG74" s="216">
        <f t="shared" si="7"/>
        <v>2.8378475255255869E-2</v>
      </c>
      <c r="AH74" s="2">
        <f t="shared" si="55"/>
        <v>4</v>
      </c>
      <c r="AI74" s="2">
        <f t="shared" si="56"/>
        <v>3</v>
      </c>
      <c r="AJ74" s="127">
        <f t="shared" si="57"/>
        <v>2</v>
      </c>
      <c r="AK74" s="2">
        <f t="shared" si="58"/>
        <v>1.5748031496062995E-2</v>
      </c>
      <c r="AL74" s="8">
        <f t="shared" si="8"/>
        <v>0.29864893264036219</v>
      </c>
      <c r="AM74" s="138">
        <f t="shared" si="59"/>
        <v>0.5</v>
      </c>
      <c r="AN74" s="12">
        <f t="shared" si="9"/>
        <v>24754.77618444536</v>
      </c>
      <c r="AO74" s="138">
        <f t="shared" si="60"/>
        <v>0.5</v>
      </c>
      <c r="AP74" s="116">
        <f t="shared" si="61"/>
        <v>2175570</v>
      </c>
      <c r="AQ74" s="2">
        <f t="shared" si="62"/>
        <v>1.5748031496062995E-2</v>
      </c>
      <c r="AR74" s="8">
        <f t="shared" si="63"/>
        <v>29.016733211999998</v>
      </c>
      <c r="AS74" s="116">
        <f t="shared" si="64"/>
        <v>2610.6840000000002</v>
      </c>
      <c r="AT74" s="217">
        <f t="shared" si="65"/>
        <v>3.8458093350676958E-2</v>
      </c>
      <c r="AU74" s="207">
        <f t="shared" si="66"/>
        <v>4.6686841532489325</v>
      </c>
      <c r="AV74" s="144">
        <f t="shared" si="67"/>
        <v>7441.3252047876576</v>
      </c>
      <c r="AW74" s="138">
        <f t="shared" si="68"/>
        <v>1.75</v>
      </c>
      <c r="AX74" s="116">
        <f t="shared" si="69"/>
        <v>2175570</v>
      </c>
      <c r="AY74" s="2">
        <f t="shared" si="70"/>
        <v>1.5748031496062995E-2</v>
      </c>
      <c r="AZ74" s="8">
        <f t="shared" si="71"/>
        <v>29.016733211999998</v>
      </c>
      <c r="BA74" s="116">
        <f t="shared" si="72"/>
        <v>2610.6840000000002</v>
      </c>
      <c r="BB74" s="217">
        <f t="shared" si="73"/>
        <v>0.13460332672736933</v>
      </c>
      <c r="BC74" s="207">
        <f t="shared" si="74"/>
        <v>3.5686106234134942</v>
      </c>
      <c r="BD74" s="144">
        <f t="shared" si="75"/>
        <v>69677.25669664357</v>
      </c>
      <c r="BE74" s="138">
        <f t="shared" si="76"/>
        <v>1.75</v>
      </c>
      <c r="BF74" s="116">
        <f t="shared" si="77"/>
        <v>2175570</v>
      </c>
      <c r="BG74" s="2">
        <f t="shared" si="78"/>
        <v>1.5748031496062995E-2</v>
      </c>
      <c r="BH74" s="8">
        <f t="shared" si="79"/>
        <v>29.016733211999998</v>
      </c>
      <c r="BI74" s="116">
        <f t="shared" si="80"/>
        <v>2610.6840000000002</v>
      </c>
      <c r="BJ74" s="217">
        <f t="shared" si="81"/>
        <v>0.13460332672736933</v>
      </c>
      <c r="BK74" s="207">
        <f t="shared" si="82"/>
        <v>3.5686106234134942</v>
      </c>
      <c r="BL74" s="144">
        <f t="shared" si="83"/>
        <v>69677.25669664357</v>
      </c>
      <c r="BM74" s="216">
        <f t="shared" si="84"/>
        <v>1.75</v>
      </c>
      <c r="BN74" s="216">
        <f t="shared" si="85"/>
        <v>2.3622047244094495E-2</v>
      </c>
      <c r="BO74" s="238">
        <f t="shared" si="86"/>
        <v>1.5748031496062995E-2</v>
      </c>
      <c r="BP74" s="216">
        <f t="shared" si="87"/>
        <v>1.75</v>
      </c>
      <c r="BQ74" s="138">
        <f t="shared" si="88"/>
        <v>0</v>
      </c>
      <c r="BR74" s="138">
        <f t="shared" si="89"/>
        <v>0</v>
      </c>
      <c r="BS74" s="238">
        <f t="shared" si="90"/>
        <v>0</v>
      </c>
      <c r="BT74" s="138">
        <f t="shared" si="91"/>
        <v>2</v>
      </c>
      <c r="BU74" s="138">
        <f t="shared" si="92"/>
        <v>0</v>
      </c>
      <c r="BV74" s="138">
        <f t="shared" si="93"/>
        <v>0</v>
      </c>
      <c r="BW74" s="238">
        <f t="shared" si="94"/>
        <v>0</v>
      </c>
      <c r="BX74" s="216">
        <f t="shared" si="95"/>
        <v>2.3622047244094495E-2</v>
      </c>
      <c r="BY74" s="138">
        <f t="shared" si="96"/>
        <v>0</v>
      </c>
      <c r="BZ74" s="138">
        <f t="shared" si="97"/>
        <v>0</v>
      </c>
      <c r="CA74" s="238">
        <f t="shared" si="98"/>
        <v>0</v>
      </c>
      <c r="CB74" s="138">
        <f t="shared" si="99"/>
        <v>2.3622047244094495E-2</v>
      </c>
      <c r="CC74" s="138">
        <f t="shared" si="100"/>
        <v>0</v>
      </c>
      <c r="CD74" s="138">
        <f t="shared" si="101"/>
        <v>0</v>
      </c>
      <c r="CE74" s="238">
        <f t="shared" si="102"/>
        <v>0</v>
      </c>
      <c r="CF74" s="216">
        <f t="shared" si="103"/>
        <v>1.5748031496062995E-2</v>
      </c>
      <c r="CG74" s="138">
        <f t="shared" si="104"/>
        <v>0</v>
      </c>
      <c r="CH74" s="138">
        <f t="shared" si="105"/>
        <v>0</v>
      </c>
      <c r="CI74" s="238">
        <f t="shared" si="106"/>
        <v>0</v>
      </c>
      <c r="CJ74" s="138">
        <f t="shared" si="107"/>
        <v>2.3622047244094495E-2</v>
      </c>
      <c r="CK74" s="138">
        <f t="shared" si="108"/>
        <v>0</v>
      </c>
      <c r="CL74" s="138">
        <f t="shared" si="109"/>
        <v>0</v>
      </c>
      <c r="CM74" s="238">
        <f t="shared" si="110"/>
        <v>0</v>
      </c>
      <c r="CN74" s="17">
        <f t="shared" si="111"/>
        <v>2</v>
      </c>
      <c r="CO74" s="17">
        <f t="shared" si="112"/>
        <v>2.3622047244094495E-2</v>
      </c>
      <c r="CP74" s="17">
        <f t="shared" si="113"/>
        <v>2.3622047244094495E-2</v>
      </c>
      <c r="CQ74" s="17">
        <f>$U74-IF('Inputs-Imperial'!$E$13,0,2)*($CO74+$CN74+$CP74)</f>
        <v>10.446023956319999</v>
      </c>
      <c r="CR74" s="116">
        <f t="shared" si="114"/>
        <v>86112.560753545651</v>
      </c>
      <c r="CS74" s="8">
        <f t="shared" si="10"/>
        <v>2.2264654974958025</v>
      </c>
      <c r="CT74" s="8">
        <f t="shared" si="115"/>
        <v>1.4921345440327431</v>
      </c>
      <c r="CU74" s="8">
        <f t="shared" si="11"/>
        <v>2.2264654974958025</v>
      </c>
      <c r="CV74" s="8">
        <f t="shared" si="116"/>
        <v>1.4921345440327431</v>
      </c>
      <c r="CW74" s="216">
        <f t="shared" si="117"/>
        <v>8.9538894122872552</v>
      </c>
      <c r="CX74" s="116">
        <f t="shared" si="118"/>
        <v>100462.91964888305</v>
      </c>
      <c r="CY74" s="8">
        <f t="shared" si="119"/>
        <v>2.5974982327618377</v>
      </c>
      <c r="CZ74" s="8">
        <f t="shared" si="120"/>
        <v>1.611675597867585</v>
      </c>
      <c r="DA74" s="8">
        <f t="shared" si="121"/>
        <v>2.5974982327618377</v>
      </c>
      <c r="DB74" s="8">
        <f t="shared" si="122"/>
        <v>1.611675597867585</v>
      </c>
      <c r="DC74" s="216">
        <f t="shared" si="123"/>
        <v>8.8343483584524147</v>
      </c>
      <c r="DD74" s="116">
        <f t="shared" si="124"/>
        <v>101822.32305917105</v>
      </c>
      <c r="DE74" s="8">
        <f t="shared" si="125"/>
        <v>2.6326460063699955</v>
      </c>
      <c r="DF74" s="8">
        <f t="shared" si="126"/>
        <v>1.6225430676472028</v>
      </c>
      <c r="DG74" s="8">
        <f t="shared" si="127"/>
        <v>2.6326460063699955</v>
      </c>
      <c r="DH74" s="8">
        <f t="shared" si="128"/>
        <v>1.6225430676472028</v>
      </c>
      <c r="DI74" s="216">
        <f t="shared" si="129"/>
        <v>8.8234808886727958</v>
      </c>
      <c r="DJ74" s="116">
        <f t="shared" si="130"/>
        <v>101947.73286429192</v>
      </c>
      <c r="DK74" s="8">
        <f t="shared" si="131"/>
        <v>2.635888513638458</v>
      </c>
      <c r="DL74" s="8">
        <f t="shared" si="132"/>
        <v>1.6235419654688505</v>
      </c>
      <c r="DM74" s="8">
        <f t="shared" si="133"/>
        <v>2.635888513638458</v>
      </c>
      <c r="DN74" s="8">
        <f t="shared" si="134"/>
        <v>1.6235419654688505</v>
      </c>
      <c r="DO74" s="216">
        <f t="shared" si="135"/>
        <v>8.8224819908511503</v>
      </c>
      <c r="DP74" s="116">
        <f t="shared" si="136"/>
        <v>101959.27557623912</v>
      </c>
      <c r="DQ74" s="170">
        <f t="shared" si="137"/>
        <v>2.6361869538389708</v>
      </c>
      <c r="DR74" s="8">
        <f t="shared" si="138"/>
        <v>1.6236338730880713</v>
      </c>
      <c r="DS74" s="8">
        <f t="shared" si="139"/>
        <v>2.6361869538389708</v>
      </c>
      <c r="DT74" s="134">
        <f t="shared" si="140"/>
        <v>1.6236338730880713</v>
      </c>
      <c r="DU74" s="170">
        <f t="shared" si="250"/>
        <v>2.8934969275004128</v>
      </c>
      <c r="DV74" s="170">
        <f t="shared" si="250"/>
        <v>1.7010281971503038</v>
      </c>
      <c r="DW74" s="170">
        <f t="shared" si="250"/>
        <v>2.8934969275004128</v>
      </c>
      <c r="DX74" s="272">
        <f t="shared" si="250"/>
        <v>1.7010281971503038</v>
      </c>
      <c r="DY74" s="272">
        <f t="shared" si="142"/>
        <v>7.0439675620193913</v>
      </c>
      <c r="DZ74" s="22">
        <f t="shared" si="12"/>
        <v>769.82108577044471</v>
      </c>
      <c r="EA74" s="216">
        <f t="shared" si="13"/>
        <v>5.0435472132834148E-2</v>
      </c>
      <c r="EB74" s="12">
        <f t="shared" si="143"/>
        <v>7</v>
      </c>
      <c r="EC74" s="7">
        <f>ROUND(MAX(DV74,DX74)/'Inputs-Imperial'!$E$21,0)</f>
        <v>14</v>
      </c>
      <c r="ED74" s="12">
        <f t="shared" si="144"/>
        <v>14</v>
      </c>
      <c r="EE74" s="2">
        <f t="shared" si="145"/>
        <v>7</v>
      </c>
      <c r="EF74" s="127">
        <f t="shared" si="146"/>
        <v>7</v>
      </c>
      <c r="EG74" s="2">
        <f t="shared" si="147"/>
        <v>5.5118110236220486E-2</v>
      </c>
      <c r="EH74" s="8">
        <f t="shared" si="14"/>
        <v>0.53077199476719528</v>
      </c>
      <c r="EI74" s="138">
        <f t="shared" si="148"/>
        <v>0.75</v>
      </c>
      <c r="EJ74" s="12">
        <f t="shared" si="15"/>
        <v>12570.078586223117</v>
      </c>
      <c r="EK74" s="138">
        <f t="shared" si="149"/>
        <v>0.75</v>
      </c>
      <c r="EL74" s="116">
        <f t="shared" si="150"/>
        <v>2175570</v>
      </c>
      <c r="EM74" s="2">
        <f t="shared" si="16"/>
        <v>5.5118110236220486E-2</v>
      </c>
      <c r="EN74" s="8">
        <f t="shared" si="151"/>
        <v>10.446023956319999</v>
      </c>
      <c r="EO74" s="116">
        <f t="shared" si="152"/>
        <v>2610.6840000000002</v>
      </c>
      <c r="EP74" s="217">
        <f t="shared" si="153"/>
        <v>1.5579088741593676</v>
      </c>
      <c r="EQ74" s="207">
        <f t="shared" si="154"/>
        <v>2</v>
      </c>
      <c r="ER74" s="144">
        <f t="shared" si="155"/>
        <v>55343.07717275207</v>
      </c>
      <c r="ES74" s="138">
        <f t="shared" si="17"/>
        <v>0.75</v>
      </c>
      <c r="ET74" s="116">
        <f t="shared" si="156"/>
        <v>2175570</v>
      </c>
      <c r="EU74" s="2">
        <f t="shared" si="18"/>
        <v>5.5118110236220486E-2</v>
      </c>
      <c r="EV74" s="8">
        <f t="shared" si="157"/>
        <v>10.446023956319999</v>
      </c>
      <c r="EW74" s="116">
        <f t="shared" si="158"/>
        <v>2610.6840000000002</v>
      </c>
      <c r="EX74" s="217">
        <f t="shared" si="159"/>
        <v>1.5579088741593676</v>
      </c>
      <c r="EY74" s="207">
        <f t="shared" si="160"/>
        <v>2</v>
      </c>
      <c r="EZ74" s="144">
        <f t="shared" si="161"/>
        <v>55343.07717275207</v>
      </c>
      <c r="FA74" s="138">
        <f t="shared" si="19"/>
        <v>0.75</v>
      </c>
      <c r="FB74" s="116">
        <f t="shared" si="162"/>
        <v>2175570</v>
      </c>
      <c r="FC74" s="2">
        <f t="shared" si="20"/>
        <v>5.5118110236220486E-2</v>
      </c>
      <c r="FD74" s="8">
        <f t="shared" si="163"/>
        <v>10.446023956319999</v>
      </c>
      <c r="FE74" s="116">
        <f t="shared" si="164"/>
        <v>2610.6840000000002</v>
      </c>
      <c r="FF74" s="217">
        <f t="shared" si="165"/>
        <v>1.5579088741593676</v>
      </c>
      <c r="FG74" s="207">
        <f t="shared" si="166"/>
        <v>2</v>
      </c>
      <c r="FH74" s="144">
        <f t="shared" si="167"/>
        <v>55343.07717275207</v>
      </c>
      <c r="FI74" s="128">
        <f t="shared" si="168"/>
        <v>0.75</v>
      </c>
      <c r="FJ74" s="2">
        <f t="shared" si="169"/>
        <v>5.5118110236220486E-2</v>
      </c>
      <c r="FK74" s="127">
        <f t="shared" si="170"/>
        <v>5.5118110236220486E-2</v>
      </c>
      <c r="FL74" s="216">
        <f t="shared" si="171"/>
        <v>0.75</v>
      </c>
      <c r="FM74" s="138">
        <f t="shared" si="172"/>
        <v>0</v>
      </c>
      <c r="FN74" s="138">
        <f t="shared" si="173"/>
        <v>0</v>
      </c>
      <c r="FO74" s="238">
        <f t="shared" si="174"/>
        <v>0</v>
      </c>
      <c r="FP74" s="216">
        <f t="shared" si="21"/>
        <v>0.75</v>
      </c>
      <c r="FQ74" s="138">
        <f t="shared" si="22"/>
        <v>0</v>
      </c>
      <c r="FR74" s="138">
        <f t="shared" si="23"/>
        <v>0</v>
      </c>
      <c r="FS74" s="238">
        <f t="shared" si="24"/>
        <v>0</v>
      </c>
      <c r="FT74" s="216">
        <f t="shared" si="175"/>
        <v>5.5118110236220486E-2</v>
      </c>
      <c r="FU74" s="138">
        <f t="shared" si="176"/>
        <v>0</v>
      </c>
      <c r="FV74" s="138">
        <f t="shared" si="177"/>
        <v>0</v>
      </c>
      <c r="FW74" s="238">
        <f t="shared" si="178"/>
        <v>0</v>
      </c>
      <c r="FX74" s="216">
        <f t="shared" si="25"/>
        <v>6.2992125984251982E-2</v>
      </c>
      <c r="FY74" s="138">
        <f t="shared" si="26"/>
        <v>0</v>
      </c>
      <c r="FZ74" s="138">
        <f t="shared" si="27"/>
        <v>0</v>
      </c>
      <c r="GA74" s="238">
        <f t="shared" si="28"/>
        <v>0</v>
      </c>
      <c r="GB74" s="216">
        <f t="shared" si="179"/>
        <v>5.5118110236220486E-2</v>
      </c>
      <c r="GC74" s="138">
        <f t="shared" si="180"/>
        <v>0</v>
      </c>
      <c r="GD74" s="138">
        <f t="shared" si="181"/>
        <v>0</v>
      </c>
      <c r="GE74" s="238">
        <f t="shared" si="182"/>
        <v>0</v>
      </c>
      <c r="GF74" s="216">
        <f t="shared" si="29"/>
        <v>6.2992125984251982E-2</v>
      </c>
      <c r="GG74" s="138">
        <f t="shared" si="30"/>
        <v>0</v>
      </c>
      <c r="GH74" s="138">
        <f t="shared" si="31"/>
        <v>0</v>
      </c>
      <c r="GI74" s="238">
        <f t="shared" si="32"/>
        <v>0</v>
      </c>
      <c r="GJ74" s="216">
        <f t="shared" si="183"/>
        <v>0.75</v>
      </c>
      <c r="GK74" s="216">
        <f t="shared" si="184"/>
        <v>6.2992125984251982E-2</v>
      </c>
      <c r="GL74" s="17">
        <f t="shared" si="185"/>
        <v>6.2992125984251982E-2</v>
      </c>
      <c r="GM74" s="216">
        <f t="shared" si="186"/>
        <v>2.7168023924067849E-2</v>
      </c>
      <c r="GN74" s="2">
        <f t="shared" si="187"/>
        <v>4</v>
      </c>
      <c r="GO74" s="2">
        <f t="shared" si="188"/>
        <v>2</v>
      </c>
      <c r="GP74" s="142">
        <f t="shared" si="189"/>
        <v>2</v>
      </c>
      <c r="GQ74" s="2">
        <f t="shared" si="190"/>
        <v>1.5748031496062995E-2</v>
      </c>
      <c r="GR74" s="8">
        <f t="shared" si="33"/>
        <v>0.28591040476594948</v>
      </c>
      <c r="GS74" s="138">
        <f t="shared" si="191"/>
        <v>0.5</v>
      </c>
      <c r="GT74" s="12">
        <f t="shared" si="34"/>
        <v>23698.889583202617</v>
      </c>
      <c r="GU74" s="138">
        <f t="shared" si="192"/>
        <v>0.5</v>
      </c>
      <c r="GV74" s="116">
        <f t="shared" si="193"/>
        <v>2175570</v>
      </c>
      <c r="GW74" s="2">
        <f t="shared" si="35"/>
        <v>5.5118110236220486E-2</v>
      </c>
      <c r="GX74" s="8">
        <f t="shared" si="36"/>
        <v>5.2230119781599997</v>
      </c>
      <c r="GY74" s="116">
        <f t="shared" si="194"/>
        <v>2610.6840000000002</v>
      </c>
      <c r="GZ74" s="217">
        <f t="shared" si="195"/>
        <v>4.1544236644249795</v>
      </c>
      <c r="HA74" s="207">
        <f t="shared" si="196"/>
        <v>2</v>
      </c>
      <c r="HB74" s="144">
        <f t="shared" si="197"/>
        <v>98387.69275155924</v>
      </c>
      <c r="HC74" s="138">
        <f t="shared" si="37"/>
        <v>0.5</v>
      </c>
      <c r="HD74" s="116">
        <f t="shared" si="198"/>
        <v>2175570</v>
      </c>
      <c r="HE74" s="2">
        <f t="shared" si="38"/>
        <v>5.5118110236220486E-2</v>
      </c>
      <c r="HF74" s="8">
        <f t="shared" si="199"/>
        <v>5.2230119781599997</v>
      </c>
      <c r="HG74" s="116">
        <f t="shared" si="200"/>
        <v>2610.6840000000002</v>
      </c>
      <c r="HH74" s="217">
        <f t="shared" si="201"/>
        <v>4.1544236644249795</v>
      </c>
      <c r="HI74" s="207">
        <f t="shared" si="202"/>
        <v>2</v>
      </c>
      <c r="HJ74" s="144">
        <f t="shared" si="203"/>
        <v>98387.69275155924</v>
      </c>
      <c r="HK74" s="138">
        <f t="shared" si="39"/>
        <v>0.5</v>
      </c>
      <c r="HL74" s="116">
        <f t="shared" si="204"/>
        <v>2175570</v>
      </c>
      <c r="HM74" s="2">
        <f t="shared" si="40"/>
        <v>5.5118110236220486E-2</v>
      </c>
      <c r="HN74" s="8">
        <f t="shared" si="205"/>
        <v>5.2230119781599997</v>
      </c>
      <c r="HO74" s="116">
        <f t="shared" si="206"/>
        <v>2610.6840000000002</v>
      </c>
      <c r="HP74" s="217">
        <f t="shared" si="207"/>
        <v>4.1544236644249795</v>
      </c>
      <c r="HQ74" s="207">
        <f t="shared" si="208"/>
        <v>2</v>
      </c>
      <c r="HR74" s="144">
        <f t="shared" si="209"/>
        <v>98387.69275155924</v>
      </c>
      <c r="HS74" s="128">
        <f t="shared" si="210"/>
        <v>0.5</v>
      </c>
      <c r="HT74" s="2">
        <f t="shared" si="211"/>
        <v>1.5748031496062995E-2</v>
      </c>
      <c r="HU74" s="127">
        <f t="shared" si="212"/>
        <v>1.5748031496062995E-2</v>
      </c>
      <c r="HV74" s="216">
        <f t="shared" si="213"/>
        <v>0.5</v>
      </c>
      <c r="HW74" s="138">
        <f t="shared" si="214"/>
        <v>0</v>
      </c>
      <c r="HX74" s="138">
        <f t="shared" si="215"/>
        <v>0</v>
      </c>
      <c r="HY74" s="238">
        <f t="shared" si="216"/>
        <v>0</v>
      </c>
      <c r="HZ74" s="138">
        <f t="shared" si="217"/>
        <v>0.5</v>
      </c>
      <c r="IA74" s="138">
        <f t="shared" si="218"/>
        <v>0</v>
      </c>
      <c r="IB74" s="138">
        <f t="shared" si="219"/>
        <v>0</v>
      </c>
      <c r="IC74" s="138">
        <f t="shared" si="220"/>
        <v>0</v>
      </c>
      <c r="ID74" s="216">
        <f t="shared" si="221"/>
        <v>1.5748031496062995E-2</v>
      </c>
      <c r="IE74" s="138">
        <f t="shared" si="222"/>
        <v>0</v>
      </c>
      <c r="IF74" s="138">
        <f t="shared" si="223"/>
        <v>0</v>
      </c>
      <c r="IG74" s="238">
        <f t="shared" si="224"/>
        <v>0</v>
      </c>
      <c r="IH74" s="138">
        <f t="shared" si="225"/>
        <v>1.5748031496062995E-2</v>
      </c>
      <c r="II74" s="138">
        <f t="shared" si="226"/>
        <v>0</v>
      </c>
      <c r="IJ74" s="138">
        <f t="shared" si="227"/>
        <v>0</v>
      </c>
      <c r="IK74" s="138">
        <f t="shared" si="228"/>
        <v>0</v>
      </c>
      <c r="IL74" s="216">
        <f t="shared" si="229"/>
        <v>1.5748031496062995E-2</v>
      </c>
      <c r="IM74" s="138">
        <f t="shared" si="230"/>
        <v>0</v>
      </c>
      <c r="IN74" s="138">
        <f t="shared" si="231"/>
        <v>0</v>
      </c>
      <c r="IO74" s="238">
        <f t="shared" si="232"/>
        <v>0</v>
      </c>
      <c r="IP74" s="138">
        <f t="shared" si="233"/>
        <v>1.5748031496062995E-2</v>
      </c>
      <c r="IQ74" s="138">
        <f t="shared" si="234"/>
        <v>0</v>
      </c>
      <c r="IR74" s="138">
        <f t="shared" si="235"/>
        <v>0</v>
      </c>
      <c r="IS74" s="138">
        <f t="shared" si="236"/>
        <v>0</v>
      </c>
      <c r="IT74" s="17">
        <f t="shared" si="237"/>
        <v>0.5</v>
      </c>
      <c r="IU74" s="17">
        <f t="shared" si="238"/>
        <v>1.5748031496062995E-2</v>
      </c>
      <c r="IV74" s="17">
        <f t="shared" si="239"/>
        <v>1.5748031496062995E-2</v>
      </c>
      <c r="IW74" s="253">
        <f t="shared" si="240"/>
        <v>29.016733211999998</v>
      </c>
      <c r="IX74" s="116">
        <f t="shared" si="241"/>
        <v>3100.0521871276451</v>
      </c>
      <c r="IY74" s="8">
        <f t="shared" si="242"/>
        <v>8.0152757909848923E-2</v>
      </c>
      <c r="IZ74" s="8">
        <f t="shared" si="243"/>
        <v>8.0152757909848923E-2</v>
      </c>
      <c r="JA74" s="8">
        <f t="shared" si="244"/>
        <v>4.0076378954924462E-2</v>
      </c>
      <c r="JB74" s="134">
        <f t="shared" si="245"/>
        <v>0.20019085632197206</v>
      </c>
      <c r="JC74" s="170">
        <f t="shared" si="251"/>
        <v>4.3725358123599019E-2</v>
      </c>
      <c r="JD74" s="272">
        <f t="shared" si="252"/>
        <v>0.20910609298535282</v>
      </c>
      <c r="JE74" s="8"/>
      <c r="JF74" s="8"/>
    </row>
    <row r="75" spans="1:266" x14ac:dyDescent="0.25">
      <c r="A75" s="186">
        <v>15</v>
      </c>
      <c r="B75" s="187">
        <f>A75/100*'Inputs-Imperial'!$E$5</f>
        <v>3.6122048399999995</v>
      </c>
      <c r="C75" s="188">
        <f>'Inputs-Imperial'!$E$10+('Inputs-Imperial'!$E$9-'Inputs-Imperial'!$E$10)*(100-A75)/100</f>
        <v>4.8183236450000004</v>
      </c>
      <c r="D75" s="187">
        <f t="shared" si="248"/>
        <v>0.24081365599999938</v>
      </c>
      <c r="E75" s="188">
        <f t="shared" si="249"/>
        <v>1.1624612005350405</v>
      </c>
      <c r="F75" s="423">
        <f>Loads!P35</f>
        <v>792.45508606647377</v>
      </c>
      <c r="G75" s="423">
        <f>Loads!M35</f>
        <v>7924.5508606647372</v>
      </c>
      <c r="H75" s="423">
        <f>Loads!N35</f>
        <v>73024.636295387696</v>
      </c>
      <c r="I75" s="423">
        <f>Loads!V35</f>
        <v>-18184.824337765112</v>
      </c>
      <c r="J75" s="423">
        <f>Loads!Q35</f>
        <v>7302.4636295387745</v>
      </c>
      <c r="K75" s="2">
        <v>15</v>
      </c>
      <c r="L75" s="12">
        <f t="shared" si="41"/>
        <v>43.346458079999991</v>
      </c>
      <c r="M75" s="11">
        <f t="shared" si="42"/>
        <v>57.819883740000009</v>
      </c>
      <c r="N75" s="11">
        <f t="shared" si="43"/>
        <v>2.8897638719999925</v>
      </c>
      <c r="O75" s="152">
        <f t="shared" si="44"/>
        <v>167.39441287704585</v>
      </c>
      <c r="P75" s="151">
        <f t="shared" si="45"/>
        <v>792.45508606647377</v>
      </c>
      <c r="Q75" s="12">
        <f t="shared" si="46"/>
        <v>7924.5508606647372</v>
      </c>
      <c r="R75" s="12">
        <f t="shared" si="47"/>
        <v>876295.63554465235</v>
      </c>
      <c r="S75" s="12">
        <f t="shared" si="48"/>
        <v>-218217.89205318136</v>
      </c>
      <c r="T75" s="152">
        <f t="shared" si="49"/>
        <v>87629.563554465291</v>
      </c>
      <c r="U75" s="8">
        <f t="shared" si="0"/>
        <v>10.407579073200001</v>
      </c>
      <c r="V75" s="8">
        <f t="shared" si="1"/>
        <v>10.407579073200001</v>
      </c>
      <c r="W75" s="134">
        <f t="shared" si="2"/>
        <v>5.2037895366000004</v>
      </c>
      <c r="X75" s="311">
        <f t="shared" si="3"/>
        <v>14.454970935000002</v>
      </c>
      <c r="Y75" s="11">
        <f t="shared" si="4"/>
        <v>43.364912805000003</v>
      </c>
      <c r="Z75" s="11">
        <f t="shared" si="5"/>
        <v>28.909941870000001</v>
      </c>
      <c r="AA75" s="316">
        <f t="shared" si="50"/>
        <v>43.364912805000003</v>
      </c>
      <c r="AB75" s="170">
        <f t="shared" si="51"/>
        <v>7.8056843049000006</v>
      </c>
      <c r="AC75" s="11">
        <f t="shared" si="52"/>
        <v>43.364912805000003</v>
      </c>
      <c r="AD75" s="152">
        <f t="shared" si="53"/>
        <v>265.8516385742268</v>
      </c>
      <c r="AE75" s="151">
        <f t="shared" si="6"/>
        <v>18.274107678480174</v>
      </c>
      <c r="AF75" s="12">
        <f t="shared" si="54"/>
        <v>410.41291530774993</v>
      </c>
      <c r="AG75" s="216">
        <f t="shared" si="7"/>
        <v>2.8085788764659638E-2</v>
      </c>
      <c r="AH75" s="2">
        <f t="shared" si="55"/>
        <v>4</v>
      </c>
      <c r="AI75" s="2">
        <f t="shared" si="56"/>
        <v>3</v>
      </c>
      <c r="AJ75" s="127">
        <f t="shared" si="57"/>
        <v>2</v>
      </c>
      <c r="AK75" s="2">
        <f t="shared" si="58"/>
        <v>1.5748031496062995E-2</v>
      </c>
      <c r="AL75" s="8">
        <f t="shared" si="8"/>
        <v>0.29556876334907406</v>
      </c>
      <c r="AM75" s="138">
        <f t="shared" si="59"/>
        <v>0.5</v>
      </c>
      <c r="AN75" s="12">
        <f t="shared" si="9"/>
        <v>24499.463363663042</v>
      </c>
      <c r="AO75" s="138">
        <f t="shared" si="60"/>
        <v>0.5</v>
      </c>
      <c r="AP75" s="116">
        <f t="shared" si="61"/>
        <v>2175570</v>
      </c>
      <c r="AQ75" s="2">
        <f t="shared" si="62"/>
        <v>1.5748031496062995E-2</v>
      </c>
      <c r="AR75" s="8">
        <f t="shared" si="63"/>
        <v>28.909941870000001</v>
      </c>
      <c r="AS75" s="116">
        <f t="shared" si="64"/>
        <v>2610.6840000000002</v>
      </c>
      <c r="AT75" s="217">
        <f t="shared" si="65"/>
        <v>3.874274123343123E-2</v>
      </c>
      <c r="AU75" s="207">
        <f t="shared" si="66"/>
        <v>4.6644786824644635</v>
      </c>
      <c r="AV75" s="144">
        <f t="shared" si="67"/>
        <v>7489.6496014349796</v>
      </c>
      <c r="AW75" s="138">
        <f t="shared" si="68"/>
        <v>1.75</v>
      </c>
      <c r="AX75" s="116">
        <f t="shared" si="69"/>
        <v>2175570</v>
      </c>
      <c r="AY75" s="2">
        <f t="shared" si="70"/>
        <v>1.5748031496062995E-2</v>
      </c>
      <c r="AZ75" s="8">
        <f t="shared" si="71"/>
        <v>28.909941870000001</v>
      </c>
      <c r="BA75" s="116">
        <f t="shared" si="72"/>
        <v>2610.6840000000002</v>
      </c>
      <c r="BB75" s="217">
        <f t="shared" si="73"/>
        <v>0.13559959431700924</v>
      </c>
      <c r="BC75" s="207">
        <f t="shared" si="74"/>
        <v>3.5600979545408027</v>
      </c>
      <c r="BD75" s="144">
        <f t="shared" si="75"/>
        <v>70025.533078339795</v>
      </c>
      <c r="BE75" s="138">
        <f t="shared" si="76"/>
        <v>1.75</v>
      </c>
      <c r="BF75" s="116">
        <f t="shared" si="77"/>
        <v>2175570</v>
      </c>
      <c r="BG75" s="2">
        <f t="shared" si="78"/>
        <v>1.5748031496062995E-2</v>
      </c>
      <c r="BH75" s="8">
        <f t="shared" si="79"/>
        <v>28.909941870000001</v>
      </c>
      <c r="BI75" s="116">
        <f t="shared" si="80"/>
        <v>2610.6840000000002</v>
      </c>
      <c r="BJ75" s="217">
        <f t="shared" si="81"/>
        <v>0.13559959431700924</v>
      </c>
      <c r="BK75" s="207">
        <f t="shared" si="82"/>
        <v>3.5600979545408027</v>
      </c>
      <c r="BL75" s="144">
        <f t="shared" si="83"/>
        <v>70025.533078339795</v>
      </c>
      <c r="BM75" s="216">
        <f t="shared" si="84"/>
        <v>1.75</v>
      </c>
      <c r="BN75" s="216">
        <f t="shared" si="85"/>
        <v>2.3622047244094495E-2</v>
      </c>
      <c r="BO75" s="238">
        <f t="shared" si="86"/>
        <v>1.5748031496062995E-2</v>
      </c>
      <c r="BP75" s="216">
        <f t="shared" si="87"/>
        <v>1.75</v>
      </c>
      <c r="BQ75" s="138">
        <f t="shared" si="88"/>
        <v>0</v>
      </c>
      <c r="BR75" s="138">
        <f t="shared" si="89"/>
        <v>0</v>
      </c>
      <c r="BS75" s="238">
        <f t="shared" si="90"/>
        <v>0</v>
      </c>
      <c r="BT75" s="138">
        <f t="shared" si="91"/>
        <v>2</v>
      </c>
      <c r="BU75" s="138">
        <f t="shared" si="92"/>
        <v>0</v>
      </c>
      <c r="BV75" s="138">
        <f t="shared" si="93"/>
        <v>0</v>
      </c>
      <c r="BW75" s="238">
        <f t="shared" si="94"/>
        <v>0</v>
      </c>
      <c r="BX75" s="216">
        <f t="shared" si="95"/>
        <v>2.3622047244094495E-2</v>
      </c>
      <c r="BY75" s="138">
        <f t="shared" si="96"/>
        <v>0</v>
      </c>
      <c r="BZ75" s="138">
        <f t="shared" si="97"/>
        <v>0</v>
      </c>
      <c r="CA75" s="238">
        <f t="shared" si="98"/>
        <v>0</v>
      </c>
      <c r="CB75" s="138">
        <f t="shared" si="99"/>
        <v>2.3622047244094495E-2</v>
      </c>
      <c r="CC75" s="138">
        <f t="shared" si="100"/>
        <v>0</v>
      </c>
      <c r="CD75" s="138">
        <f t="shared" si="101"/>
        <v>0</v>
      </c>
      <c r="CE75" s="238">
        <f t="shared" si="102"/>
        <v>0</v>
      </c>
      <c r="CF75" s="216">
        <f t="shared" si="103"/>
        <v>1.5748031496062995E-2</v>
      </c>
      <c r="CG75" s="138">
        <f t="shared" si="104"/>
        <v>0</v>
      </c>
      <c r="CH75" s="138">
        <f t="shared" si="105"/>
        <v>0</v>
      </c>
      <c r="CI75" s="238">
        <f t="shared" si="106"/>
        <v>0</v>
      </c>
      <c r="CJ75" s="138">
        <f t="shared" si="107"/>
        <v>2.3622047244094495E-2</v>
      </c>
      <c r="CK75" s="138">
        <f t="shared" si="108"/>
        <v>0</v>
      </c>
      <c r="CL75" s="138">
        <f t="shared" si="109"/>
        <v>0</v>
      </c>
      <c r="CM75" s="238">
        <f t="shared" si="110"/>
        <v>0</v>
      </c>
      <c r="CN75" s="17">
        <f t="shared" si="111"/>
        <v>2</v>
      </c>
      <c r="CO75" s="17">
        <f t="shared" si="112"/>
        <v>2.3622047244094495E-2</v>
      </c>
      <c r="CP75" s="17">
        <f t="shared" si="113"/>
        <v>2.3622047244094495E-2</v>
      </c>
      <c r="CQ75" s="17">
        <f>$U75-IF('Inputs-Imperial'!$E$13,0,2)*($CO75+$CN75+$CP75)</f>
        <v>10.407579073200001</v>
      </c>
      <c r="CR75" s="116">
        <f t="shared" si="114"/>
        <v>84197.835959868346</v>
      </c>
      <c r="CS75" s="8">
        <f t="shared" si="10"/>
        <v>2.1769597267578584</v>
      </c>
      <c r="CT75" s="8">
        <f t="shared" si="115"/>
        <v>1.4754523803762216</v>
      </c>
      <c r="CU75" s="8">
        <f t="shared" si="11"/>
        <v>2.1769597267578584</v>
      </c>
      <c r="CV75" s="8">
        <f t="shared" si="116"/>
        <v>1.4754523803762216</v>
      </c>
      <c r="CW75" s="216">
        <f t="shared" si="117"/>
        <v>8.932126692823779</v>
      </c>
      <c r="CX75" s="116">
        <f t="shared" si="118"/>
        <v>98106.046374004422</v>
      </c>
      <c r="CY75" s="8">
        <f t="shared" si="119"/>
        <v>2.5365605834506582</v>
      </c>
      <c r="CZ75" s="8">
        <f t="shared" si="120"/>
        <v>1.5926583385807072</v>
      </c>
      <c r="DA75" s="8">
        <f t="shared" si="121"/>
        <v>2.5365605834506582</v>
      </c>
      <c r="DB75" s="8">
        <f t="shared" si="122"/>
        <v>1.5926583385807072</v>
      </c>
      <c r="DC75" s="216">
        <f t="shared" si="123"/>
        <v>8.8149207346192924</v>
      </c>
      <c r="DD75" s="116">
        <f t="shared" si="124"/>
        <v>99410.495218990603</v>
      </c>
      <c r="DE75" s="8">
        <f t="shared" si="125"/>
        <v>2.5702874906659963</v>
      </c>
      <c r="DF75" s="8">
        <f t="shared" si="126"/>
        <v>1.6032116175558349</v>
      </c>
      <c r="DG75" s="8">
        <f t="shared" si="127"/>
        <v>2.5702874906659963</v>
      </c>
      <c r="DH75" s="8">
        <f t="shared" si="128"/>
        <v>1.6032116175558349</v>
      </c>
      <c r="DI75" s="216">
        <f t="shared" si="129"/>
        <v>8.8043674556441651</v>
      </c>
      <c r="DJ75" s="116">
        <f t="shared" si="130"/>
        <v>99529.652750112175</v>
      </c>
      <c r="DK75" s="8">
        <f t="shared" si="131"/>
        <v>2.5733683435576928</v>
      </c>
      <c r="DL75" s="8">
        <f t="shared" si="132"/>
        <v>1.6041721676795457</v>
      </c>
      <c r="DM75" s="8">
        <f t="shared" si="133"/>
        <v>2.5733683435576928</v>
      </c>
      <c r="DN75" s="8">
        <f t="shared" si="134"/>
        <v>1.6041721676795457</v>
      </c>
      <c r="DO75" s="216">
        <f t="shared" si="135"/>
        <v>8.803406905520454</v>
      </c>
      <c r="DP75" s="116">
        <f t="shared" si="136"/>
        <v>99540.512548061772</v>
      </c>
      <c r="DQ75" s="170">
        <f t="shared" si="137"/>
        <v>2.5736491268166386</v>
      </c>
      <c r="DR75" s="8">
        <f t="shared" si="138"/>
        <v>1.6042596818522363</v>
      </c>
      <c r="DS75" s="8">
        <f t="shared" si="139"/>
        <v>2.5736491268166386</v>
      </c>
      <c r="DT75" s="134">
        <f t="shared" si="140"/>
        <v>1.6042596818522363</v>
      </c>
      <c r="DU75" s="170">
        <f t="shared" si="250"/>
        <v>2.8934969275004128</v>
      </c>
      <c r="DV75" s="170">
        <f t="shared" si="250"/>
        <v>1.7010281971503038</v>
      </c>
      <c r="DW75" s="170">
        <f t="shared" si="250"/>
        <v>2.8934969275004128</v>
      </c>
      <c r="DX75" s="272">
        <f t="shared" si="250"/>
        <v>1.7010281971503038</v>
      </c>
      <c r="DY75" s="272">
        <f t="shared" si="142"/>
        <v>7.0055226788993927</v>
      </c>
      <c r="DZ75" s="22">
        <f t="shared" si="12"/>
        <v>761.42115327000715</v>
      </c>
      <c r="EA75" s="216">
        <f t="shared" si="13"/>
        <v>4.9885143531326039E-2</v>
      </c>
      <c r="EB75" s="12">
        <f t="shared" si="143"/>
        <v>7</v>
      </c>
      <c r="EC75" s="7">
        <f>ROUND(MAX(DV75,DX75)/'Inputs-Imperial'!$E$21,0)</f>
        <v>14</v>
      </c>
      <c r="ED75" s="12">
        <f t="shared" si="144"/>
        <v>14</v>
      </c>
      <c r="EE75" s="2">
        <f t="shared" si="145"/>
        <v>7</v>
      </c>
      <c r="EF75" s="127">
        <f t="shared" si="146"/>
        <v>7</v>
      </c>
      <c r="EG75" s="2">
        <f t="shared" si="147"/>
        <v>5.5118110236220486E-2</v>
      </c>
      <c r="EH75" s="8">
        <f t="shared" si="14"/>
        <v>0.52498045565300611</v>
      </c>
      <c r="EI75" s="138">
        <f t="shared" si="148"/>
        <v>0.75</v>
      </c>
      <c r="EJ75" s="12">
        <f t="shared" si="15"/>
        <v>12432.919688394542</v>
      </c>
      <c r="EK75" s="138">
        <f t="shared" si="149"/>
        <v>0.75</v>
      </c>
      <c r="EL75" s="116">
        <f t="shared" si="150"/>
        <v>2175570</v>
      </c>
      <c r="EM75" s="2">
        <f t="shared" si="16"/>
        <v>5.5118110236220486E-2</v>
      </c>
      <c r="EN75" s="8">
        <f t="shared" si="151"/>
        <v>10.407579073200001</v>
      </c>
      <c r="EO75" s="116">
        <f t="shared" si="152"/>
        <v>2610.6840000000002</v>
      </c>
      <c r="EP75" s="217">
        <f t="shared" si="153"/>
        <v>1.5694397490394592</v>
      </c>
      <c r="EQ75" s="207">
        <f t="shared" si="154"/>
        <v>2</v>
      </c>
      <c r="ER75" s="144">
        <f t="shared" si="155"/>
        <v>55752.699397095959</v>
      </c>
      <c r="ES75" s="138">
        <f t="shared" si="17"/>
        <v>0.75</v>
      </c>
      <c r="ET75" s="116">
        <f t="shared" si="156"/>
        <v>2175570</v>
      </c>
      <c r="EU75" s="2">
        <f t="shared" si="18"/>
        <v>5.5118110236220486E-2</v>
      </c>
      <c r="EV75" s="8">
        <f t="shared" si="157"/>
        <v>10.407579073200001</v>
      </c>
      <c r="EW75" s="116">
        <f t="shared" si="158"/>
        <v>2610.6840000000002</v>
      </c>
      <c r="EX75" s="217">
        <f t="shared" si="159"/>
        <v>1.5694397490394592</v>
      </c>
      <c r="EY75" s="207">
        <f t="shared" si="160"/>
        <v>2</v>
      </c>
      <c r="EZ75" s="144">
        <f t="shared" si="161"/>
        <v>55752.699397095959</v>
      </c>
      <c r="FA75" s="138">
        <f t="shared" si="19"/>
        <v>0.75</v>
      </c>
      <c r="FB75" s="116">
        <f t="shared" si="162"/>
        <v>2175570</v>
      </c>
      <c r="FC75" s="2">
        <f t="shared" si="20"/>
        <v>5.5118110236220486E-2</v>
      </c>
      <c r="FD75" s="8">
        <f t="shared" si="163"/>
        <v>10.407579073200001</v>
      </c>
      <c r="FE75" s="116">
        <f t="shared" si="164"/>
        <v>2610.6840000000002</v>
      </c>
      <c r="FF75" s="217">
        <f t="shared" si="165"/>
        <v>1.5694397490394592</v>
      </c>
      <c r="FG75" s="207">
        <f t="shared" si="166"/>
        <v>2</v>
      </c>
      <c r="FH75" s="144">
        <f t="shared" si="167"/>
        <v>55752.699397095959</v>
      </c>
      <c r="FI75" s="128">
        <f t="shared" si="168"/>
        <v>0.75</v>
      </c>
      <c r="FJ75" s="2">
        <f t="shared" si="169"/>
        <v>5.5118110236220486E-2</v>
      </c>
      <c r="FK75" s="127">
        <f t="shared" si="170"/>
        <v>5.5118110236220486E-2</v>
      </c>
      <c r="FL75" s="216">
        <f t="shared" si="171"/>
        <v>0.75</v>
      </c>
      <c r="FM75" s="138">
        <f t="shared" si="172"/>
        <v>0</v>
      </c>
      <c r="FN75" s="138">
        <f t="shared" si="173"/>
        <v>0</v>
      </c>
      <c r="FO75" s="238">
        <f t="shared" si="174"/>
        <v>0</v>
      </c>
      <c r="FP75" s="216">
        <f t="shared" si="21"/>
        <v>0.75</v>
      </c>
      <c r="FQ75" s="138">
        <f t="shared" si="22"/>
        <v>0</v>
      </c>
      <c r="FR75" s="138">
        <f t="shared" si="23"/>
        <v>0</v>
      </c>
      <c r="FS75" s="238">
        <f t="shared" si="24"/>
        <v>0</v>
      </c>
      <c r="FT75" s="216">
        <f t="shared" si="175"/>
        <v>5.5118110236220486E-2</v>
      </c>
      <c r="FU75" s="138">
        <f t="shared" si="176"/>
        <v>0</v>
      </c>
      <c r="FV75" s="138">
        <f t="shared" si="177"/>
        <v>0</v>
      </c>
      <c r="FW75" s="238">
        <f t="shared" si="178"/>
        <v>0</v>
      </c>
      <c r="FX75" s="216">
        <f t="shared" si="25"/>
        <v>6.2992125984251982E-2</v>
      </c>
      <c r="FY75" s="138">
        <f t="shared" si="26"/>
        <v>0</v>
      </c>
      <c r="FZ75" s="138">
        <f t="shared" si="27"/>
        <v>0</v>
      </c>
      <c r="GA75" s="238">
        <f t="shared" si="28"/>
        <v>0</v>
      </c>
      <c r="GB75" s="216">
        <f t="shared" si="179"/>
        <v>5.5118110236220486E-2</v>
      </c>
      <c r="GC75" s="138">
        <f t="shared" si="180"/>
        <v>0</v>
      </c>
      <c r="GD75" s="138">
        <f t="shared" si="181"/>
        <v>0</v>
      </c>
      <c r="GE75" s="238">
        <f t="shared" si="182"/>
        <v>0</v>
      </c>
      <c r="GF75" s="216">
        <f t="shared" si="29"/>
        <v>6.2992125984251982E-2</v>
      </c>
      <c r="GG75" s="138">
        <f t="shared" si="30"/>
        <v>0</v>
      </c>
      <c r="GH75" s="138">
        <f t="shared" si="31"/>
        <v>0</v>
      </c>
      <c r="GI75" s="238">
        <f t="shared" si="32"/>
        <v>0</v>
      </c>
      <c r="GJ75" s="216">
        <f t="shared" si="183"/>
        <v>0.75</v>
      </c>
      <c r="GK75" s="216">
        <f t="shared" si="184"/>
        <v>6.2992125984251982E-2</v>
      </c>
      <c r="GL75" s="17">
        <f t="shared" si="185"/>
        <v>6.2992125984251982E-2</v>
      </c>
      <c r="GM75" s="216">
        <f t="shared" si="186"/>
        <v>2.6888545319907815E-2</v>
      </c>
      <c r="GN75" s="2">
        <f t="shared" si="187"/>
        <v>4</v>
      </c>
      <c r="GO75" s="2">
        <f t="shared" si="188"/>
        <v>2</v>
      </c>
      <c r="GP75" s="142">
        <f t="shared" si="189"/>
        <v>2</v>
      </c>
      <c r="GQ75" s="2">
        <f t="shared" si="190"/>
        <v>1.5748031496062995E-2</v>
      </c>
      <c r="GR75" s="8">
        <f t="shared" si="33"/>
        <v>0.28296923241340194</v>
      </c>
      <c r="GS75" s="138">
        <f t="shared" si="191"/>
        <v>0.5</v>
      </c>
      <c r="GT75" s="12">
        <f t="shared" si="34"/>
        <v>23455.098109837905</v>
      </c>
      <c r="GU75" s="138">
        <f t="shared" si="192"/>
        <v>0.5</v>
      </c>
      <c r="GV75" s="116">
        <f t="shared" si="193"/>
        <v>2175570</v>
      </c>
      <c r="GW75" s="2">
        <f t="shared" si="35"/>
        <v>5.5118110236220486E-2</v>
      </c>
      <c r="GX75" s="8">
        <f t="shared" si="36"/>
        <v>5.2037895366000004</v>
      </c>
      <c r="GY75" s="116">
        <f t="shared" si="194"/>
        <v>2610.6840000000002</v>
      </c>
      <c r="GZ75" s="217">
        <f t="shared" si="195"/>
        <v>4.1851726641052247</v>
      </c>
      <c r="HA75" s="207">
        <f t="shared" si="196"/>
        <v>2</v>
      </c>
      <c r="HB75" s="144">
        <f t="shared" si="197"/>
        <v>99115.91003928172</v>
      </c>
      <c r="HC75" s="138">
        <f t="shared" si="37"/>
        <v>0.5</v>
      </c>
      <c r="HD75" s="116">
        <f t="shared" si="198"/>
        <v>2175570</v>
      </c>
      <c r="HE75" s="2">
        <f t="shared" si="38"/>
        <v>5.5118110236220486E-2</v>
      </c>
      <c r="HF75" s="8">
        <f t="shared" si="199"/>
        <v>5.2037895366000004</v>
      </c>
      <c r="HG75" s="116">
        <f t="shared" si="200"/>
        <v>2610.6840000000002</v>
      </c>
      <c r="HH75" s="217">
        <f t="shared" si="201"/>
        <v>4.1851726641052247</v>
      </c>
      <c r="HI75" s="207">
        <f t="shared" si="202"/>
        <v>2</v>
      </c>
      <c r="HJ75" s="144">
        <f t="shared" si="203"/>
        <v>99115.91003928172</v>
      </c>
      <c r="HK75" s="138">
        <f t="shared" si="39"/>
        <v>0.5</v>
      </c>
      <c r="HL75" s="116">
        <f t="shared" si="204"/>
        <v>2175570</v>
      </c>
      <c r="HM75" s="2">
        <f t="shared" si="40"/>
        <v>5.5118110236220486E-2</v>
      </c>
      <c r="HN75" s="8">
        <f t="shared" si="205"/>
        <v>5.2037895366000004</v>
      </c>
      <c r="HO75" s="116">
        <f t="shared" si="206"/>
        <v>2610.6840000000002</v>
      </c>
      <c r="HP75" s="217">
        <f t="shared" si="207"/>
        <v>4.1851726641052247</v>
      </c>
      <c r="HQ75" s="207">
        <f t="shared" si="208"/>
        <v>2</v>
      </c>
      <c r="HR75" s="144">
        <f t="shared" si="209"/>
        <v>99115.91003928172</v>
      </c>
      <c r="HS75" s="128">
        <f t="shared" si="210"/>
        <v>0.5</v>
      </c>
      <c r="HT75" s="2">
        <f t="shared" si="211"/>
        <v>1.5748031496062995E-2</v>
      </c>
      <c r="HU75" s="127">
        <f t="shared" si="212"/>
        <v>1.5748031496062995E-2</v>
      </c>
      <c r="HV75" s="216">
        <f t="shared" si="213"/>
        <v>0.5</v>
      </c>
      <c r="HW75" s="138">
        <f t="shared" si="214"/>
        <v>0</v>
      </c>
      <c r="HX75" s="138">
        <f t="shared" si="215"/>
        <v>0</v>
      </c>
      <c r="HY75" s="238">
        <f t="shared" si="216"/>
        <v>0</v>
      </c>
      <c r="HZ75" s="138">
        <f t="shared" si="217"/>
        <v>0.5</v>
      </c>
      <c r="IA75" s="138">
        <f t="shared" si="218"/>
        <v>0</v>
      </c>
      <c r="IB75" s="138">
        <f t="shared" si="219"/>
        <v>0</v>
      </c>
      <c r="IC75" s="138">
        <f t="shared" si="220"/>
        <v>0</v>
      </c>
      <c r="ID75" s="216">
        <f t="shared" si="221"/>
        <v>1.5748031496062995E-2</v>
      </c>
      <c r="IE75" s="138">
        <f t="shared" si="222"/>
        <v>0</v>
      </c>
      <c r="IF75" s="138">
        <f t="shared" si="223"/>
        <v>0</v>
      </c>
      <c r="IG75" s="238">
        <f t="shared" si="224"/>
        <v>0</v>
      </c>
      <c r="IH75" s="138">
        <f t="shared" si="225"/>
        <v>1.5748031496062995E-2</v>
      </c>
      <c r="II75" s="138">
        <f t="shared" si="226"/>
        <v>0</v>
      </c>
      <c r="IJ75" s="138">
        <f t="shared" si="227"/>
        <v>0</v>
      </c>
      <c r="IK75" s="138">
        <f t="shared" si="228"/>
        <v>0</v>
      </c>
      <c r="IL75" s="216">
        <f t="shared" si="229"/>
        <v>1.5748031496062995E-2</v>
      </c>
      <c r="IM75" s="138">
        <f t="shared" si="230"/>
        <v>0</v>
      </c>
      <c r="IN75" s="138">
        <f t="shared" si="231"/>
        <v>0</v>
      </c>
      <c r="IO75" s="238">
        <f t="shared" si="232"/>
        <v>0</v>
      </c>
      <c r="IP75" s="138">
        <f t="shared" si="233"/>
        <v>1.5748031496062995E-2</v>
      </c>
      <c r="IQ75" s="138">
        <f t="shared" si="234"/>
        <v>0</v>
      </c>
      <c r="IR75" s="138">
        <f t="shared" si="235"/>
        <v>0</v>
      </c>
      <c r="IS75" s="138">
        <f t="shared" si="236"/>
        <v>0</v>
      </c>
      <c r="IT75" s="17">
        <f t="shared" si="237"/>
        <v>0.5</v>
      </c>
      <c r="IU75" s="17">
        <f t="shared" si="238"/>
        <v>1.5748031496062995E-2</v>
      </c>
      <c r="IV75" s="17">
        <f t="shared" si="239"/>
        <v>1.5748031496062995E-2</v>
      </c>
      <c r="IW75" s="253">
        <f t="shared" si="240"/>
        <v>28.909941870000001</v>
      </c>
      <c r="IX75" s="116">
        <f t="shared" si="241"/>
        <v>3031.1220945552627</v>
      </c>
      <c r="IY75" s="8">
        <f t="shared" si="242"/>
        <v>7.8370550163282968E-2</v>
      </c>
      <c r="IZ75" s="8">
        <f t="shared" si="243"/>
        <v>7.8370550163282968E-2</v>
      </c>
      <c r="JA75" s="8">
        <f t="shared" si="244"/>
        <v>3.9185275081641484E-2</v>
      </c>
      <c r="JB75" s="134">
        <f t="shared" si="245"/>
        <v>0.19795270920510658</v>
      </c>
      <c r="JC75" s="170">
        <f t="shared" si="251"/>
        <v>4.3725358123599019E-2</v>
      </c>
      <c r="JD75" s="272">
        <f t="shared" si="252"/>
        <v>0.20910609298535282</v>
      </c>
      <c r="JE75" s="8"/>
      <c r="JF75" s="8"/>
    </row>
    <row r="76" spans="1:266" x14ac:dyDescent="0.25">
      <c r="A76" s="186">
        <v>16</v>
      </c>
      <c r="B76" s="187">
        <f>A76/100*'Inputs-Imperial'!$E$5</f>
        <v>3.8530184959999998</v>
      </c>
      <c r="C76" s="188">
        <f>'Inputs-Imperial'!$E$10+('Inputs-Imperial'!$E$9-'Inputs-Imperial'!$E$10)*(100-A76)/100</f>
        <v>4.8005250880000006</v>
      </c>
      <c r="D76" s="187">
        <f t="shared" si="248"/>
        <v>0.24081365600000026</v>
      </c>
      <c r="E76" s="188">
        <f t="shared" si="249"/>
        <v>1.1581750649523501</v>
      </c>
      <c r="F76" s="423">
        <f>Loads!P36</f>
        <v>780.78319639095935</v>
      </c>
      <c r="G76" s="423">
        <f>Loads!M36</f>
        <v>7807.8319639095926</v>
      </c>
      <c r="H76" s="423">
        <f>Loads!N36</f>
        <v>71116.296230473075</v>
      </c>
      <c r="I76" s="423">
        <f>Loads!V36</f>
        <v>-17861.490626991144</v>
      </c>
      <c r="J76" s="423">
        <f>Loads!Q36</f>
        <v>7111.6296230473117</v>
      </c>
      <c r="K76" s="2">
        <v>16</v>
      </c>
      <c r="L76" s="12">
        <f t="shared" si="41"/>
        <v>46.236221951999994</v>
      </c>
      <c r="M76" s="11">
        <f t="shared" si="42"/>
        <v>57.606301056000007</v>
      </c>
      <c r="N76" s="11">
        <f t="shared" si="43"/>
        <v>2.8897638720000032</v>
      </c>
      <c r="O76" s="152">
        <f t="shared" si="44"/>
        <v>166.7772093531384</v>
      </c>
      <c r="P76" s="151">
        <f t="shared" si="45"/>
        <v>780.78319639095935</v>
      </c>
      <c r="Q76" s="12">
        <f t="shared" si="46"/>
        <v>7807.8319639095926</v>
      </c>
      <c r="R76" s="12">
        <f t="shared" si="47"/>
        <v>853395.55476567685</v>
      </c>
      <c r="S76" s="12">
        <f t="shared" si="48"/>
        <v>-214337.88752389373</v>
      </c>
      <c r="T76" s="152">
        <f t="shared" si="49"/>
        <v>85339.555476567737</v>
      </c>
      <c r="U76" s="8">
        <f t="shared" si="0"/>
        <v>10.36913419008</v>
      </c>
      <c r="V76" s="8">
        <f t="shared" si="1"/>
        <v>10.36913419008</v>
      </c>
      <c r="W76" s="134">
        <f t="shared" si="2"/>
        <v>5.1845670950400002</v>
      </c>
      <c r="X76" s="311">
        <f t="shared" si="3"/>
        <v>14.401575264000002</v>
      </c>
      <c r="Y76" s="11">
        <f t="shared" si="4"/>
        <v>43.204725792000005</v>
      </c>
      <c r="Z76" s="11">
        <f t="shared" si="5"/>
        <v>28.803150528000003</v>
      </c>
      <c r="AA76" s="316">
        <f t="shared" si="50"/>
        <v>43.204725792000005</v>
      </c>
      <c r="AB76" s="170">
        <f t="shared" si="51"/>
        <v>7.7768506425600004</v>
      </c>
      <c r="AC76" s="11">
        <f t="shared" si="52"/>
        <v>43.204725792000005</v>
      </c>
      <c r="AD76" s="152">
        <f t="shared" si="53"/>
        <v>263.89119072407703</v>
      </c>
      <c r="AE76" s="151">
        <f t="shared" si="6"/>
        <v>18.071708177246038</v>
      </c>
      <c r="AF76" s="12">
        <f t="shared" si="54"/>
        <v>406.11034975397126</v>
      </c>
      <c r="AG76" s="216">
        <f t="shared" si="7"/>
        <v>2.7790642212179726E-2</v>
      </c>
      <c r="AH76" s="2">
        <f t="shared" si="55"/>
        <v>4</v>
      </c>
      <c r="AI76" s="2">
        <f t="shared" si="56"/>
        <v>3</v>
      </c>
      <c r="AJ76" s="127">
        <f t="shared" si="57"/>
        <v>2</v>
      </c>
      <c r="AK76" s="2">
        <f t="shared" si="58"/>
        <v>1.5748031496062995E-2</v>
      </c>
      <c r="AL76" s="8">
        <f t="shared" si="8"/>
        <v>0.292462704898866</v>
      </c>
      <c r="AM76" s="138">
        <f t="shared" si="59"/>
        <v>0.5</v>
      </c>
      <c r="AN76" s="12">
        <f t="shared" si="9"/>
        <v>24242.004610769061</v>
      </c>
      <c r="AO76" s="138">
        <f t="shared" si="60"/>
        <v>0.5</v>
      </c>
      <c r="AP76" s="116">
        <f t="shared" si="61"/>
        <v>2175570</v>
      </c>
      <c r="AQ76" s="2">
        <f t="shared" si="62"/>
        <v>1.5748031496062995E-2</v>
      </c>
      <c r="AR76" s="8">
        <f t="shared" si="63"/>
        <v>28.803150528000003</v>
      </c>
      <c r="AS76" s="116">
        <f t="shared" si="64"/>
        <v>2610.6840000000002</v>
      </c>
      <c r="AT76" s="217">
        <f t="shared" si="65"/>
        <v>3.9030561086574427E-2</v>
      </c>
      <c r="AU76" s="207">
        <f t="shared" si="66"/>
        <v>4.6602328790860232</v>
      </c>
      <c r="AV76" s="144">
        <f t="shared" si="67"/>
        <v>7538.4221754430209</v>
      </c>
      <c r="AW76" s="138">
        <f t="shared" si="68"/>
        <v>1.75</v>
      </c>
      <c r="AX76" s="116">
        <f t="shared" si="69"/>
        <v>2175570</v>
      </c>
      <c r="AY76" s="2">
        <f t="shared" si="70"/>
        <v>1.5748031496062995E-2</v>
      </c>
      <c r="AZ76" s="8">
        <f t="shared" si="71"/>
        <v>28.803150528000003</v>
      </c>
      <c r="BA76" s="116">
        <f t="shared" si="72"/>
        <v>2610.6840000000002</v>
      </c>
      <c r="BB76" s="217">
        <f t="shared" si="73"/>
        <v>0.13660696380301043</v>
      </c>
      <c r="BC76" s="207">
        <f t="shared" si="74"/>
        <v>3.5515405210546316</v>
      </c>
      <c r="BD76" s="144">
        <f t="shared" si="75"/>
        <v>70376.181473227189</v>
      </c>
      <c r="BE76" s="138">
        <f t="shared" si="76"/>
        <v>1.75</v>
      </c>
      <c r="BF76" s="116">
        <f t="shared" si="77"/>
        <v>2175570</v>
      </c>
      <c r="BG76" s="2">
        <f t="shared" si="78"/>
        <v>1.5748031496062995E-2</v>
      </c>
      <c r="BH76" s="8">
        <f t="shared" si="79"/>
        <v>28.803150528000003</v>
      </c>
      <c r="BI76" s="116">
        <f t="shared" si="80"/>
        <v>2610.6840000000002</v>
      </c>
      <c r="BJ76" s="217">
        <f t="shared" si="81"/>
        <v>0.13660696380301043</v>
      </c>
      <c r="BK76" s="207">
        <f t="shared" si="82"/>
        <v>3.5515405210546316</v>
      </c>
      <c r="BL76" s="144">
        <f t="shared" si="83"/>
        <v>70376.181473227189</v>
      </c>
      <c r="BM76" s="216">
        <f t="shared" si="84"/>
        <v>1.75</v>
      </c>
      <c r="BN76" s="216">
        <f t="shared" si="85"/>
        <v>2.3622047244094495E-2</v>
      </c>
      <c r="BO76" s="238">
        <f t="shared" si="86"/>
        <v>1.5748031496062995E-2</v>
      </c>
      <c r="BP76" s="216">
        <f t="shared" si="87"/>
        <v>1.75</v>
      </c>
      <c r="BQ76" s="138">
        <f t="shared" si="88"/>
        <v>0</v>
      </c>
      <c r="BR76" s="138">
        <f t="shared" si="89"/>
        <v>0</v>
      </c>
      <c r="BS76" s="238">
        <f t="shared" si="90"/>
        <v>0</v>
      </c>
      <c r="BT76" s="138">
        <f t="shared" si="91"/>
        <v>2</v>
      </c>
      <c r="BU76" s="138">
        <f t="shared" si="92"/>
        <v>0</v>
      </c>
      <c r="BV76" s="138">
        <f t="shared" si="93"/>
        <v>0</v>
      </c>
      <c r="BW76" s="238">
        <f t="shared" si="94"/>
        <v>0</v>
      </c>
      <c r="BX76" s="216">
        <f t="shared" si="95"/>
        <v>2.3622047244094495E-2</v>
      </c>
      <c r="BY76" s="138">
        <f t="shared" si="96"/>
        <v>0</v>
      </c>
      <c r="BZ76" s="138">
        <f t="shared" si="97"/>
        <v>0</v>
      </c>
      <c r="CA76" s="238">
        <f t="shared" si="98"/>
        <v>0</v>
      </c>
      <c r="CB76" s="138">
        <f t="shared" si="99"/>
        <v>2.3622047244094495E-2</v>
      </c>
      <c r="CC76" s="138">
        <f t="shared" si="100"/>
        <v>0</v>
      </c>
      <c r="CD76" s="138">
        <f t="shared" si="101"/>
        <v>0</v>
      </c>
      <c r="CE76" s="238">
        <f t="shared" si="102"/>
        <v>0</v>
      </c>
      <c r="CF76" s="216">
        <f t="shared" si="103"/>
        <v>1.5748031496062995E-2</v>
      </c>
      <c r="CG76" s="138">
        <f t="shared" si="104"/>
        <v>0</v>
      </c>
      <c r="CH76" s="138">
        <f t="shared" si="105"/>
        <v>0</v>
      </c>
      <c r="CI76" s="238">
        <f t="shared" si="106"/>
        <v>0</v>
      </c>
      <c r="CJ76" s="138">
        <f t="shared" si="107"/>
        <v>2.3622047244094495E-2</v>
      </c>
      <c r="CK76" s="138">
        <f t="shared" si="108"/>
        <v>0</v>
      </c>
      <c r="CL76" s="138">
        <f t="shared" si="109"/>
        <v>0</v>
      </c>
      <c r="CM76" s="238">
        <f t="shared" si="110"/>
        <v>0</v>
      </c>
      <c r="CN76" s="17">
        <f t="shared" si="111"/>
        <v>2</v>
      </c>
      <c r="CO76" s="17">
        <f t="shared" si="112"/>
        <v>2.3622047244094495E-2</v>
      </c>
      <c r="CP76" s="17">
        <f t="shared" si="113"/>
        <v>2.3622047244094495E-2</v>
      </c>
      <c r="CQ76" s="17">
        <f>$U76-IF('Inputs-Imperial'!$E$13,0,2)*($CO76+$CN76+$CP76)</f>
        <v>10.36913419008</v>
      </c>
      <c r="CR76" s="116">
        <f t="shared" si="114"/>
        <v>82301.52480639203</v>
      </c>
      <c r="CS76" s="8">
        <f t="shared" si="10"/>
        <v>2.1279300460842681</v>
      </c>
      <c r="CT76" s="8">
        <f t="shared" si="115"/>
        <v>1.4587426250316633</v>
      </c>
      <c r="CU76" s="8">
        <f t="shared" si="11"/>
        <v>2.1279300460842681</v>
      </c>
      <c r="CV76" s="8">
        <f t="shared" si="116"/>
        <v>1.4587426250316633</v>
      </c>
      <c r="CW76" s="216">
        <f t="shared" si="117"/>
        <v>8.9103915650483358</v>
      </c>
      <c r="CX76" s="116">
        <f t="shared" si="118"/>
        <v>95775.31453423253</v>
      </c>
      <c r="CY76" s="8">
        <f t="shared" si="119"/>
        <v>2.4762988286061027</v>
      </c>
      <c r="CZ76" s="8">
        <f t="shared" si="120"/>
        <v>1.5736260129414812</v>
      </c>
      <c r="DA76" s="8">
        <f t="shared" si="121"/>
        <v>2.4762988286061027</v>
      </c>
      <c r="DB76" s="8">
        <f t="shared" si="122"/>
        <v>1.5736260129414812</v>
      </c>
      <c r="DC76" s="216">
        <f t="shared" si="123"/>
        <v>8.7955081771385188</v>
      </c>
      <c r="DD76" s="116">
        <f t="shared" si="124"/>
        <v>97026.293146295022</v>
      </c>
      <c r="DE76" s="8">
        <f t="shared" si="125"/>
        <v>2.5086432472773086</v>
      </c>
      <c r="DF76" s="8">
        <f t="shared" si="126"/>
        <v>1.5838697065343819</v>
      </c>
      <c r="DG76" s="8">
        <f t="shared" si="127"/>
        <v>2.5086432472773086</v>
      </c>
      <c r="DH76" s="8">
        <f t="shared" si="128"/>
        <v>1.5838697065343819</v>
      </c>
      <c r="DI76" s="216">
        <f t="shared" si="129"/>
        <v>8.7852644835456175</v>
      </c>
      <c r="DJ76" s="116">
        <f t="shared" si="130"/>
        <v>97139.426634684263</v>
      </c>
      <c r="DK76" s="8">
        <f t="shared" si="131"/>
        <v>2.5115683467785406</v>
      </c>
      <c r="DL76" s="8">
        <f t="shared" si="132"/>
        <v>1.5847928403354619</v>
      </c>
      <c r="DM76" s="8">
        <f t="shared" si="133"/>
        <v>2.5115683467785406</v>
      </c>
      <c r="DN76" s="8">
        <f t="shared" si="134"/>
        <v>1.5847928403354619</v>
      </c>
      <c r="DO76" s="216">
        <f t="shared" si="135"/>
        <v>8.7843413497445404</v>
      </c>
      <c r="DP76" s="116">
        <f t="shared" si="136"/>
        <v>97149.634877348508</v>
      </c>
      <c r="DQ76" s="170">
        <f t="shared" si="137"/>
        <v>2.5118322838846154</v>
      </c>
      <c r="DR76" s="8">
        <f t="shared" si="138"/>
        <v>1.584876109948224</v>
      </c>
      <c r="DS76" s="8">
        <f t="shared" si="139"/>
        <v>2.5118322838846154</v>
      </c>
      <c r="DT76" s="134">
        <f t="shared" si="140"/>
        <v>1.584876109948224</v>
      </c>
      <c r="DU76" s="170">
        <f t="shared" si="250"/>
        <v>2.8934969275004128</v>
      </c>
      <c r="DV76" s="170">
        <f t="shared" si="250"/>
        <v>1.7010281971503038</v>
      </c>
      <c r="DW76" s="170">
        <f t="shared" si="250"/>
        <v>2.8934969275004128</v>
      </c>
      <c r="DX76" s="272">
        <f t="shared" si="250"/>
        <v>1.7010281971503038</v>
      </c>
      <c r="DY76" s="272">
        <f t="shared" si="142"/>
        <v>6.9670777957793923</v>
      </c>
      <c r="DZ76" s="22">
        <f t="shared" si="12"/>
        <v>752.98784071858495</v>
      </c>
      <c r="EA76" s="216">
        <f t="shared" si="13"/>
        <v>4.9332628007866385E-2</v>
      </c>
      <c r="EB76" s="12">
        <f t="shared" si="143"/>
        <v>7</v>
      </c>
      <c r="EC76" s="7">
        <f>ROUND(MAX(DV76,DX76)/'Inputs-Imperial'!$E$21,0)</f>
        <v>14</v>
      </c>
      <c r="ED76" s="12">
        <f t="shared" si="144"/>
        <v>14</v>
      </c>
      <c r="EE76" s="2">
        <f t="shared" si="145"/>
        <v>7</v>
      </c>
      <c r="EF76" s="127">
        <f t="shared" si="146"/>
        <v>7</v>
      </c>
      <c r="EG76" s="2">
        <f t="shared" si="147"/>
        <v>5.5118110236220486E-2</v>
      </c>
      <c r="EH76" s="8">
        <f t="shared" si="14"/>
        <v>0.51916590184543698</v>
      </c>
      <c r="EI76" s="138">
        <f t="shared" si="148"/>
        <v>0.75</v>
      </c>
      <c r="EJ76" s="12">
        <f t="shared" si="15"/>
        <v>12295.215742019178</v>
      </c>
      <c r="EK76" s="138">
        <f t="shared" si="149"/>
        <v>0.75</v>
      </c>
      <c r="EL76" s="116">
        <f t="shared" si="150"/>
        <v>2175570</v>
      </c>
      <c r="EM76" s="2">
        <f t="shared" si="16"/>
        <v>5.5118110236220486E-2</v>
      </c>
      <c r="EN76" s="8">
        <f t="shared" si="151"/>
        <v>10.36913419008</v>
      </c>
      <c r="EO76" s="116">
        <f t="shared" si="152"/>
        <v>2610.6840000000002</v>
      </c>
      <c r="EP76" s="217">
        <f t="shared" si="153"/>
        <v>1.5810991180903993</v>
      </c>
      <c r="EQ76" s="207">
        <f t="shared" si="154"/>
        <v>2</v>
      </c>
      <c r="ER76" s="144">
        <f t="shared" si="155"/>
        <v>56166.886241958731</v>
      </c>
      <c r="ES76" s="138">
        <f t="shared" si="17"/>
        <v>0.75</v>
      </c>
      <c r="ET76" s="116">
        <f t="shared" si="156"/>
        <v>2175570</v>
      </c>
      <c r="EU76" s="2">
        <f t="shared" si="18"/>
        <v>5.5118110236220486E-2</v>
      </c>
      <c r="EV76" s="8">
        <f t="shared" si="157"/>
        <v>10.36913419008</v>
      </c>
      <c r="EW76" s="116">
        <f t="shared" si="158"/>
        <v>2610.6840000000002</v>
      </c>
      <c r="EX76" s="217">
        <f t="shared" si="159"/>
        <v>1.5810991180903993</v>
      </c>
      <c r="EY76" s="207">
        <f t="shared" si="160"/>
        <v>2</v>
      </c>
      <c r="EZ76" s="144">
        <f t="shared" si="161"/>
        <v>56166.886241958731</v>
      </c>
      <c r="FA76" s="138">
        <f t="shared" si="19"/>
        <v>0.75</v>
      </c>
      <c r="FB76" s="116">
        <f t="shared" si="162"/>
        <v>2175570</v>
      </c>
      <c r="FC76" s="2">
        <f t="shared" si="20"/>
        <v>5.5118110236220486E-2</v>
      </c>
      <c r="FD76" s="8">
        <f t="shared" si="163"/>
        <v>10.36913419008</v>
      </c>
      <c r="FE76" s="116">
        <f t="shared" si="164"/>
        <v>2610.6840000000002</v>
      </c>
      <c r="FF76" s="217">
        <f t="shared" si="165"/>
        <v>1.5810991180903993</v>
      </c>
      <c r="FG76" s="207">
        <f t="shared" si="166"/>
        <v>2</v>
      </c>
      <c r="FH76" s="144">
        <f t="shared" si="167"/>
        <v>56166.886241958731</v>
      </c>
      <c r="FI76" s="128">
        <f t="shared" si="168"/>
        <v>0.75</v>
      </c>
      <c r="FJ76" s="2">
        <f t="shared" si="169"/>
        <v>5.5118110236220486E-2</v>
      </c>
      <c r="FK76" s="127">
        <f t="shared" si="170"/>
        <v>5.5118110236220486E-2</v>
      </c>
      <c r="FL76" s="216">
        <f t="shared" si="171"/>
        <v>0.75</v>
      </c>
      <c r="FM76" s="138">
        <f t="shared" si="172"/>
        <v>0</v>
      </c>
      <c r="FN76" s="138">
        <f t="shared" si="173"/>
        <v>0</v>
      </c>
      <c r="FO76" s="238">
        <f t="shared" si="174"/>
        <v>0</v>
      </c>
      <c r="FP76" s="216">
        <f t="shared" si="21"/>
        <v>0.75</v>
      </c>
      <c r="FQ76" s="138">
        <f t="shared" si="22"/>
        <v>0</v>
      </c>
      <c r="FR76" s="138">
        <f t="shared" si="23"/>
        <v>0</v>
      </c>
      <c r="FS76" s="238">
        <f t="shared" si="24"/>
        <v>0</v>
      </c>
      <c r="FT76" s="216">
        <f t="shared" si="175"/>
        <v>5.5118110236220486E-2</v>
      </c>
      <c r="FU76" s="138">
        <f t="shared" si="176"/>
        <v>0</v>
      </c>
      <c r="FV76" s="138">
        <f t="shared" si="177"/>
        <v>0</v>
      </c>
      <c r="FW76" s="238">
        <f t="shared" si="178"/>
        <v>0</v>
      </c>
      <c r="FX76" s="216">
        <f t="shared" si="25"/>
        <v>6.2992125984251982E-2</v>
      </c>
      <c r="FY76" s="138">
        <f t="shared" si="26"/>
        <v>0</v>
      </c>
      <c r="FZ76" s="138">
        <f t="shared" si="27"/>
        <v>0</v>
      </c>
      <c r="GA76" s="238">
        <f t="shared" si="28"/>
        <v>0</v>
      </c>
      <c r="GB76" s="216">
        <f t="shared" si="179"/>
        <v>5.5118110236220486E-2</v>
      </c>
      <c r="GC76" s="138">
        <f t="shared" si="180"/>
        <v>0</v>
      </c>
      <c r="GD76" s="138">
        <f t="shared" si="181"/>
        <v>0</v>
      </c>
      <c r="GE76" s="238">
        <f t="shared" si="182"/>
        <v>0</v>
      </c>
      <c r="GF76" s="216">
        <f t="shared" si="29"/>
        <v>6.2992125984251982E-2</v>
      </c>
      <c r="GG76" s="138">
        <f t="shared" si="30"/>
        <v>0</v>
      </c>
      <c r="GH76" s="138">
        <f t="shared" si="31"/>
        <v>0</v>
      </c>
      <c r="GI76" s="238">
        <f t="shared" si="32"/>
        <v>0</v>
      </c>
      <c r="GJ76" s="216">
        <f t="shared" si="183"/>
        <v>0.75</v>
      </c>
      <c r="GK76" s="216">
        <f t="shared" si="184"/>
        <v>6.2992125984251982E-2</v>
      </c>
      <c r="GL76" s="17">
        <f t="shared" si="185"/>
        <v>6.2992125984251982E-2</v>
      </c>
      <c r="GM76" s="216">
        <f t="shared" si="186"/>
        <v>2.6606659139990933E-2</v>
      </c>
      <c r="GN76" s="2">
        <f t="shared" si="187"/>
        <v>4</v>
      </c>
      <c r="GO76" s="2">
        <f t="shared" si="188"/>
        <v>2</v>
      </c>
      <c r="GP76" s="142">
        <f t="shared" si="189"/>
        <v>2</v>
      </c>
      <c r="GQ76" s="2">
        <f t="shared" si="190"/>
        <v>1.5748031496062995E-2</v>
      </c>
      <c r="GR76" s="8">
        <f t="shared" si="33"/>
        <v>0.28000272325457554</v>
      </c>
      <c r="GS76" s="138">
        <f t="shared" si="191"/>
        <v>0.5</v>
      </c>
      <c r="GT76" s="12">
        <f t="shared" si="34"/>
        <v>23209.206488439453</v>
      </c>
      <c r="GU76" s="138">
        <f t="shared" si="192"/>
        <v>0.5</v>
      </c>
      <c r="GV76" s="116">
        <f t="shared" si="193"/>
        <v>2175570</v>
      </c>
      <c r="GW76" s="2">
        <f t="shared" si="35"/>
        <v>5.5118110236220486E-2</v>
      </c>
      <c r="GX76" s="8">
        <f t="shared" si="36"/>
        <v>5.1845670950400002</v>
      </c>
      <c r="GY76" s="116">
        <f t="shared" si="194"/>
        <v>2610.6840000000002</v>
      </c>
      <c r="GZ76" s="217">
        <f t="shared" si="195"/>
        <v>4.2162643149077308</v>
      </c>
      <c r="HA76" s="207">
        <f t="shared" si="196"/>
        <v>2</v>
      </c>
      <c r="HB76" s="144">
        <f t="shared" si="197"/>
        <v>99852.24220792664</v>
      </c>
      <c r="HC76" s="138">
        <f t="shared" si="37"/>
        <v>0.5</v>
      </c>
      <c r="HD76" s="116">
        <f t="shared" si="198"/>
        <v>2175570</v>
      </c>
      <c r="HE76" s="2">
        <f t="shared" si="38"/>
        <v>5.5118110236220486E-2</v>
      </c>
      <c r="HF76" s="8">
        <f t="shared" si="199"/>
        <v>5.1845670950400002</v>
      </c>
      <c r="HG76" s="116">
        <f t="shared" si="200"/>
        <v>2610.6840000000002</v>
      </c>
      <c r="HH76" s="217">
        <f t="shared" si="201"/>
        <v>4.2162643149077308</v>
      </c>
      <c r="HI76" s="207">
        <f t="shared" si="202"/>
        <v>2</v>
      </c>
      <c r="HJ76" s="144">
        <f t="shared" si="203"/>
        <v>99852.24220792664</v>
      </c>
      <c r="HK76" s="138">
        <f t="shared" si="39"/>
        <v>0.5</v>
      </c>
      <c r="HL76" s="116">
        <f t="shared" si="204"/>
        <v>2175570</v>
      </c>
      <c r="HM76" s="2">
        <f t="shared" si="40"/>
        <v>5.5118110236220486E-2</v>
      </c>
      <c r="HN76" s="8">
        <f t="shared" si="205"/>
        <v>5.1845670950400002</v>
      </c>
      <c r="HO76" s="116">
        <f t="shared" si="206"/>
        <v>2610.6840000000002</v>
      </c>
      <c r="HP76" s="217">
        <f t="shared" si="207"/>
        <v>4.2162643149077308</v>
      </c>
      <c r="HQ76" s="207">
        <f t="shared" si="208"/>
        <v>2</v>
      </c>
      <c r="HR76" s="144">
        <f t="shared" si="209"/>
        <v>99852.24220792664</v>
      </c>
      <c r="HS76" s="128">
        <f t="shared" si="210"/>
        <v>0.5</v>
      </c>
      <c r="HT76" s="2">
        <f t="shared" si="211"/>
        <v>1.5748031496062995E-2</v>
      </c>
      <c r="HU76" s="127">
        <f t="shared" si="212"/>
        <v>1.5748031496062995E-2</v>
      </c>
      <c r="HV76" s="216">
        <f t="shared" si="213"/>
        <v>0.5</v>
      </c>
      <c r="HW76" s="138">
        <f t="shared" si="214"/>
        <v>0</v>
      </c>
      <c r="HX76" s="138">
        <f t="shared" si="215"/>
        <v>0</v>
      </c>
      <c r="HY76" s="238">
        <f t="shared" si="216"/>
        <v>0</v>
      </c>
      <c r="HZ76" s="138">
        <f t="shared" si="217"/>
        <v>0.5</v>
      </c>
      <c r="IA76" s="138">
        <f t="shared" si="218"/>
        <v>0</v>
      </c>
      <c r="IB76" s="138">
        <f t="shared" si="219"/>
        <v>0</v>
      </c>
      <c r="IC76" s="138">
        <f t="shared" si="220"/>
        <v>0</v>
      </c>
      <c r="ID76" s="216">
        <f t="shared" si="221"/>
        <v>1.5748031496062995E-2</v>
      </c>
      <c r="IE76" s="138">
        <f t="shared" si="222"/>
        <v>0</v>
      </c>
      <c r="IF76" s="138">
        <f t="shared" si="223"/>
        <v>0</v>
      </c>
      <c r="IG76" s="238">
        <f t="shared" si="224"/>
        <v>0</v>
      </c>
      <c r="IH76" s="138">
        <f t="shared" si="225"/>
        <v>1.5748031496062995E-2</v>
      </c>
      <c r="II76" s="138">
        <f t="shared" si="226"/>
        <v>0</v>
      </c>
      <c r="IJ76" s="138">
        <f t="shared" si="227"/>
        <v>0</v>
      </c>
      <c r="IK76" s="138">
        <f t="shared" si="228"/>
        <v>0</v>
      </c>
      <c r="IL76" s="216">
        <f t="shared" si="229"/>
        <v>1.5748031496062995E-2</v>
      </c>
      <c r="IM76" s="138">
        <f t="shared" si="230"/>
        <v>0</v>
      </c>
      <c r="IN76" s="138">
        <f t="shared" si="231"/>
        <v>0</v>
      </c>
      <c r="IO76" s="238">
        <f t="shared" si="232"/>
        <v>0</v>
      </c>
      <c r="IP76" s="138">
        <f t="shared" si="233"/>
        <v>1.5748031496062995E-2</v>
      </c>
      <c r="IQ76" s="138">
        <f t="shared" si="234"/>
        <v>0</v>
      </c>
      <c r="IR76" s="138">
        <f t="shared" si="235"/>
        <v>0</v>
      </c>
      <c r="IS76" s="138">
        <f t="shared" si="236"/>
        <v>0</v>
      </c>
      <c r="IT76" s="17">
        <f t="shared" si="237"/>
        <v>0.5</v>
      </c>
      <c r="IU76" s="17">
        <f t="shared" si="238"/>
        <v>1.5748031496062995E-2</v>
      </c>
      <c r="IV76" s="17">
        <f t="shared" si="239"/>
        <v>1.5748031496062995E-2</v>
      </c>
      <c r="IW76" s="253">
        <f t="shared" si="240"/>
        <v>28.803150528000003</v>
      </c>
      <c r="IX76" s="116">
        <f t="shared" si="241"/>
        <v>2962.8548930301145</v>
      </c>
      <c r="IY76" s="8">
        <f t="shared" si="242"/>
        <v>7.6605481659033692E-2</v>
      </c>
      <c r="IZ76" s="8">
        <f t="shared" si="243"/>
        <v>7.6605481659033692E-2</v>
      </c>
      <c r="JA76" s="8">
        <f t="shared" si="244"/>
        <v>3.8302740829516846E-2</v>
      </c>
      <c r="JB76" s="134">
        <f t="shared" si="245"/>
        <v>0.1957108602748372</v>
      </c>
      <c r="JC76" s="170">
        <f t="shared" si="251"/>
        <v>4.3725358123599019E-2</v>
      </c>
      <c r="JD76" s="272">
        <f t="shared" si="252"/>
        <v>0.20910609298535282</v>
      </c>
      <c r="JE76" s="8"/>
      <c r="JF76" s="8"/>
    </row>
    <row r="77" spans="1:266" x14ac:dyDescent="0.25">
      <c r="A77" s="186">
        <v>17</v>
      </c>
      <c r="B77" s="187">
        <f>A77/100*'Inputs-Imperial'!$E$5</f>
        <v>4.0938321520000001</v>
      </c>
      <c r="C77" s="188">
        <f>'Inputs-Imperial'!$E$10+('Inputs-Imperial'!$E$9-'Inputs-Imperial'!$E$10)*(100-A77)/100</f>
        <v>4.7827265309999998</v>
      </c>
      <c r="D77" s="187">
        <f t="shared" si="248"/>
        <v>0.24081365600000026</v>
      </c>
      <c r="E77" s="188">
        <f t="shared" si="249"/>
        <v>1.1538889293696559</v>
      </c>
      <c r="F77" s="423">
        <f>Loads!P37</f>
        <v>769.14192251909731</v>
      </c>
      <c r="G77" s="423">
        <f>Loads!M37</f>
        <v>7691.4192251909717</v>
      </c>
      <c r="H77" s="423">
        <f>Loads!N37</f>
        <v>69236.063669810348</v>
      </c>
      <c r="I77" s="423">
        <f>Loads!V37</f>
        <v>-17539.860913395391</v>
      </c>
      <c r="J77" s="423">
        <f>Loads!Q37</f>
        <v>6923.6063669810383</v>
      </c>
      <c r="K77" s="2">
        <v>17</v>
      </c>
      <c r="L77" s="12">
        <f t="shared" si="41"/>
        <v>49.125985823999997</v>
      </c>
      <c r="M77" s="11">
        <f t="shared" si="42"/>
        <v>57.392718371999997</v>
      </c>
      <c r="N77" s="11">
        <f t="shared" si="43"/>
        <v>2.8897638720000032</v>
      </c>
      <c r="O77" s="152">
        <f t="shared" si="44"/>
        <v>166.16000582923044</v>
      </c>
      <c r="P77" s="151">
        <f t="shared" si="45"/>
        <v>769.14192251909731</v>
      </c>
      <c r="Q77" s="12">
        <f t="shared" si="46"/>
        <v>7691.4192251909717</v>
      </c>
      <c r="R77" s="12">
        <f t="shared" si="47"/>
        <v>830832.76403772412</v>
      </c>
      <c r="S77" s="12">
        <f t="shared" si="48"/>
        <v>-210478.3309607447</v>
      </c>
      <c r="T77" s="152">
        <f t="shared" si="49"/>
        <v>83083.276403772456</v>
      </c>
      <c r="U77" s="8">
        <f t="shared" si="0"/>
        <v>10.330689306959998</v>
      </c>
      <c r="V77" s="8">
        <f t="shared" si="1"/>
        <v>10.330689306959998</v>
      </c>
      <c r="W77" s="134">
        <f t="shared" si="2"/>
        <v>5.1653446534799992</v>
      </c>
      <c r="X77" s="311">
        <f t="shared" si="3"/>
        <v>14.348179592999999</v>
      </c>
      <c r="Y77" s="11">
        <f t="shared" si="4"/>
        <v>43.044538779</v>
      </c>
      <c r="Z77" s="11">
        <f t="shared" si="5"/>
        <v>28.696359186000002</v>
      </c>
      <c r="AA77" s="316">
        <f t="shared" si="50"/>
        <v>43.044538779</v>
      </c>
      <c r="AB77" s="170">
        <f t="shared" si="51"/>
        <v>7.7480169802199992</v>
      </c>
      <c r="AC77" s="11">
        <f t="shared" si="52"/>
        <v>43.044538779</v>
      </c>
      <c r="AD77" s="152">
        <f t="shared" si="53"/>
        <v>261.93799803382734</v>
      </c>
      <c r="AE77" s="151">
        <f t="shared" si="6"/>
        <v>17.868513505697873</v>
      </c>
      <c r="AF77" s="12">
        <f t="shared" si="54"/>
        <v>401.77128278571291</v>
      </c>
      <c r="AG77" s="216">
        <f t="shared" si="7"/>
        <v>2.7493052142760901E-2</v>
      </c>
      <c r="AH77" s="2">
        <f t="shared" si="55"/>
        <v>4</v>
      </c>
      <c r="AI77" s="2">
        <f t="shared" si="56"/>
        <v>3</v>
      </c>
      <c r="AJ77" s="127">
        <f t="shared" si="57"/>
        <v>2</v>
      </c>
      <c r="AK77" s="2">
        <f t="shared" si="58"/>
        <v>1.5748031496062995E-2</v>
      </c>
      <c r="AL77" s="8">
        <f t="shared" si="8"/>
        <v>0.28933093140515642</v>
      </c>
      <c r="AM77" s="138">
        <f t="shared" si="59"/>
        <v>0.5</v>
      </c>
      <c r="AN77" s="12">
        <f t="shared" si="9"/>
        <v>23982.41435805412</v>
      </c>
      <c r="AO77" s="138">
        <f t="shared" si="60"/>
        <v>0.5</v>
      </c>
      <c r="AP77" s="116">
        <f t="shared" si="61"/>
        <v>2175570</v>
      </c>
      <c r="AQ77" s="2">
        <f t="shared" si="62"/>
        <v>1.5748031496062995E-2</v>
      </c>
      <c r="AR77" s="8">
        <f t="shared" si="63"/>
        <v>28.696359186000002</v>
      </c>
      <c r="AS77" s="116">
        <f t="shared" si="64"/>
        <v>2610.6840000000002</v>
      </c>
      <c r="AT77" s="217">
        <f t="shared" si="65"/>
        <v>3.9321600214852391E-2</v>
      </c>
      <c r="AU77" s="207">
        <f t="shared" si="66"/>
        <v>4.6559462566307177</v>
      </c>
      <c r="AV77" s="144">
        <f t="shared" si="67"/>
        <v>7587.6481443083476</v>
      </c>
      <c r="AW77" s="138">
        <f t="shared" si="68"/>
        <v>1.75</v>
      </c>
      <c r="AX77" s="116">
        <f t="shared" si="69"/>
        <v>2175570</v>
      </c>
      <c r="AY77" s="2">
        <f t="shared" si="70"/>
        <v>1.5748031496062995E-2</v>
      </c>
      <c r="AZ77" s="8">
        <f t="shared" si="71"/>
        <v>28.696359186000002</v>
      </c>
      <c r="BA77" s="116">
        <f t="shared" si="72"/>
        <v>2610.6840000000002</v>
      </c>
      <c r="BB77" s="217">
        <f t="shared" si="73"/>
        <v>0.13762560075198332</v>
      </c>
      <c r="BC77" s="207">
        <f t="shared" si="74"/>
        <v>3.5429382763963102</v>
      </c>
      <c r="BD77" s="144">
        <f t="shared" si="75"/>
        <v>70729.22507431409</v>
      </c>
      <c r="BE77" s="138">
        <f t="shared" si="76"/>
        <v>1.75</v>
      </c>
      <c r="BF77" s="116">
        <f t="shared" si="77"/>
        <v>2175570</v>
      </c>
      <c r="BG77" s="2">
        <f t="shared" si="78"/>
        <v>1.5748031496062995E-2</v>
      </c>
      <c r="BH77" s="8">
        <f t="shared" si="79"/>
        <v>28.696359186000002</v>
      </c>
      <c r="BI77" s="116">
        <f t="shared" si="80"/>
        <v>2610.6840000000002</v>
      </c>
      <c r="BJ77" s="217">
        <f t="shared" si="81"/>
        <v>0.13762560075198332</v>
      </c>
      <c r="BK77" s="207">
        <f t="shared" si="82"/>
        <v>3.5429382763963102</v>
      </c>
      <c r="BL77" s="144">
        <f t="shared" si="83"/>
        <v>70729.22507431409</v>
      </c>
      <c r="BM77" s="216">
        <f t="shared" si="84"/>
        <v>1.75</v>
      </c>
      <c r="BN77" s="216">
        <f t="shared" si="85"/>
        <v>2.3622047244094495E-2</v>
      </c>
      <c r="BO77" s="238">
        <f t="shared" si="86"/>
        <v>1.5748031496062995E-2</v>
      </c>
      <c r="BP77" s="216">
        <f t="shared" si="87"/>
        <v>1.75</v>
      </c>
      <c r="BQ77" s="138">
        <f t="shared" si="88"/>
        <v>0</v>
      </c>
      <c r="BR77" s="138">
        <f t="shared" si="89"/>
        <v>0</v>
      </c>
      <c r="BS77" s="238">
        <f t="shared" si="90"/>
        <v>0</v>
      </c>
      <c r="BT77" s="138">
        <f t="shared" si="91"/>
        <v>2</v>
      </c>
      <c r="BU77" s="138">
        <f t="shared" si="92"/>
        <v>0</v>
      </c>
      <c r="BV77" s="138">
        <f t="shared" si="93"/>
        <v>0</v>
      </c>
      <c r="BW77" s="238">
        <f t="shared" si="94"/>
        <v>0</v>
      </c>
      <c r="BX77" s="216">
        <f t="shared" si="95"/>
        <v>2.3622047244094495E-2</v>
      </c>
      <c r="BY77" s="138">
        <f t="shared" si="96"/>
        <v>0</v>
      </c>
      <c r="BZ77" s="138">
        <f t="shared" si="97"/>
        <v>0</v>
      </c>
      <c r="CA77" s="238">
        <f t="shared" si="98"/>
        <v>0</v>
      </c>
      <c r="CB77" s="138">
        <f t="shared" si="99"/>
        <v>2.3622047244094495E-2</v>
      </c>
      <c r="CC77" s="138">
        <f t="shared" si="100"/>
        <v>0</v>
      </c>
      <c r="CD77" s="138">
        <f t="shared" si="101"/>
        <v>0</v>
      </c>
      <c r="CE77" s="238">
        <f t="shared" si="102"/>
        <v>0</v>
      </c>
      <c r="CF77" s="216">
        <f t="shared" si="103"/>
        <v>1.5748031496062995E-2</v>
      </c>
      <c r="CG77" s="138">
        <f t="shared" si="104"/>
        <v>0</v>
      </c>
      <c r="CH77" s="138">
        <f t="shared" si="105"/>
        <v>0</v>
      </c>
      <c r="CI77" s="238">
        <f t="shared" si="106"/>
        <v>0</v>
      </c>
      <c r="CJ77" s="138">
        <f t="shared" si="107"/>
        <v>2.3622047244094495E-2</v>
      </c>
      <c r="CK77" s="138">
        <f t="shared" si="108"/>
        <v>0</v>
      </c>
      <c r="CL77" s="138">
        <f t="shared" si="109"/>
        <v>0</v>
      </c>
      <c r="CM77" s="238">
        <f t="shared" si="110"/>
        <v>0</v>
      </c>
      <c r="CN77" s="17">
        <f t="shared" si="111"/>
        <v>2</v>
      </c>
      <c r="CO77" s="17">
        <f t="shared" si="112"/>
        <v>2.3622047244094495E-2</v>
      </c>
      <c r="CP77" s="17">
        <f t="shared" si="113"/>
        <v>2.3622047244094495E-2</v>
      </c>
      <c r="CQ77" s="17">
        <f>$U77-IF('Inputs-Imperial'!$E$13,0,2)*($CO77+$CN77+$CP77)</f>
        <v>10.330689306959998</v>
      </c>
      <c r="CR77" s="116">
        <f t="shared" si="114"/>
        <v>80423.749021081778</v>
      </c>
      <c r="CS77" s="8">
        <f t="shared" si="10"/>
        <v>2.0793796027872462</v>
      </c>
      <c r="CT77" s="8">
        <f t="shared" si="115"/>
        <v>1.4420054101102555</v>
      </c>
      <c r="CU77" s="8">
        <f t="shared" si="11"/>
        <v>2.0793796027872462</v>
      </c>
      <c r="CV77" s="8">
        <f t="shared" si="116"/>
        <v>1.4420054101102555</v>
      </c>
      <c r="CW77" s="216">
        <f t="shared" si="117"/>
        <v>8.8886838968497432</v>
      </c>
      <c r="CX77" s="116">
        <f t="shared" si="118"/>
        <v>93470.841541814894</v>
      </c>
      <c r="CY77" s="8">
        <f t="shared" si="119"/>
        <v>2.4167160039562448</v>
      </c>
      <c r="CZ77" s="8">
        <f t="shared" si="120"/>
        <v>1.5545790439717901</v>
      </c>
      <c r="DA77" s="8">
        <f t="shared" si="121"/>
        <v>2.4167160039562448</v>
      </c>
      <c r="DB77" s="8">
        <f t="shared" si="122"/>
        <v>1.5545790439717901</v>
      </c>
      <c r="DC77" s="216">
        <f t="shared" si="123"/>
        <v>8.7761102629882082</v>
      </c>
      <c r="DD77" s="116">
        <f t="shared" si="124"/>
        <v>94669.818306821384</v>
      </c>
      <c r="DE77" s="8">
        <f t="shared" si="125"/>
        <v>2.447715899630305</v>
      </c>
      <c r="DF77" s="8">
        <f t="shared" si="126"/>
        <v>1.5645177850156593</v>
      </c>
      <c r="DG77" s="8">
        <f t="shared" si="127"/>
        <v>2.447715899630305</v>
      </c>
      <c r="DH77" s="8">
        <f t="shared" si="128"/>
        <v>1.5645177850156593</v>
      </c>
      <c r="DI77" s="216">
        <f t="shared" si="129"/>
        <v>8.7661715219443384</v>
      </c>
      <c r="DJ77" s="116">
        <f t="shared" si="130"/>
        <v>94777.151229348208</v>
      </c>
      <c r="DK77" s="8">
        <f t="shared" si="131"/>
        <v>2.4504910238010433</v>
      </c>
      <c r="DL77" s="8">
        <f t="shared" si="132"/>
        <v>1.565404428191336</v>
      </c>
      <c r="DM77" s="8">
        <f t="shared" si="133"/>
        <v>2.4504910238010433</v>
      </c>
      <c r="DN77" s="8">
        <f t="shared" si="134"/>
        <v>1.565404428191336</v>
      </c>
      <c r="DO77" s="216">
        <f t="shared" si="135"/>
        <v>8.7652848787686626</v>
      </c>
      <c r="DP77" s="116">
        <f t="shared" si="136"/>
        <v>94786.738312427624</v>
      </c>
      <c r="DQ77" s="170">
        <f t="shared" si="137"/>
        <v>2.4507389006439939</v>
      </c>
      <c r="DR77" s="8">
        <f t="shared" si="138"/>
        <v>1.5654835996087579</v>
      </c>
      <c r="DS77" s="8">
        <f t="shared" si="139"/>
        <v>2.4507389006439939</v>
      </c>
      <c r="DT77" s="134">
        <f t="shared" si="140"/>
        <v>1.5654835996087579</v>
      </c>
      <c r="DU77" s="170">
        <f t="shared" si="250"/>
        <v>2.8934969275004128</v>
      </c>
      <c r="DV77" s="170">
        <f t="shared" si="250"/>
        <v>1.7010281971503038</v>
      </c>
      <c r="DW77" s="170">
        <f t="shared" si="250"/>
        <v>2.8934969275004128</v>
      </c>
      <c r="DX77" s="272">
        <f t="shared" si="250"/>
        <v>1.7010281971503038</v>
      </c>
      <c r="DY77" s="272">
        <f t="shared" si="142"/>
        <v>6.9286329126593902</v>
      </c>
      <c r="DZ77" s="22">
        <f t="shared" si="12"/>
        <v>744.52139607074469</v>
      </c>
      <c r="EA77" s="216">
        <f t="shared" si="13"/>
        <v>4.8777941807405953E-2</v>
      </c>
      <c r="EB77" s="12">
        <f t="shared" si="143"/>
        <v>7</v>
      </c>
      <c r="EC77" s="7">
        <f>ROUND(MAX(DV77,DX77)/'Inputs-Imperial'!$E$21,0)</f>
        <v>14</v>
      </c>
      <c r="ED77" s="12">
        <f t="shared" si="144"/>
        <v>14</v>
      </c>
      <c r="EE77" s="2">
        <f t="shared" si="145"/>
        <v>7</v>
      </c>
      <c r="EF77" s="127">
        <f t="shared" si="146"/>
        <v>7</v>
      </c>
      <c r="EG77" s="2">
        <f t="shared" si="147"/>
        <v>5.5118110236220486E-2</v>
      </c>
      <c r="EH77" s="8">
        <f t="shared" si="14"/>
        <v>0.51332850430283428</v>
      </c>
      <c r="EI77" s="138">
        <f t="shared" si="148"/>
        <v>0.75</v>
      </c>
      <c r="EJ77" s="12">
        <f t="shared" si="15"/>
        <v>12156.970795840873</v>
      </c>
      <c r="EK77" s="138">
        <f t="shared" si="149"/>
        <v>0.75</v>
      </c>
      <c r="EL77" s="116">
        <f t="shared" si="150"/>
        <v>2175570</v>
      </c>
      <c r="EM77" s="2">
        <f t="shared" si="16"/>
        <v>5.5118110236220486E-2</v>
      </c>
      <c r="EN77" s="8">
        <f t="shared" si="151"/>
        <v>10.330689306959998</v>
      </c>
      <c r="EO77" s="116">
        <f t="shared" si="152"/>
        <v>2610.6840000000002</v>
      </c>
      <c r="EP77" s="217">
        <f t="shared" si="153"/>
        <v>1.5928888975924007</v>
      </c>
      <c r="EQ77" s="207">
        <f t="shared" si="154"/>
        <v>2</v>
      </c>
      <c r="ER77" s="144">
        <f t="shared" si="155"/>
        <v>56585.705781183111</v>
      </c>
      <c r="ES77" s="138">
        <f t="shared" si="17"/>
        <v>0.75</v>
      </c>
      <c r="ET77" s="116">
        <f t="shared" si="156"/>
        <v>2175570</v>
      </c>
      <c r="EU77" s="2">
        <f t="shared" si="18"/>
        <v>5.5118110236220486E-2</v>
      </c>
      <c r="EV77" s="8">
        <f t="shared" si="157"/>
        <v>10.330689306959998</v>
      </c>
      <c r="EW77" s="116">
        <f t="shared" si="158"/>
        <v>2610.6840000000002</v>
      </c>
      <c r="EX77" s="217">
        <f t="shared" si="159"/>
        <v>1.5928888975924007</v>
      </c>
      <c r="EY77" s="207">
        <f t="shared" si="160"/>
        <v>2</v>
      </c>
      <c r="EZ77" s="144">
        <f t="shared" si="161"/>
        <v>56585.705781183111</v>
      </c>
      <c r="FA77" s="138">
        <f t="shared" si="19"/>
        <v>0.75</v>
      </c>
      <c r="FB77" s="116">
        <f t="shared" si="162"/>
        <v>2175570</v>
      </c>
      <c r="FC77" s="2">
        <f t="shared" si="20"/>
        <v>5.5118110236220486E-2</v>
      </c>
      <c r="FD77" s="8">
        <f t="shared" si="163"/>
        <v>10.330689306959998</v>
      </c>
      <c r="FE77" s="116">
        <f t="shared" si="164"/>
        <v>2610.6840000000002</v>
      </c>
      <c r="FF77" s="217">
        <f t="shared" si="165"/>
        <v>1.5928888975924007</v>
      </c>
      <c r="FG77" s="207">
        <f t="shared" si="166"/>
        <v>2</v>
      </c>
      <c r="FH77" s="144">
        <f t="shared" si="167"/>
        <v>56585.705781183111</v>
      </c>
      <c r="FI77" s="128">
        <f t="shared" si="168"/>
        <v>0.75</v>
      </c>
      <c r="FJ77" s="2">
        <f t="shared" si="169"/>
        <v>5.5118110236220486E-2</v>
      </c>
      <c r="FK77" s="127">
        <f t="shared" si="170"/>
        <v>5.5118110236220486E-2</v>
      </c>
      <c r="FL77" s="216">
        <f t="shared" si="171"/>
        <v>0.75</v>
      </c>
      <c r="FM77" s="138">
        <f t="shared" si="172"/>
        <v>0</v>
      </c>
      <c r="FN77" s="138">
        <f t="shared" si="173"/>
        <v>0</v>
      </c>
      <c r="FO77" s="238">
        <f t="shared" si="174"/>
        <v>0</v>
      </c>
      <c r="FP77" s="216">
        <f t="shared" si="21"/>
        <v>0.75</v>
      </c>
      <c r="FQ77" s="138">
        <f t="shared" si="22"/>
        <v>0</v>
      </c>
      <c r="FR77" s="138">
        <f t="shared" si="23"/>
        <v>0</v>
      </c>
      <c r="FS77" s="238">
        <f t="shared" si="24"/>
        <v>0</v>
      </c>
      <c r="FT77" s="216">
        <f t="shared" si="175"/>
        <v>5.5118110236220486E-2</v>
      </c>
      <c r="FU77" s="138">
        <f t="shared" si="176"/>
        <v>0</v>
      </c>
      <c r="FV77" s="138">
        <f t="shared" si="177"/>
        <v>0</v>
      </c>
      <c r="FW77" s="238">
        <f t="shared" si="178"/>
        <v>0</v>
      </c>
      <c r="FX77" s="216">
        <f t="shared" si="25"/>
        <v>6.2992125984251982E-2</v>
      </c>
      <c r="FY77" s="138">
        <f t="shared" si="26"/>
        <v>0</v>
      </c>
      <c r="FZ77" s="138">
        <f t="shared" si="27"/>
        <v>0</v>
      </c>
      <c r="GA77" s="238">
        <f t="shared" si="28"/>
        <v>0</v>
      </c>
      <c r="GB77" s="216">
        <f t="shared" si="179"/>
        <v>5.5118110236220486E-2</v>
      </c>
      <c r="GC77" s="138">
        <f t="shared" si="180"/>
        <v>0</v>
      </c>
      <c r="GD77" s="138">
        <f t="shared" si="181"/>
        <v>0</v>
      </c>
      <c r="GE77" s="238">
        <f t="shared" si="182"/>
        <v>0</v>
      </c>
      <c r="GF77" s="216">
        <f t="shared" si="29"/>
        <v>6.2992125984251982E-2</v>
      </c>
      <c r="GG77" s="138">
        <f t="shared" si="30"/>
        <v>0</v>
      </c>
      <c r="GH77" s="138">
        <f t="shared" si="31"/>
        <v>0</v>
      </c>
      <c r="GI77" s="238">
        <f t="shared" si="32"/>
        <v>0</v>
      </c>
      <c r="GJ77" s="216">
        <f t="shared" si="183"/>
        <v>0.75</v>
      </c>
      <c r="GK77" s="216">
        <f t="shared" si="184"/>
        <v>6.2992125984251982E-2</v>
      </c>
      <c r="GL77" s="17">
        <f t="shared" si="185"/>
        <v>6.2992125984251982E-2</v>
      </c>
      <c r="GM77" s="216">
        <f t="shared" si="186"/>
        <v>2.6322381539383159E-2</v>
      </c>
      <c r="GN77" s="2">
        <f t="shared" si="187"/>
        <v>4</v>
      </c>
      <c r="GO77" s="2">
        <f t="shared" si="188"/>
        <v>2</v>
      </c>
      <c r="GP77" s="142">
        <f t="shared" si="189"/>
        <v>2</v>
      </c>
      <c r="GQ77" s="2">
        <f t="shared" si="190"/>
        <v>1.5748031496062995E-2</v>
      </c>
      <c r="GR77" s="8">
        <f t="shared" si="33"/>
        <v>0.27701104730188841</v>
      </c>
      <c r="GS77" s="138">
        <f t="shared" si="191"/>
        <v>0.5</v>
      </c>
      <c r="GT77" s="12">
        <f t="shared" si="34"/>
        <v>22961.228811203488</v>
      </c>
      <c r="GU77" s="138">
        <f t="shared" si="192"/>
        <v>0.5</v>
      </c>
      <c r="GV77" s="116">
        <f t="shared" si="193"/>
        <v>2175570</v>
      </c>
      <c r="GW77" s="2">
        <f t="shared" si="35"/>
        <v>5.5118110236220486E-2</v>
      </c>
      <c r="GX77" s="8">
        <f t="shared" si="36"/>
        <v>5.1653446534799992</v>
      </c>
      <c r="GY77" s="116">
        <f t="shared" si="194"/>
        <v>2610.6840000000002</v>
      </c>
      <c r="GZ77" s="217">
        <f t="shared" si="195"/>
        <v>4.2477037269130689</v>
      </c>
      <c r="HA77" s="207">
        <f t="shared" si="196"/>
        <v>2</v>
      </c>
      <c r="HB77" s="144">
        <f t="shared" si="197"/>
        <v>100596.81027765888</v>
      </c>
      <c r="HC77" s="138">
        <f t="shared" si="37"/>
        <v>0.5</v>
      </c>
      <c r="HD77" s="116">
        <f t="shared" si="198"/>
        <v>2175570</v>
      </c>
      <c r="HE77" s="2">
        <f t="shared" si="38"/>
        <v>5.5118110236220486E-2</v>
      </c>
      <c r="HF77" s="8">
        <f t="shared" si="199"/>
        <v>5.1653446534799992</v>
      </c>
      <c r="HG77" s="116">
        <f t="shared" si="200"/>
        <v>2610.6840000000002</v>
      </c>
      <c r="HH77" s="217">
        <f t="shared" si="201"/>
        <v>4.2477037269130689</v>
      </c>
      <c r="HI77" s="207">
        <f t="shared" si="202"/>
        <v>2</v>
      </c>
      <c r="HJ77" s="144">
        <f t="shared" si="203"/>
        <v>100596.81027765888</v>
      </c>
      <c r="HK77" s="138">
        <f t="shared" si="39"/>
        <v>0.5</v>
      </c>
      <c r="HL77" s="116">
        <f t="shared" si="204"/>
        <v>2175570</v>
      </c>
      <c r="HM77" s="2">
        <f t="shared" si="40"/>
        <v>5.5118110236220486E-2</v>
      </c>
      <c r="HN77" s="8">
        <f t="shared" si="205"/>
        <v>5.1653446534799992</v>
      </c>
      <c r="HO77" s="116">
        <f t="shared" si="206"/>
        <v>2610.6840000000002</v>
      </c>
      <c r="HP77" s="217">
        <f t="shared" si="207"/>
        <v>4.2477037269130689</v>
      </c>
      <c r="HQ77" s="207">
        <f t="shared" si="208"/>
        <v>2</v>
      </c>
      <c r="HR77" s="144">
        <f t="shared" si="209"/>
        <v>100596.81027765888</v>
      </c>
      <c r="HS77" s="128">
        <f t="shared" si="210"/>
        <v>0.5</v>
      </c>
      <c r="HT77" s="2">
        <f t="shared" si="211"/>
        <v>1.5748031496062995E-2</v>
      </c>
      <c r="HU77" s="127">
        <f t="shared" si="212"/>
        <v>1.5748031496062995E-2</v>
      </c>
      <c r="HV77" s="216">
        <f t="shared" si="213"/>
        <v>0.5</v>
      </c>
      <c r="HW77" s="138">
        <f t="shared" si="214"/>
        <v>0</v>
      </c>
      <c r="HX77" s="138">
        <f t="shared" si="215"/>
        <v>0</v>
      </c>
      <c r="HY77" s="238">
        <f t="shared" si="216"/>
        <v>0</v>
      </c>
      <c r="HZ77" s="138">
        <f t="shared" si="217"/>
        <v>0.5</v>
      </c>
      <c r="IA77" s="138">
        <f t="shared" si="218"/>
        <v>0</v>
      </c>
      <c r="IB77" s="138">
        <f t="shared" si="219"/>
        <v>0</v>
      </c>
      <c r="IC77" s="138">
        <f t="shared" si="220"/>
        <v>0</v>
      </c>
      <c r="ID77" s="216">
        <f t="shared" si="221"/>
        <v>1.5748031496062995E-2</v>
      </c>
      <c r="IE77" s="138">
        <f t="shared" si="222"/>
        <v>0</v>
      </c>
      <c r="IF77" s="138">
        <f t="shared" si="223"/>
        <v>0</v>
      </c>
      <c r="IG77" s="238">
        <f t="shared" si="224"/>
        <v>0</v>
      </c>
      <c r="IH77" s="138">
        <f t="shared" si="225"/>
        <v>1.5748031496062995E-2</v>
      </c>
      <c r="II77" s="138">
        <f t="shared" si="226"/>
        <v>0</v>
      </c>
      <c r="IJ77" s="138">
        <f t="shared" si="227"/>
        <v>0</v>
      </c>
      <c r="IK77" s="138">
        <f t="shared" si="228"/>
        <v>0</v>
      </c>
      <c r="IL77" s="216">
        <f t="shared" si="229"/>
        <v>1.5748031496062995E-2</v>
      </c>
      <c r="IM77" s="138">
        <f t="shared" si="230"/>
        <v>0</v>
      </c>
      <c r="IN77" s="138">
        <f t="shared" si="231"/>
        <v>0</v>
      </c>
      <c r="IO77" s="238">
        <f t="shared" si="232"/>
        <v>0</v>
      </c>
      <c r="IP77" s="138">
        <f t="shared" si="233"/>
        <v>1.5748031496062995E-2</v>
      </c>
      <c r="IQ77" s="138">
        <f t="shared" si="234"/>
        <v>0</v>
      </c>
      <c r="IR77" s="138">
        <f t="shared" si="235"/>
        <v>0</v>
      </c>
      <c r="IS77" s="138">
        <f t="shared" si="236"/>
        <v>0</v>
      </c>
      <c r="IT77" s="17">
        <f t="shared" si="237"/>
        <v>0.5</v>
      </c>
      <c r="IU77" s="17">
        <f t="shared" si="238"/>
        <v>1.5748031496062995E-2</v>
      </c>
      <c r="IV77" s="17">
        <f t="shared" si="239"/>
        <v>1.5748031496062995E-2</v>
      </c>
      <c r="IW77" s="253">
        <f t="shared" si="240"/>
        <v>28.696359186000002</v>
      </c>
      <c r="IX77" s="116">
        <f t="shared" si="241"/>
        <v>2895.2549647589449</v>
      </c>
      <c r="IY77" s="8">
        <f t="shared" si="242"/>
        <v>7.48576657003409E-2</v>
      </c>
      <c r="IZ77" s="8">
        <f t="shared" si="243"/>
        <v>7.48576657003409E-2</v>
      </c>
      <c r="JA77" s="8">
        <f t="shared" si="244"/>
        <v>3.742883285017045E-2</v>
      </c>
      <c r="JB77" s="134">
        <f t="shared" si="245"/>
        <v>0.19346532725573967</v>
      </c>
      <c r="JC77" s="170">
        <f t="shared" si="251"/>
        <v>4.3725358123599019E-2</v>
      </c>
      <c r="JD77" s="272">
        <f t="shared" si="252"/>
        <v>0.20910609298535282</v>
      </c>
      <c r="JE77" s="8"/>
      <c r="JF77" s="8"/>
    </row>
    <row r="78" spans="1:266" x14ac:dyDescent="0.25">
      <c r="A78" s="186">
        <v>18</v>
      </c>
      <c r="B78" s="187">
        <f>A78/100*'Inputs-Imperial'!$E$5</f>
        <v>4.3346458079999994</v>
      </c>
      <c r="C78" s="188">
        <f>'Inputs-Imperial'!$E$10+('Inputs-Imperial'!$E$9-'Inputs-Imperial'!$E$10)*(100-A78)/100</f>
        <v>4.7649279740000008</v>
      </c>
      <c r="D78" s="187">
        <f t="shared" si="248"/>
        <v>0.24081365599999938</v>
      </c>
      <c r="E78" s="188">
        <f t="shared" si="249"/>
        <v>1.1496027937869573</v>
      </c>
      <c r="F78" s="423">
        <f>Loads!P38</f>
        <v>757.53190875975486</v>
      </c>
      <c r="G78" s="423">
        <f>Loads!M38</f>
        <v>7575.3190875975479</v>
      </c>
      <c r="H78" s="423">
        <f>Loads!N38</f>
        <v>67383.86488636343</v>
      </c>
      <c r="I78" s="423">
        <f>Loads!V38</f>
        <v>-17219.96627128018</v>
      </c>
      <c r="J78" s="423">
        <f>Loads!Q38</f>
        <v>6738.3864886363463</v>
      </c>
      <c r="K78" s="2">
        <v>18</v>
      </c>
      <c r="L78" s="12">
        <f t="shared" si="41"/>
        <v>52.015749695999993</v>
      </c>
      <c r="M78" s="11">
        <f t="shared" si="42"/>
        <v>57.179135688000009</v>
      </c>
      <c r="N78" s="11">
        <f t="shared" si="43"/>
        <v>2.8897638719999925</v>
      </c>
      <c r="O78" s="152">
        <f t="shared" si="44"/>
        <v>165.54280230532186</v>
      </c>
      <c r="P78" s="151">
        <f t="shared" si="45"/>
        <v>757.53190875975486</v>
      </c>
      <c r="Q78" s="12">
        <f t="shared" si="46"/>
        <v>7575.3190875975479</v>
      </c>
      <c r="R78" s="12">
        <f t="shared" si="47"/>
        <v>808606.3786363611</v>
      </c>
      <c r="S78" s="12">
        <f t="shared" si="48"/>
        <v>-206639.59525536216</v>
      </c>
      <c r="T78" s="152">
        <f t="shared" si="49"/>
        <v>80860.637863636162</v>
      </c>
      <c r="U78" s="8">
        <f t="shared" si="0"/>
        <v>10.292244423840001</v>
      </c>
      <c r="V78" s="8">
        <f t="shared" si="1"/>
        <v>10.292244423840001</v>
      </c>
      <c r="W78" s="134">
        <f t="shared" si="2"/>
        <v>5.1461222119200007</v>
      </c>
      <c r="X78" s="311">
        <f t="shared" si="3"/>
        <v>14.294783922000002</v>
      </c>
      <c r="Y78" s="11">
        <f t="shared" si="4"/>
        <v>42.884351766000009</v>
      </c>
      <c r="Z78" s="11">
        <f t="shared" si="5"/>
        <v>28.589567844000008</v>
      </c>
      <c r="AA78" s="316">
        <f t="shared" si="50"/>
        <v>42.884351766000009</v>
      </c>
      <c r="AB78" s="170">
        <f t="shared" si="51"/>
        <v>7.7191833178800007</v>
      </c>
      <c r="AC78" s="11">
        <f t="shared" si="52"/>
        <v>42.884351766000009</v>
      </c>
      <c r="AD78" s="152">
        <f t="shared" si="53"/>
        <v>259.99206050347783</v>
      </c>
      <c r="AE78" s="151">
        <f t="shared" si="6"/>
        <v>17.664529777510797</v>
      </c>
      <c r="AF78" s="12">
        <f t="shared" si="54"/>
        <v>397.39597212161408</v>
      </c>
      <c r="AG78" s="216">
        <f t="shared" si="7"/>
        <v>2.7193035841597841E-2</v>
      </c>
      <c r="AH78" s="2">
        <f t="shared" si="55"/>
        <v>4</v>
      </c>
      <c r="AI78" s="2">
        <f t="shared" si="56"/>
        <v>3</v>
      </c>
      <c r="AJ78" s="127">
        <f t="shared" si="57"/>
        <v>2</v>
      </c>
      <c r="AK78" s="2">
        <f t="shared" si="58"/>
        <v>1.5748031496062995E-2</v>
      </c>
      <c r="AL78" s="8">
        <f t="shared" si="8"/>
        <v>0.2861736247735937</v>
      </c>
      <c r="AM78" s="138">
        <f t="shared" si="59"/>
        <v>0.5</v>
      </c>
      <c r="AN78" s="12">
        <f t="shared" si="9"/>
        <v>23720.707683534984</v>
      </c>
      <c r="AO78" s="138">
        <f t="shared" si="60"/>
        <v>0.5</v>
      </c>
      <c r="AP78" s="116">
        <f t="shared" si="61"/>
        <v>2175570</v>
      </c>
      <c r="AQ78" s="2">
        <f t="shared" si="62"/>
        <v>1.5748031496062995E-2</v>
      </c>
      <c r="AR78" s="8">
        <f t="shared" si="63"/>
        <v>28.589567844000008</v>
      </c>
      <c r="AS78" s="116">
        <f t="shared" si="64"/>
        <v>2610.6840000000002</v>
      </c>
      <c r="AT78" s="217">
        <f t="shared" si="65"/>
        <v>3.9615906808151059E-2</v>
      </c>
      <c r="AU78" s="207">
        <f t="shared" si="66"/>
        <v>4.6516183219132676</v>
      </c>
      <c r="AV78" s="144">
        <f t="shared" si="67"/>
        <v>7637.3327956875082</v>
      </c>
      <c r="AW78" s="138">
        <f t="shared" si="68"/>
        <v>1.75</v>
      </c>
      <c r="AX78" s="116">
        <f t="shared" si="69"/>
        <v>2175570</v>
      </c>
      <c r="AY78" s="2">
        <f t="shared" si="70"/>
        <v>1.5748031496062995E-2</v>
      </c>
      <c r="AZ78" s="8">
        <f t="shared" si="71"/>
        <v>28.589567844000008</v>
      </c>
      <c r="BA78" s="116">
        <f t="shared" si="72"/>
        <v>2610.6840000000002</v>
      </c>
      <c r="BB78" s="217">
        <f t="shared" si="73"/>
        <v>0.13865567382852867</v>
      </c>
      <c r="BC78" s="207">
        <f t="shared" si="74"/>
        <v>3.5342911787327571</v>
      </c>
      <c r="BD78" s="144">
        <f t="shared" si="75"/>
        <v>71084.6874668651</v>
      </c>
      <c r="BE78" s="138">
        <f t="shared" si="76"/>
        <v>1.75</v>
      </c>
      <c r="BF78" s="116">
        <f t="shared" si="77"/>
        <v>2175570</v>
      </c>
      <c r="BG78" s="2">
        <f t="shared" si="78"/>
        <v>1.5748031496062995E-2</v>
      </c>
      <c r="BH78" s="8">
        <f t="shared" si="79"/>
        <v>28.589567844000008</v>
      </c>
      <c r="BI78" s="116">
        <f t="shared" si="80"/>
        <v>2610.6840000000002</v>
      </c>
      <c r="BJ78" s="217">
        <f t="shared" si="81"/>
        <v>0.13865567382852867</v>
      </c>
      <c r="BK78" s="207">
        <f t="shared" si="82"/>
        <v>3.5342911787327571</v>
      </c>
      <c r="BL78" s="144">
        <f t="shared" si="83"/>
        <v>71084.6874668651</v>
      </c>
      <c r="BM78" s="216">
        <f t="shared" si="84"/>
        <v>1.75</v>
      </c>
      <c r="BN78" s="216">
        <f t="shared" si="85"/>
        <v>2.3622047244094495E-2</v>
      </c>
      <c r="BO78" s="238">
        <f t="shared" si="86"/>
        <v>1.5748031496062995E-2</v>
      </c>
      <c r="BP78" s="216">
        <f t="shared" si="87"/>
        <v>1.75</v>
      </c>
      <c r="BQ78" s="138">
        <f t="shared" si="88"/>
        <v>0</v>
      </c>
      <c r="BR78" s="138">
        <f t="shared" si="89"/>
        <v>0</v>
      </c>
      <c r="BS78" s="238">
        <f t="shared" si="90"/>
        <v>0</v>
      </c>
      <c r="BT78" s="138">
        <f t="shared" si="91"/>
        <v>2</v>
      </c>
      <c r="BU78" s="138">
        <f t="shared" si="92"/>
        <v>0</v>
      </c>
      <c r="BV78" s="138">
        <f t="shared" si="93"/>
        <v>0</v>
      </c>
      <c r="BW78" s="238">
        <f t="shared" si="94"/>
        <v>0</v>
      </c>
      <c r="BX78" s="216">
        <f t="shared" si="95"/>
        <v>2.3622047244094495E-2</v>
      </c>
      <c r="BY78" s="138">
        <f t="shared" si="96"/>
        <v>0</v>
      </c>
      <c r="BZ78" s="138">
        <f t="shared" si="97"/>
        <v>0</v>
      </c>
      <c r="CA78" s="238">
        <f t="shared" si="98"/>
        <v>0</v>
      </c>
      <c r="CB78" s="138">
        <f t="shared" si="99"/>
        <v>2.3622047244094495E-2</v>
      </c>
      <c r="CC78" s="138">
        <f t="shared" si="100"/>
        <v>0</v>
      </c>
      <c r="CD78" s="138">
        <f t="shared" si="101"/>
        <v>0</v>
      </c>
      <c r="CE78" s="238">
        <f t="shared" si="102"/>
        <v>0</v>
      </c>
      <c r="CF78" s="216">
        <f t="shared" si="103"/>
        <v>1.5748031496062995E-2</v>
      </c>
      <c r="CG78" s="138">
        <f t="shared" si="104"/>
        <v>0</v>
      </c>
      <c r="CH78" s="138">
        <f t="shared" si="105"/>
        <v>0</v>
      </c>
      <c r="CI78" s="238">
        <f t="shared" si="106"/>
        <v>0</v>
      </c>
      <c r="CJ78" s="138">
        <f t="shared" si="107"/>
        <v>2.3622047244094495E-2</v>
      </c>
      <c r="CK78" s="138">
        <f t="shared" si="108"/>
        <v>0</v>
      </c>
      <c r="CL78" s="138">
        <f t="shared" si="109"/>
        <v>0</v>
      </c>
      <c r="CM78" s="238">
        <f t="shared" si="110"/>
        <v>0</v>
      </c>
      <c r="CN78" s="17">
        <f t="shared" si="111"/>
        <v>2</v>
      </c>
      <c r="CO78" s="17">
        <f t="shared" si="112"/>
        <v>2.3622047244094495E-2</v>
      </c>
      <c r="CP78" s="17">
        <f t="shared" si="113"/>
        <v>2.3622047244094495E-2</v>
      </c>
      <c r="CQ78" s="17">
        <f>$U78-IF('Inputs-Imperial'!$E$13,0,2)*($CO78+$CN78+$CP78)</f>
        <v>10.292244423840001</v>
      </c>
      <c r="CR78" s="116">
        <f t="shared" si="114"/>
        <v>78564.630350536579</v>
      </c>
      <c r="CS78" s="8">
        <f t="shared" si="10"/>
        <v>2.0313115446607934</v>
      </c>
      <c r="CT78" s="8">
        <f t="shared" si="115"/>
        <v>1.4252408725056946</v>
      </c>
      <c r="CU78" s="8">
        <f t="shared" si="11"/>
        <v>2.0313115446607934</v>
      </c>
      <c r="CV78" s="8">
        <f t="shared" si="116"/>
        <v>1.4252408725056946</v>
      </c>
      <c r="CW78" s="216">
        <f t="shared" si="117"/>
        <v>8.8670035513343084</v>
      </c>
      <c r="CX78" s="116">
        <f t="shared" si="118"/>
        <v>91192.743293159263</v>
      </c>
      <c r="CY78" s="8">
        <f t="shared" si="119"/>
        <v>2.3578151060366745</v>
      </c>
      <c r="CZ78" s="8">
        <f t="shared" si="120"/>
        <v>1.535517862493522</v>
      </c>
      <c r="DA78" s="8">
        <f t="shared" si="121"/>
        <v>2.3578151060366745</v>
      </c>
      <c r="DB78" s="8">
        <f t="shared" si="122"/>
        <v>1.535517862493522</v>
      </c>
      <c r="DC78" s="216">
        <f t="shared" si="123"/>
        <v>8.7567265613464809</v>
      </c>
      <c r="DD78" s="116">
        <f t="shared" si="124"/>
        <v>92341.170295949662</v>
      </c>
      <c r="DE78" s="8">
        <f t="shared" si="125"/>
        <v>2.3875080227927246</v>
      </c>
      <c r="DF78" s="8">
        <f t="shared" si="126"/>
        <v>1.5451563101488226</v>
      </c>
      <c r="DG78" s="8">
        <f t="shared" si="127"/>
        <v>2.3875080227927246</v>
      </c>
      <c r="DH78" s="8">
        <f t="shared" si="128"/>
        <v>1.5451563101488226</v>
      </c>
      <c r="DI78" s="216">
        <f t="shared" si="129"/>
        <v>8.7470881136911789</v>
      </c>
      <c r="DJ78" s="116">
        <f t="shared" si="130"/>
        <v>92442.921361533852</v>
      </c>
      <c r="DK78" s="8">
        <f t="shared" si="131"/>
        <v>2.390138826416194</v>
      </c>
      <c r="DL78" s="8">
        <f t="shared" si="132"/>
        <v>1.546007382393821</v>
      </c>
      <c r="DM78" s="8">
        <f t="shared" si="133"/>
        <v>2.390138826416194</v>
      </c>
      <c r="DN78" s="8">
        <f t="shared" si="134"/>
        <v>1.546007382393821</v>
      </c>
      <c r="DO78" s="216">
        <f t="shared" si="135"/>
        <v>8.7462370414461805</v>
      </c>
      <c r="DP78" s="116">
        <f t="shared" si="136"/>
        <v>92451.91672768326</v>
      </c>
      <c r="DQ78" s="170">
        <f t="shared" si="137"/>
        <v>2.390371404244489</v>
      </c>
      <c r="DR78" s="8">
        <f t="shared" si="138"/>
        <v>1.5460825994249108</v>
      </c>
      <c r="DS78" s="8">
        <f t="shared" si="139"/>
        <v>2.390371404244489</v>
      </c>
      <c r="DT78" s="134">
        <f t="shared" si="140"/>
        <v>1.5460825994249108</v>
      </c>
      <c r="DU78" s="170">
        <f t="shared" si="250"/>
        <v>2.8934969275004128</v>
      </c>
      <c r="DV78" s="170">
        <f t="shared" si="250"/>
        <v>1.7010281971503038</v>
      </c>
      <c r="DW78" s="170">
        <f t="shared" si="250"/>
        <v>2.8934969275004128</v>
      </c>
      <c r="DX78" s="272">
        <f t="shared" si="250"/>
        <v>1.7010281971503038</v>
      </c>
      <c r="DY78" s="272">
        <f t="shared" si="142"/>
        <v>6.8901880295393934</v>
      </c>
      <c r="DZ78" s="22">
        <f t="shared" si="12"/>
        <v>736.02207406294986</v>
      </c>
      <c r="EA78" s="216">
        <f t="shared" si="13"/>
        <v>4.8221101619217152E-2</v>
      </c>
      <c r="EB78" s="12">
        <f t="shared" si="143"/>
        <v>7</v>
      </c>
      <c r="EC78" s="7">
        <f>ROUND(MAX(DV78,DX78)/'Inputs-Imperial'!$E$21,0)</f>
        <v>14</v>
      </c>
      <c r="ED78" s="12">
        <f t="shared" si="144"/>
        <v>14</v>
      </c>
      <c r="EE78" s="2">
        <f t="shared" si="145"/>
        <v>7</v>
      </c>
      <c r="EF78" s="127">
        <f t="shared" si="146"/>
        <v>7</v>
      </c>
      <c r="EG78" s="2">
        <f t="shared" si="147"/>
        <v>5.5118110236220486E-2</v>
      </c>
      <c r="EH78" s="8">
        <f t="shared" si="14"/>
        <v>0.5074684386594891</v>
      </c>
      <c r="EI78" s="138">
        <f t="shared" si="148"/>
        <v>0.75</v>
      </c>
      <c r="EJ78" s="12">
        <f t="shared" si="15"/>
        <v>12018.189009342164</v>
      </c>
      <c r="EK78" s="138">
        <f t="shared" si="149"/>
        <v>0.75</v>
      </c>
      <c r="EL78" s="116">
        <f t="shared" si="150"/>
        <v>2175570</v>
      </c>
      <c r="EM78" s="2">
        <f t="shared" si="16"/>
        <v>5.5118110236220486E-2</v>
      </c>
      <c r="EN78" s="8">
        <f t="shared" si="151"/>
        <v>10.292244423840001</v>
      </c>
      <c r="EO78" s="116">
        <f t="shared" si="152"/>
        <v>2610.6840000000002</v>
      </c>
      <c r="EP78" s="217">
        <f t="shared" si="153"/>
        <v>1.6048110396820454</v>
      </c>
      <c r="EQ78" s="207">
        <f t="shared" si="154"/>
        <v>2</v>
      </c>
      <c r="ER78" s="144">
        <f t="shared" si="155"/>
        <v>57009.227362371705</v>
      </c>
      <c r="ES78" s="138">
        <f t="shared" si="17"/>
        <v>0.75</v>
      </c>
      <c r="ET78" s="116">
        <f t="shared" si="156"/>
        <v>2175570</v>
      </c>
      <c r="EU78" s="2">
        <f t="shared" si="18"/>
        <v>5.5118110236220486E-2</v>
      </c>
      <c r="EV78" s="8">
        <f t="shared" si="157"/>
        <v>10.292244423840001</v>
      </c>
      <c r="EW78" s="116">
        <f t="shared" si="158"/>
        <v>2610.6840000000002</v>
      </c>
      <c r="EX78" s="217">
        <f t="shared" si="159"/>
        <v>1.6048110396820454</v>
      </c>
      <c r="EY78" s="207">
        <f t="shared" si="160"/>
        <v>2</v>
      </c>
      <c r="EZ78" s="144">
        <f t="shared" si="161"/>
        <v>57009.227362371705</v>
      </c>
      <c r="FA78" s="138">
        <f t="shared" si="19"/>
        <v>0.75</v>
      </c>
      <c r="FB78" s="116">
        <f t="shared" si="162"/>
        <v>2175570</v>
      </c>
      <c r="FC78" s="2">
        <f t="shared" si="20"/>
        <v>5.5118110236220486E-2</v>
      </c>
      <c r="FD78" s="8">
        <f t="shared" si="163"/>
        <v>10.292244423840001</v>
      </c>
      <c r="FE78" s="116">
        <f t="shared" si="164"/>
        <v>2610.6840000000002</v>
      </c>
      <c r="FF78" s="217">
        <f t="shared" si="165"/>
        <v>1.6048110396820454</v>
      </c>
      <c r="FG78" s="207">
        <f t="shared" si="166"/>
        <v>2</v>
      </c>
      <c r="FH78" s="144">
        <f t="shared" si="167"/>
        <v>57009.227362371705</v>
      </c>
      <c r="FI78" s="128">
        <f t="shared" si="168"/>
        <v>0.75</v>
      </c>
      <c r="FJ78" s="2">
        <f t="shared" si="169"/>
        <v>5.5118110236220486E-2</v>
      </c>
      <c r="FK78" s="127">
        <f t="shared" si="170"/>
        <v>5.5118110236220486E-2</v>
      </c>
      <c r="FL78" s="216">
        <f t="shared" si="171"/>
        <v>0.75</v>
      </c>
      <c r="FM78" s="138">
        <f t="shared" si="172"/>
        <v>0</v>
      </c>
      <c r="FN78" s="138">
        <f t="shared" si="173"/>
        <v>0</v>
      </c>
      <c r="FO78" s="238">
        <f t="shared" si="174"/>
        <v>0</v>
      </c>
      <c r="FP78" s="216">
        <f t="shared" si="21"/>
        <v>0.75</v>
      </c>
      <c r="FQ78" s="138">
        <f t="shared" si="22"/>
        <v>0</v>
      </c>
      <c r="FR78" s="138">
        <f t="shared" si="23"/>
        <v>0</v>
      </c>
      <c r="FS78" s="238">
        <f t="shared" si="24"/>
        <v>0</v>
      </c>
      <c r="FT78" s="216">
        <f t="shared" si="175"/>
        <v>5.5118110236220486E-2</v>
      </c>
      <c r="FU78" s="138">
        <f t="shared" si="176"/>
        <v>0</v>
      </c>
      <c r="FV78" s="138">
        <f t="shared" si="177"/>
        <v>0</v>
      </c>
      <c r="FW78" s="238">
        <f t="shared" si="178"/>
        <v>0</v>
      </c>
      <c r="FX78" s="216">
        <f t="shared" si="25"/>
        <v>6.2992125984251982E-2</v>
      </c>
      <c r="FY78" s="138">
        <f t="shared" si="26"/>
        <v>0</v>
      </c>
      <c r="FZ78" s="138">
        <f t="shared" si="27"/>
        <v>0</v>
      </c>
      <c r="GA78" s="238">
        <f t="shared" si="28"/>
        <v>0</v>
      </c>
      <c r="GB78" s="216">
        <f t="shared" si="179"/>
        <v>5.5118110236220486E-2</v>
      </c>
      <c r="GC78" s="138">
        <f t="shared" si="180"/>
        <v>0</v>
      </c>
      <c r="GD78" s="138">
        <f t="shared" si="181"/>
        <v>0</v>
      </c>
      <c r="GE78" s="238">
        <f t="shared" si="182"/>
        <v>0</v>
      </c>
      <c r="GF78" s="216">
        <f t="shared" si="29"/>
        <v>6.2992125984251982E-2</v>
      </c>
      <c r="GG78" s="138">
        <f t="shared" si="30"/>
        <v>0</v>
      </c>
      <c r="GH78" s="138">
        <f t="shared" si="31"/>
        <v>0</v>
      </c>
      <c r="GI78" s="238">
        <f t="shared" si="32"/>
        <v>0</v>
      </c>
      <c r="GJ78" s="216">
        <f t="shared" si="183"/>
        <v>0.75</v>
      </c>
      <c r="GK78" s="216">
        <f t="shared" si="184"/>
        <v>6.2992125984251982E-2</v>
      </c>
      <c r="GL78" s="17">
        <f t="shared" si="185"/>
        <v>6.2992125984251982E-2</v>
      </c>
      <c r="GM78" s="216">
        <f t="shared" si="186"/>
        <v>2.6035729402736629E-2</v>
      </c>
      <c r="GN78" s="2">
        <f t="shared" si="187"/>
        <v>4</v>
      </c>
      <c r="GO78" s="2">
        <f t="shared" si="188"/>
        <v>2</v>
      </c>
      <c r="GP78" s="142">
        <f t="shared" si="189"/>
        <v>2</v>
      </c>
      <c r="GQ78" s="2">
        <f t="shared" si="190"/>
        <v>1.5748031496062995E-2</v>
      </c>
      <c r="GR78" s="8">
        <f t="shared" si="33"/>
        <v>0.27399438224576594</v>
      </c>
      <c r="GS78" s="138">
        <f t="shared" si="191"/>
        <v>0.5</v>
      </c>
      <c r="GT78" s="12">
        <f t="shared" si="34"/>
        <v>22711.179806750239</v>
      </c>
      <c r="GU78" s="138">
        <f t="shared" si="192"/>
        <v>0.5</v>
      </c>
      <c r="GV78" s="116">
        <f t="shared" si="193"/>
        <v>2175570</v>
      </c>
      <c r="GW78" s="2">
        <f t="shared" si="35"/>
        <v>5.5118110236220486E-2</v>
      </c>
      <c r="GX78" s="8">
        <f t="shared" si="36"/>
        <v>5.1461222119200007</v>
      </c>
      <c r="GY78" s="116">
        <f t="shared" si="194"/>
        <v>2610.6840000000002</v>
      </c>
      <c r="GZ78" s="217">
        <f t="shared" si="195"/>
        <v>4.2794961058187875</v>
      </c>
      <c r="HA78" s="207">
        <f t="shared" si="196"/>
        <v>2</v>
      </c>
      <c r="HB78" s="144">
        <f t="shared" si="197"/>
        <v>101349.73753310526</v>
      </c>
      <c r="HC78" s="138">
        <f t="shared" si="37"/>
        <v>0.5</v>
      </c>
      <c r="HD78" s="116">
        <f t="shared" si="198"/>
        <v>2175570</v>
      </c>
      <c r="HE78" s="2">
        <f t="shared" si="38"/>
        <v>5.5118110236220486E-2</v>
      </c>
      <c r="HF78" s="8">
        <f t="shared" si="199"/>
        <v>5.1461222119200007</v>
      </c>
      <c r="HG78" s="116">
        <f t="shared" si="200"/>
        <v>2610.6840000000002</v>
      </c>
      <c r="HH78" s="217">
        <f t="shared" si="201"/>
        <v>4.2794961058187875</v>
      </c>
      <c r="HI78" s="207">
        <f t="shared" si="202"/>
        <v>2</v>
      </c>
      <c r="HJ78" s="144">
        <f t="shared" si="203"/>
        <v>101349.73753310526</v>
      </c>
      <c r="HK78" s="138">
        <f t="shared" si="39"/>
        <v>0.5</v>
      </c>
      <c r="HL78" s="116">
        <f t="shared" si="204"/>
        <v>2175570</v>
      </c>
      <c r="HM78" s="2">
        <f t="shared" si="40"/>
        <v>5.5118110236220486E-2</v>
      </c>
      <c r="HN78" s="8">
        <f t="shared" si="205"/>
        <v>5.1461222119200007</v>
      </c>
      <c r="HO78" s="116">
        <f t="shared" si="206"/>
        <v>2610.6840000000002</v>
      </c>
      <c r="HP78" s="217">
        <f t="shared" si="207"/>
        <v>4.2794961058187875</v>
      </c>
      <c r="HQ78" s="207">
        <f t="shared" si="208"/>
        <v>2</v>
      </c>
      <c r="HR78" s="144">
        <f t="shared" si="209"/>
        <v>101349.73753310526</v>
      </c>
      <c r="HS78" s="128">
        <f t="shared" si="210"/>
        <v>0.5</v>
      </c>
      <c r="HT78" s="2">
        <f t="shared" si="211"/>
        <v>1.5748031496062995E-2</v>
      </c>
      <c r="HU78" s="127">
        <f t="shared" si="212"/>
        <v>1.5748031496062995E-2</v>
      </c>
      <c r="HV78" s="216">
        <f t="shared" si="213"/>
        <v>0.5</v>
      </c>
      <c r="HW78" s="138">
        <f t="shared" si="214"/>
        <v>0</v>
      </c>
      <c r="HX78" s="138">
        <f t="shared" si="215"/>
        <v>0</v>
      </c>
      <c r="HY78" s="238">
        <f t="shared" si="216"/>
        <v>0</v>
      </c>
      <c r="HZ78" s="138">
        <f t="shared" si="217"/>
        <v>0.5</v>
      </c>
      <c r="IA78" s="138">
        <f t="shared" si="218"/>
        <v>0</v>
      </c>
      <c r="IB78" s="138">
        <f t="shared" si="219"/>
        <v>0</v>
      </c>
      <c r="IC78" s="138">
        <f t="shared" si="220"/>
        <v>0</v>
      </c>
      <c r="ID78" s="216">
        <f t="shared" si="221"/>
        <v>1.5748031496062995E-2</v>
      </c>
      <c r="IE78" s="138">
        <f t="shared" si="222"/>
        <v>0</v>
      </c>
      <c r="IF78" s="138">
        <f t="shared" si="223"/>
        <v>0</v>
      </c>
      <c r="IG78" s="238">
        <f t="shared" si="224"/>
        <v>0</v>
      </c>
      <c r="IH78" s="138">
        <f t="shared" si="225"/>
        <v>1.5748031496062995E-2</v>
      </c>
      <c r="II78" s="138">
        <f t="shared" si="226"/>
        <v>0</v>
      </c>
      <c r="IJ78" s="138">
        <f t="shared" si="227"/>
        <v>0</v>
      </c>
      <c r="IK78" s="138">
        <f t="shared" si="228"/>
        <v>0</v>
      </c>
      <c r="IL78" s="216">
        <f t="shared" si="229"/>
        <v>1.5748031496062995E-2</v>
      </c>
      <c r="IM78" s="138">
        <f t="shared" si="230"/>
        <v>0</v>
      </c>
      <c r="IN78" s="138">
        <f t="shared" si="231"/>
        <v>0</v>
      </c>
      <c r="IO78" s="238">
        <f t="shared" si="232"/>
        <v>0</v>
      </c>
      <c r="IP78" s="138">
        <f t="shared" si="233"/>
        <v>1.5748031496062995E-2</v>
      </c>
      <c r="IQ78" s="138">
        <f t="shared" si="234"/>
        <v>0</v>
      </c>
      <c r="IR78" s="138">
        <f t="shared" si="235"/>
        <v>0</v>
      </c>
      <c r="IS78" s="138">
        <f t="shared" si="236"/>
        <v>0</v>
      </c>
      <c r="IT78" s="17">
        <f t="shared" si="237"/>
        <v>0.5</v>
      </c>
      <c r="IU78" s="17">
        <f t="shared" si="238"/>
        <v>1.5748031496062995E-2</v>
      </c>
      <c r="IV78" s="17">
        <f t="shared" si="239"/>
        <v>1.5748031496062995E-2</v>
      </c>
      <c r="IW78" s="253">
        <f t="shared" si="240"/>
        <v>28.589567844000008</v>
      </c>
      <c r="IX78" s="116">
        <f t="shared" si="241"/>
        <v>2828.3266926193182</v>
      </c>
      <c r="IY78" s="8">
        <f t="shared" si="242"/>
        <v>7.3127215607788593E-2</v>
      </c>
      <c r="IZ78" s="8">
        <f t="shared" si="243"/>
        <v>7.3127215607788593E-2</v>
      </c>
      <c r="JA78" s="8">
        <f t="shared" si="244"/>
        <v>3.6563607803894296E-2</v>
      </c>
      <c r="JB78" s="134">
        <f t="shared" si="245"/>
        <v>0.19121612851403069</v>
      </c>
      <c r="JC78" s="170">
        <f t="shared" si="251"/>
        <v>4.3725358123599019E-2</v>
      </c>
      <c r="JD78" s="272">
        <f t="shared" si="252"/>
        <v>0.20910609298535282</v>
      </c>
      <c r="JE78" s="8"/>
      <c r="JF78" s="8"/>
    </row>
    <row r="79" spans="1:266" x14ac:dyDescent="0.25">
      <c r="A79" s="186">
        <v>19</v>
      </c>
      <c r="B79" s="187">
        <f>A79/100*'Inputs-Imperial'!$E$5</f>
        <v>4.5754594639999997</v>
      </c>
      <c r="C79" s="188">
        <f>'Inputs-Imperial'!$E$10+('Inputs-Imperial'!$E$9-'Inputs-Imperial'!$E$10)*(100-A79)/100</f>
        <v>4.747129417</v>
      </c>
      <c r="D79" s="187">
        <f t="shared" si="248"/>
        <v>0.24081365600000026</v>
      </c>
      <c r="E79" s="188">
        <f t="shared" si="249"/>
        <v>1.1453166582042671</v>
      </c>
      <c r="F79" s="423">
        <f>Loads!P39</f>
        <v>745.95380281547682</v>
      </c>
      <c r="G79" s="423">
        <f>Loads!M39</f>
        <v>7459.5380281547677</v>
      </c>
      <c r="H79" s="423">
        <f>Loads!N39</f>
        <v>65559.624601512478</v>
      </c>
      <c r="I79" s="423">
        <f>Loads!V39</f>
        <v>-16901.837675688545</v>
      </c>
      <c r="J79" s="423">
        <f>Loads!Q39</f>
        <v>6555.9624601512514</v>
      </c>
      <c r="K79" s="2">
        <v>19</v>
      </c>
      <c r="L79" s="12">
        <f t="shared" si="41"/>
        <v>54.905513567999996</v>
      </c>
      <c r="M79" s="11">
        <f t="shared" si="42"/>
        <v>56.965553004</v>
      </c>
      <c r="N79" s="11">
        <f t="shared" si="43"/>
        <v>2.8897638720000032</v>
      </c>
      <c r="O79" s="152">
        <f t="shared" si="44"/>
        <v>164.92559878141446</v>
      </c>
      <c r="P79" s="151">
        <f t="shared" si="45"/>
        <v>745.95380281547682</v>
      </c>
      <c r="Q79" s="12">
        <f t="shared" si="46"/>
        <v>7459.5380281547677</v>
      </c>
      <c r="R79" s="12">
        <f t="shared" si="47"/>
        <v>786715.49521814974</v>
      </c>
      <c r="S79" s="12">
        <f t="shared" si="48"/>
        <v>-202822.05210826255</v>
      </c>
      <c r="T79" s="152">
        <f t="shared" si="49"/>
        <v>78671.549521815017</v>
      </c>
      <c r="U79" s="8">
        <f t="shared" si="0"/>
        <v>10.253799540719999</v>
      </c>
      <c r="V79" s="8">
        <f t="shared" si="1"/>
        <v>10.253799540719999</v>
      </c>
      <c r="W79" s="134">
        <f t="shared" si="2"/>
        <v>5.1268997703599997</v>
      </c>
      <c r="X79" s="311">
        <f t="shared" si="3"/>
        <v>14.241388251</v>
      </c>
      <c r="Y79" s="11">
        <f t="shared" si="4"/>
        <v>42.724164752999997</v>
      </c>
      <c r="Z79" s="11">
        <f t="shared" si="5"/>
        <v>28.482776501999997</v>
      </c>
      <c r="AA79" s="316">
        <f t="shared" si="50"/>
        <v>42.724164752999997</v>
      </c>
      <c r="AB79" s="170">
        <f t="shared" si="51"/>
        <v>7.6903496555399995</v>
      </c>
      <c r="AC79" s="11">
        <f t="shared" si="52"/>
        <v>42.724164752999997</v>
      </c>
      <c r="AD79" s="152">
        <f t="shared" si="53"/>
        <v>258.05337813302827</v>
      </c>
      <c r="AE79" s="151">
        <f t="shared" si="6"/>
        <v>17.459763277480985</v>
      </c>
      <c r="AF79" s="12">
        <f t="shared" si="54"/>
        <v>392.98468707452145</v>
      </c>
      <c r="AG79" s="216">
        <f t="shared" si="7"/>
        <v>2.6890611364700563E-2</v>
      </c>
      <c r="AH79" s="2">
        <f t="shared" si="55"/>
        <v>4</v>
      </c>
      <c r="AI79" s="2">
        <f t="shared" si="56"/>
        <v>3</v>
      </c>
      <c r="AJ79" s="127">
        <f t="shared" si="57"/>
        <v>2</v>
      </c>
      <c r="AK79" s="2">
        <f t="shared" si="58"/>
        <v>1.5748031496062995E-2</v>
      </c>
      <c r="AL79" s="8">
        <f t="shared" si="8"/>
        <v>0.2829909750217201</v>
      </c>
      <c r="AM79" s="138">
        <f t="shared" si="59"/>
        <v>0.5</v>
      </c>
      <c r="AN79" s="12">
        <f t="shared" si="9"/>
        <v>23456.900337616935</v>
      </c>
      <c r="AO79" s="138">
        <f t="shared" si="60"/>
        <v>0.5</v>
      </c>
      <c r="AP79" s="116">
        <f t="shared" si="61"/>
        <v>2175570</v>
      </c>
      <c r="AQ79" s="2">
        <f t="shared" si="62"/>
        <v>1.5748031496062995E-2</v>
      </c>
      <c r="AR79" s="8">
        <f t="shared" si="63"/>
        <v>28.482776501999997</v>
      </c>
      <c r="AS79" s="116">
        <f t="shared" si="64"/>
        <v>2610.6840000000002</v>
      </c>
      <c r="AT79" s="217">
        <f t="shared" si="65"/>
        <v>3.9913529961445905E-2</v>
      </c>
      <c r="AU79" s="207">
        <f t="shared" si="66"/>
        <v>4.6472485749524477</v>
      </c>
      <c r="AV79" s="144">
        <f t="shared" si="67"/>
        <v>7687.4814884108355</v>
      </c>
      <c r="AW79" s="138">
        <f t="shared" si="68"/>
        <v>1.75</v>
      </c>
      <c r="AX79" s="116">
        <f t="shared" si="69"/>
        <v>2175570</v>
      </c>
      <c r="AY79" s="2">
        <f t="shared" si="70"/>
        <v>1.5748031496062995E-2</v>
      </c>
      <c r="AZ79" s="8">
        <f t="shared" si="71"/>
        <v>28.482776501999997</v>
      </c>
      <c r="BA79" s="116">
        <f t="shared" si="72"/>
        <v>2610.6840000000002</v>
      </c>
      <c r="BB79" s="217">
        <f t="shared" si="73"/>
        <v>0.1396973548650606</v>
      </c>
      <c r="BC79" s="207">
        <f t="shared" si="74"/>
        <v>3.5255991909549085</v>
      </c>
      <c r="BD79" s="144">
        <f t="shared" si="75"/>
        <v>71442.592636583417</v>
      </c>
      <c r="BE79" s="138">
        <f t="shared" si="76"/>
        <v>1.75</v>
      </c>
      <c r="BF79" s="116">
        <f t="shared" si="77"/>
        <v>2175570</v>
      </c>
      <c r="BG79" s="2">
        <f t="shared" si="78"/>
        <v>1.5748031496062995E-2</v>
      </c>
      <c r="BH79" s="8">
        <f t="shared" si="79"/>
        <v>28.482776501999997</v>
      </c>
      <c r="BI79" s="116">
        <f t="shared" si="80"/>
        <v>2610.6840000000002</v>
      </c>
      <c r="BJ79" s="217">
        <f t="shared" si="81"/>
        <v>0.1396973548650606</v>
      </c>
      <c r="BK79" s="207">
        <f t="shared" si="82"/>
        <v>3.5255991909549085</v>
      </c>
      <c r="BL79" s="144">
        <f t="shared" si="83"/>
        <v>71442.592636583417</v>
      </c>
      <c r="BM79" s="216">
        <f t="shared" si="84"/>
        <v>1.75</v>
      </c>
      <c r="BN79" s="216">
        <f t="shared" si="85"/>
        <v>2.3622047244094495E-2</v>
      </c>
      <c r="BO79" s="238">
        <f t="shared" si="86"/>
        <v>1.5748031496062995E-2</v>
      </c>
      <c r="BP79" s="216">
        <f t="shared" si="87"/>
        <v>1.75</v>
      </c>
      <c r="BQ79" s="138">
        <f t="shared" si="88"/>
        <v>0</v>
      </c>
      <c r="BR79" s="138">
        <f t="shared" si="89"/>
        <v>0</v>
      </c>
      <c r="BS79" s="238">
        <f t="shared" si="90"/>
        <v>0</v>
      </c>
      <c r="BT79" s="138">
        <f t="shared" si="91"/>
        <v>2</v>
      </c>
      <c r="BU79" s="138">
        <f t="shared" si="92"/>
        <v>0</v>
      </c>
      <c r="BV79" s="138">
        <f t="shared" si="93"/>
        <v>0</v>
      </c>
      <c r="BW79" s="238">
        <f t="shared" si="94"/>
        <v>0</v>
      </c>
      <c r="BX79" s="216">
        <f t="shared" si="95"/>
        <v>2.3622047244094495E-2</v>
      </c>
      <c r="BY79" s="138">
        <f t="shared" si="96"/>
        <v>0</v>
      </c>
      <c r="BZ79" s="138">
        <f t="shared" si="97"/>
        <v>0</v>
      </c>
      <c r="CA79" s="238">
        <f t="shared" si="98"/>
        <v>0</v>
      </c>
      <c r="CB79" s="138">
        <f t="shared" si="99"/>
        <v>2.3622047244094495E-2</v>
      </c>
      <c r="CC79" s="138">
        <f t="shared" si="100"/>
        <v>0</v>
      </c>
      <c r="CD79" s="138">
        <f t="shared" si="101"/>
        <v>0</v>
      </c>
      <c r="CE79" s="238">
        <f t="shared" si="102"/>
        <v>0</v>
      </c>
      <c r="CF79" s="216">
        <f t="shared" si="103"/>
        <v>1.5748031496062995E-2</v>
      </c>
      <c r="CG79" s="138">
        <f t="shared" si="104"/>
        <v>0</v>
      </c>
      <c r="CH79" s="138">
        <f t="shared" si="105"/>
        <v>0</v>
      </c>
      <c r="CI79" s="238">
        <f t="shared" si="106"/>
        <v>0</v>
      </c>
      <c r="CJ79" s="138">
        <f t="shared" si="107"/>
        <v>2.3622047244094495E-2</v>
      </c>
      <c r="CK79" s="138">
        <f t="shared" si="108"/>
        <v>0</v>
      </c>
      <c r="CL79" s="138">
        <f t="shared" si="109"/>
        <v>0</v>
      </c>
      <c r="CM79" s="238">
        <f t="shared" si="110"/>
        <v>0</v>
      </c>
      <c r="CN79" s="17">
        <f t="shared" si="111"/>
        <v>2</v>
      </c>
      <c r="CO79" s="17">
        <f t="shared" si="112"/>
        <v>2.3622047244094495E-2</v>
      </c>
      <c r="CP79" s="17">
        <f t="shared" si="113"/>
        <v>2.3622047244094495E-2</v>
      </c>
      <c r="CQ79" s="17">
        <f>$U79-IF('Inputs-Imperial'!$E$13,0,2)*($CO79+$CN79+$CP79)</f>
        <v>10.253799540719999</v>
      </c>
      <c r="CR79" s="116">
        <f t="shared" si="114"/>
        <v>76724.290551413331</v>
      </c>
      <c r="CS79" s="8">
        <f t="shared" si="10"/>
        <v>1.9837290197589594</v>
      </c>
      <c r="CT79" s="8">
        <f t="shared" si="115"/>
        <v>1.4084491541262536</v>
      </c>
      <c r="CU79" s="8">
        <f t="shared" si="11"/>
        <v>1.9837290197589594</v>
      </c>
      <c r="CV79" s="8">
        <f t="shared" si="116"/>
        <v>1.4084491541262536</v>
      </c>
      <c r="CW79" s="216">
        <f t="shared" si="117"/>
        <v>8.8453503865937471</v>
      </c>
      <c r="CX79" s="116">
        <f t="shared" si="118"/>
        <v>88941.134136474357</v>
      </c>
      <c r="CY79" s="8">
        <f t="shared" si="119"/>
        <v>2.2995990913538438</v>
      </c>
      <c r="CZ79" s="8">
        <f t="shared" si="120"/>
        <v>1.5164429073835399</v>
      </c>
      <c r="DA79" s="8">
        <f t="shared" si="121"/>
        <v>2.2995990913538438</v>
      </c>
      <c r="DB79" s="8">
        <f t="shared" si="122"/>
        <v>1.5164429073835399</v>
      </c>
      <c r="DC79" s="216">
        <f t="shared" si="123"/>
        <v>8.7373566333364607</v>
      </c>
      <c r="DD79" s="116">
        <f t="shared" si="124"/>
        <v>90040.446811627204</v>
      </c>
      <c r="DE79" s="8">
        <f t="shared" si="125"/>
        <v>2.3280221427736318</v>
      </c>
      <c r="DF79" s="8">
        <f t="shared" si="126"/>
        <v>1.5257857460251856</v>
      </c>
      <c r="DG79" s="8">
        <f t="shared" si="127"/>
        <v>2.3280221427736318</v>
      </c>
      <c r="DH79" s="8">
        <f t="shared" si="128"/>
        <v>1.5257857460251856</v>
      </c>
      <c r="DI79" s="216">
        <f t="shared" si="129"/>
        <v>8.7280137946948138</v>
      </c>
      <c r="DJ79" s="116">
        <f t="shared" si="130"/>
        <v>90136.829950514337</v>
      </c>
      <c r="DK79" s="8">
        <f t="shared" si="131"/>
        <v>2.3305141570790329</v>
      </c>
      <c r="DL79" s="8">
        <f t="shared" si="132"/>
        <v>1.5266021607082287</v>
      </c>
      <c r="DM79" s="8">
        <f t="shared" si="133"/>
        <v>2.3305141570790329</v>
      </c>
      <c r="DN79" s="8">
        <f t="shared" si="134"/>
        <v>1.5266021607082287</v>
      </c>
      <c r="DO79" s="216">
        <f t="shared" si="135"/>
        <v>8.7271973800117699</v>
      </c>
      <c r="DP79" s="116">
        <f t="shared" si="136"/>
        <v>90145.262099834479</v>
      </c>
      <c r="DQ79" s="170">
        <f t="shared" si="137"/>
        <v>2.330732172771131</v>
      </c>
      <c r="DR79" s="8">
        <f t="shared" si="138"/>
        <v>1.5266735645746705</v>
      </c>
      <c r="DS79" s="8">
        <f t="shared" si="139"/>
        <v>2.330732172771131</v>
      </c>
      <c r="DT79" s="134">
        <f t="shared" si="140"/>
        <v>1.5266735645746705</v>
      </c>
      <c r="DU79" s="170">
        <f>MAX(DQ$70:DQ$79)</f>
        <v>2.8934969275004128</v>
      </c>
      <c r="DV79" s="170">
        <f t="shared" si="250"/>
        <v>1.7010281971503038</v>
      </c>
      <c r="DW79" s="170">
        <f t="shared" si="250"/>
        <v>2.8934969275004128</v>
      </c>
      <c r="DX79" s="272">
        <f t="shared" si="250"/>
        <v>1.7010281971503038</v>
      </c>
      <c r="DY79" s="272">
        <f t="shared" si="142"/>
        <v>6.8517431464193912</v>
      </c>
      <c r="DZ79" s="22">
        <f t="shared" si="12"/>
        <v>727.49013656170769</v>
      </c>
      <c r="EA79" s="216">
        <f t="shared" si="13"/>
        <v>4.7662124599703169E-2</v>
      </c>
      <c r="EB79" s="12">
        <f t="shared" si="143"/>
        <v>7</v>
      </c>
      <c r="EC79" s="7">
        <f>ROUND(MAX(DV79,DX79)/'Inputs-Imperial'!$E$21,0)</f>
        <v>14</v>
      </c>
      <c r="ED79" s="12">
        <f t="shared" si="144"/>
        <v>14</v>
      </c>
      <c r="EE79" s="2">
        <f t="shared" si="145"/>
        <v>7</v>
      </c>
      <c r="EF79" s="127">
        <f t="shared" si="146"/>
        <v>7</v>
      </c>
      <c r="EG79" s="2">
        <f t="shared" si="147"/>
        <v>5.5118110236220486E-2</v>
      </c>
      <c r="EH79" s="8">
        <f t="shared" si="14"/>
        <v>0.5015858854656764</v>
      </c>
      <c r="EI79" s="138">
        <f t="shared" si="148"/>
        <v>0.75</v>
      </c>
      <c r="EJ79" s="12">
        <f t="shared" si="15"/>
        <v>11878.874658429024</v>
      </c>
      <c r="EK79" s="138">
        <f t="shared" si="149"/>
        <v>0.75</v>
      </c>
      <c r="EL79" s="116">
        <f t="shared" si="150"/>
        <v>2175570</v>
      </c>
      <c r="EM79" s="2">
        <f t="shared" si="16"/>
        <v>5.5118110236220486E-2</v>
      </c>
      <c r="EN79" s="8">
        <f t="shared" si="151"/>
        <v>10.253799540719999</v>
      </c>
      <c r="EO79" s="116">
        <f t="shared" si="152"/>
        <v>2610.6840000000002</v>
      </c>
      <c r="EP79" s="217">
        <f t="shared" si="153"/>
        <v>1.6168675331604239</v>
      </c>
      <c r="EQ79" s="207">
        <f t="shared" si="154"/>
        <v>2</v>
      </c>
      <c r="ER79" s="144">
        <f t="shared" si="155"/>
        <v>57437.521635595309</v>
      </c>
      <c r="ES79" s="138">
        <f t="shared" si="17"/>
        <v>0.75</v>
      </c>
      <c r="ET79" s="116">
        <f t="shared" si="156"/>
        <v>2175570</v>
      </c>
      <c r="EU79" s="2">
        <f t="shared" si="18"/>
        <v>5.5118110236220486E-2</v>
      </c>
      <c r="EV79" s="8">
        <f t="shared" si="157"/>
        <v>10.253799540719999</v>
      </c>
      <c r="EW79" s="116">
        <f t="shared" si="158"/>
        <v>2610.6840000000002</v>
      </c>
      <c r="EX79" s="217">
        <f t="shared" si="159"/>
        <v>1.6168675331604239</v>
      </c>
      <c r="EY79" s="207">
        <f t="shared" si="160"/>
        <v>2</v>
      </c>
      <c r="EZ79" s="144">
        <f t="shared" si="161"/>
        <v>57437.521635595309</v>
      </c>
      <c r="FA79" s="138">
        <f t="shared" si="19"/>
        <v>0.75</v>
      </c>
      <c r="FB79" s="116">
        <f t="shared" si="162"/>
        <v>2175570</v>
      </c>
      <c r="FC79" s="2">
        <f t="shared" si="20"/>
        <v>5.5118110236220486E-2</v>
      </c>
      <c r="FD79" s="8">
        <f t="shared" si="163"/>
        <v>10.253799540719999</v>
      </c>
      <c r="FE79" s="116">
        <f t="shared" si="164"/>
        <v>2610.6840000000002</v>
      </c>
      <c r="FF79" s="217">
        <f t="shared" si="165"/>
        <v>1.6168675331604239</v>
      </c>
      <c r="FG79" s="207">
        <f t="shared" si="166"/>
        <v>2</v>
      </c>
      <c r="FH79" s="144">
        <f t="shared" si="167"/>
        <v>57437.521635595309</v>
      </c>
      <c r="FI79" s="128">
        <f t="shared" si="168"/>
        <v>0.75</v>
      </c>
      <c r="FJ79" s="2">
        <f t="shared" si="169"/>
        <v>5.5118110236220486E-2</v>
      </c>
      <c r="FK79" s="127">
        <f t="shared" si="170"/>
        <v>5.5118110236220486E-2</v>
      </c>
      <c r="FL79" s="216">
        <f t="shared" si="171"/>
        <v>0.75</v>
      </c>
      <c r="FM79" s="138">
        <f t="shared" si="172"/>
        <v>0</v>
      </c>
      <c r="FN79" s="138">
        <f t="shared" si="173"/>
        <v>0</v>
      </c>
      <c r="FO79" s="238">
        <f t="shared" si="174"/>
        <v>0</v>
      </c>
      <c r="FP79" s="216">
        <f t="shared" si="21"/>
        <v>0.75</v>
      </c>
      <c r="FQ79" s="138">
        <f t="shared" si="22"/>
        <v>0</v>
      </c>
      <c r="FR79" s="138">
        <f t="shared" si="23"/>
        <v>0</v>
      </c>
      <c r="FS79" s="238">
        <f t="shared" si="24"/>
        <v>0</v>
      </c>
      <c r="FT79" s="216">
        <f t="shared" si="175"/>
        <v>5.5118110236220486E-2</v>
      </c>
      <c r="FU79" s="138">
        <f t="shared" si="176"/>
        <v>0</v>
      </c>
      <c r="FV79" s="138">
        <f t="shared" si="177"/>
        <v>0</v>
      </c>
      <c r="FW79" s="238">
        <f t="shared" si="178"/>
        <v>0</v>
      </c>
      <c r="FX79" s="216">
        <f t="shared" si="25"/>
        <v>6.2992125984251982E-2</v>
      </c>
      <c r="FY79" s="138">
        <f t="shared" si="26"/>
        <v>0</v>
      </c>
      <c r="FZ79" s="138">
        <f t="shared" si="27"/>
        <v>0</v>
      </c>
      <c r="GA79" s="238">
        <f t="shared" si="28"/>
        <v>0</v>
      </c>
      <c r="GB79" s="216">
        <f t="shared" si="179"/>
        <v>5.5118110236220486E-2</v>
      </c>
      <c r="GC79" s="138">
        <f t="shared" si="180"/>
        <v>0</v>
      </c>
      <c r="GD79" s="138">
        <f t="shared" si="181"/>
        <v>0</v>
      </c>
      <c r="GE79" s="238">
        <f t="shared" si="182"/>
        <v>0</v>
      </c>
      <c r="GF79" s="216">
        <f t="shared" si="29"/>
        <v>6.2992125984251982E-2</v>
      </c>
      <c r="GG79" s="138">
        <f t="shared" si="30"/>
        <v>0</v>
      </c>
      <c r="GH79" s="138">
        <f t="shared" si="31"/>
        <v>0</v>
      </c>
      <c r="GI79" s="238">
        <f t="shared" si="32"/>
        <v>0</v>
      </c>
      <c r="GJ79" s="216">
        <f t="shared" si="183"/>
        <v>0.75</v>
      </c>
      <c r="GK79" s="216">
        <f t="shared" si="184"/>
        <v>6.2992125984251982E-2</v>
      </c>
      <c r="GL79" s="17">
        <f t="shared" si="185"/>
        <v>6.2992125984251982E-2</v>
      </c>
      <c r="GM79" s="216">
        <f t="shared" si="186"/>
        <v>2.5746720374307686E-2</v>
      </c>
      <c r="GN79" s="2">
        <f t="shared" si="187"/>
        <v>4</v>
      </c>
      <c r="GO79" s="2">
        <f t="shared" si="188"/>
        <v>2</v>
      </c>
      <c r="GP79" s="142">
        <f t="shared" si="189"/>
        <v>2</v>
      </c>
      <c r="GQ79" s="2">
        <f t="shared" si="190"/>
        <v>1.5748031496062995E-2</v>
      </c>
      <c r="GR79" s="8">
        <f t="shared" si="33"/>
        <v>0.27095291377054387</v>
      </c>
      <c r="GS79" s="138">
        <f t="shared" si="191"/>
        <v>0.5</v>
      </c>
      <c r="GT79" s="12">
        <f t="shared" si="34"/>
        <v>22459.074866308896</v>
      </c>
      <c r="GU79" s="138">
        <f t="shared" si="192"/>
        <v>0.5</v>
      </c>
      <c r="GV79" s="116">
        <f t="shared" si="193"/>
        <v>2175570</v>
      </c>
      <c r="GW79" s="2">
        <f t="shared" si="35"/>
        <v>5.5118110236220486E-2</v>
      </c>
      <c r="GX79" s="8">
        <f t="shared" si="36"/>
        <v>5.1268997703599997</v>
      </c>
      <c r="GY79" s="116">
        <f t="shared" si="194"/>
        <v>2610.6840000000002</v>
      </c>
      <c r="GZ79" s="217">
        <f t="shared" si="195"/>
        <v>4.311646755094463</v>
      </c>
      <c r="HA79" s="207">
        <f t="shared" si="196"/>
        <v>2</v>
      </c>
      <c r="HB79" s="144">
        <f t="shared" si="197"/>
        <v>102111.14957439166</v>
      </c>
      <c r="HC79" s="138">
        <f t="shared" si="37"/>
        <v>0.5</v>
      </c>
      <c r="HD79" s="116">
        <f t="shared" si="198"/>
        <v>2175570</v>
      </c>
      <c r="HE79" s="2">
        <f t="shared" si="38"/>
        <v>5.5118110236220486E-2</v>
      </c>
      <c r="HF79" s="8">
        <f t="shared" si="199"/>
        <v>5.1268997703599997</v>
      </c>
      <c r="HG79" s="116">
        <f t="shared" si="200"/>
        <v>2610.6840000000002</v>
      </c>
      <c r="HH79" s="217">
        <f t="shared" si="201"/>
        <v>4.311646755094463</v>
      </c>
      <c r="HI79" s="207">
        <f t="shared" si="202"/>
        <v>2</v>
      </c>
      <c r="HJ79" s="144">
        <f t="shared" si="203"/>
        <v>102111.14957439166</v>
      </c>
      <c r="HK79" s="138">
        <f t="shared" si="39"/>
        <v>0.5</v>
      </c>
      <c r="HL79" s="116">
        <f t="shared" si="204"/>
        <v>2175570</v>
      </c>
      <c r="HM79" s="2">
        <f t="shared" si="40"/>
        <v>5.5118110236220486E-2</v>
      </c>
      <c r="HN79" s="8">
        <f t="shared" si="205"/>
        <v>5.1268997703599997</v>
      </c>
      <c r="HO79" s="116">
        <f t="shared" si="206"/>
        <v>2610.6840000000002</v>
      </c>
      <c r="HP79" s="217">
        <f t="shared" si="207"/>
        <v>4.311646755094463</v>
      </c>
      <c r="HQ79" s="207">
        <f t="shared" si="208"/>
        <v>2</v>
      </c>
      <c r="HR79" s="144">
        <f t="shared" si="209"/>
        <v>102111.14957439166</v>
      </c>
      <c r="HS79" s="128">
        <f t="shared" si="210"/>
        <v>0.5</v>
      </c>
      <c r="HT79" s="2">
        <f t="shared" si="211"/>
        <v>1.5748031496062995E-2</v>
      </c>
      <c r="HU79" s="127">
        <f t="shared" si="212"/>
        <v>1.5748031496062995E-2</v>
      </c>
      <c r="HV79" s="216">
        <f t="shared" si="213"/>
        <v>0.5</v>
      </c>
      <c r="HW79" s="138">
        <f t="shared" si="214"/>
        <v>0</v>
      </c>
      <c r="HX79" s="138">
        <f t="shared" si="215"/>
        <v>0</v>
      </c>
      <c r="HY79" s="238">
        <f t="shared" si="216"/>
        <v>0</v>
      </c>
      <c r="HZ79" s="138">
        <f t="shared" si="217"/>
        <v>0.5</v>
      </c>
      <c r="IA79" s="138">
        <f t="shared" si="218"/>
        <v>0</v>
      </c>
      <c r="IB79" s="138">
        <f t="shared" si="219"/>
        <v>0</v>
      </c>
      <c r="IC79" s="138">
        <f t="shared" si="220"/>
        <v>0</v>
      </c>
      <c r="ID79" s="216">
        <f t="shared" si="221"/>
        <v>1.5748031496062995E-2</v>
      </c>
      <c r="IE79" s="138">
        <f t="shared" si="222"/>
        <v>0</v>
      </c>
      <c r="IF79" s="138">
        <f t="shared" si="223"/>
        <v>0</v>
      </c>
      <c r="IG79" s="238">
        <f t="shared" si="224"/>
        <v>0</v>
      </c>
      <c r="IH79" s="138">
        <f t="shared" si="225"/>
        <v>1.5748031496062995E-2</v>
      </c>
      <c r="II79" s="138">
        <f t="shared" si="226"/>
        <v>0</v>
      </c>
      <c r="IJ79" s="138">
        <f t="shared" si="227"/>
        <v>0</v>
      </c>
      <c r="IK79" s="138">
        <f t="shared" si="228"/>
        <v>0</v>
      </c>
      <c r="IL79" s="216">
        <f t="shared" si="229"/>
        <v>1.5748031496062995E-2</v>
      </c>
      <c r="IM79" s="138">
        <f t="shared" si="230"/>
        <v>0</v>
      </c>
      <c r="IN79" s="138">
        <f t="shared" si="231"/>
        <v>0</v>
      </c>
      <c r="IO79" s="238">
        <f t="shared" si="232"/>
        <v>0</v>
      </c>
      <c r="IP79" s="138">
        <f t="shared" si="233"/>
        <v>1.5748031496062995E-2</v>
      </c>
      <c r="IQ79" s="138">
        <f t="shared" si="234"/>
        <v>0</v>
      </c>
      <c r="IR79" s="138">
        <f t="shared" si="235"/>
        <v>0</v>
      </c>
      <c r="IS79" s="138">
        <f t="shared" si="236"/>
        <v>0</v>
      </c>
      <c r="IT79" s="17">
        <f t="shared" si="237"/>
        <v>0.5</v>
      </c>
      <c r="IU79" s="17">
        <f t="shared" si="238"/>
        <v>1.5748031496062995E-2</v>
      </c>
      <c r="IV79" s="17">
        <f t="shared" si="239"/>
        <v>1.5748031496062995E-2</v>
      </c>
      <c r="IW79" s="253">
        <f t="shared" si="240"/>
        <v>28.482776501999997</v>
      </c>
      <c r="IX79" s="116">
        <f t="shared" si="241"/>
        <v>2762.0744598508813</v>
      </c>
      <c r="IY79" s="8">
        <f t="shared" si="242"/>
        <v>7.1414244711322586E-2</v>
      </c>
      <c r="IZ79" s="8">
        <f t="shared" si="243"/>
        <v>7.1414244711322586E-2</v>
      </c>
      <c r="JA79" s="8">
        <f t="shared" si="244"/>
        <v>3.5707122355661293E-2</v>
      </c>
      <c r="JB79" s="134">
        <f t="shared" si="245"/>
        <v>0.18896328308870294</v>
      </c>
      <c r="JC79" s="170">
        <f t="shared" si="251"/>
        <v>4.3725358123599019E-2</v>
      </c>
      <c r="JD79" s="272">
        <f t="shared" si="252"/>
        <v>0.20910609298535282</v>
      </c>
      <c r="JE79" s="8"/>
      <c r="JF79" s="8"/>
    </row>
    <row r="80" spans="1:266" x14ac:dyDescent="0.25">
      <c r="A80" s="186">
        <v>20</v>
      </c>
      <c r="B80" s="187">
        <f>A80/100*'Inputs-Imperial'!$E$5</f>
        <v>4.81627312</v>
      </c>
      <c r="C80" s="188">
        <f>'Inputs-Imperial'!$E$10+('Inputs-Imperial'!$E$9-'Inputs-Imperial'!$E$10)*(100-A80)/100</f>
        <v>4.729330860000001</v>
      </c>
      <c r="D80" s="187">
        <f t="shared" si="248"/>
        <v>0.24081365600000026</v>
      </c>
      <c r="E80" s="188">
        <f t="shared" si="249"/>
        <v>1.1410305226215727</v>
      </c>
      <c r="F80" s="423">
        <f>Loads!P40</f>
        <v>734.40825601471386</v>
      </c>
      <c r="G80" s="423">
        <f>Loads!M40</f>
        <v>7344.0825601471379</v>
      </c>
      <c r="H80" s="423">
        <f>Loads!N40</f>
        <v>63763.265976881499</v>
      </c>
      <c r="I80" s="423">
        <f>Loads!V40</f>
        <v>-16585.506007137988</v>
      </c>
      <c r="J80" s="423">
        <f>Loads!Q40</f>
        <v>6376.326597688153</v>
      </c>
      <c r="K80" s="2">
        <v>20</v>
      </c>
      <c r="L80" s="12">
        <f t="shared" si="41"/>
        <v>57.79527744</v>
      </c>
      <c r="M80" s="11">
        <f t="shared" si="42"/>
        <v>56.751970320000012</v>
      </c>
      <c r="N80" s="11">
        <f t="shared" si="43"/>
        <v>2.8897638720000032</v>
      </c>
      <c r="O80" s="152">
        <f t="shared" si="44"/>
        <v>164.30839525750648</v>
      </c>
      <c r="P80" s="151">
        <f t="shared" si="45"/>
        <v>734.40825601471386</v>
      </c>
      <c r="Q80" s="12">
        <f t="shared" si="46"/>
        <v>7344.0825601471379</v>
      </c>
      <c r="R80" s="12">
        <f t="shared" si="47"/>
        <v>765159.19172257802</v>
      </c>
      <c r="S80" s="12">
        <f t="shared" si="48"/>
        <v>-199026.07208565588</v>
      </c>
      <c r="T80" s="152">
        <f t="shared" si="49"/>
        <v>76515.91917225784</v>
      </c>
      <c r="U80" s="8">
        <f t="shared" si="0"/>
        <v>10.215354657600002</v>
      </c>
      <c r="V80" s="8">
        <f t="shared" si="1"/>
        <v>10.215354657600002</v>
      </c>
      <c r="W80" s="134">
        <f t="shared" si="2"/>
        <v>5.1076773288000012</v>
      </c>
      <c r="X80" s="311">
        <f t="shared" si="3"/>
        <v>14.187992580000003</v>
      </c>
      <c r="Y80" s="11">
        <f t="shared" si="4"/>
        <v>42.563977740000013</v>
      </c>
      <c r="Z80" s="11">
        <f t="shared" si="5"/>
        <v>28.37598516000001</v>
      </c>
      <c r="AA80" s="316">
        <f t="shared" si="50"/>
        <v>42.563977740000013</v>
      </c>
      <c r="AB80" s="170">
        <f t="shared" si="51"/>
        <v>7.6615159932000019</v>
      </c>
      <c r="AC80" s="11">
        <f t="shared" si="52"/>
        <v>42.563977740000013</v>
      </c>
      <c r="AD80" s="152">
        <f t="shared" si="53"/>
        <v>256.12195092247907</v>
      </c>
      <c r="AE80" s="151">
        <f t="shared" si="6"/>
        <v>17.254220470201609</v>
      </c>
      <c r="AF80" s="12">
        <f t="shared" si="54"/>
        <v>388.53770902654003</v>
      </c>
      <c r="AG80" s="216">
        <f t="shared" si="7"/>
        <v>2.6585797570586191E-2</v>
      </c>
      <c r="AH80" s="2">
        <f t="shared" si="55"/>
        <v>4</v>
      </c>
      <c r="AI80" s="2">
        <f t="shared" si="56"/>
        <v>3</v>
      </c>
      <c r="AJ80" s="127">
        <f t="shared" si="57"/>
        <v>2</v>
      </c>
      <c r="AK80" s="2">
        <f t="shared" si="58"/>
        <v>1.5748031496062995E-2</v>
      </c>
      <c r="AL80" s="8">
        <f t="shared" si="8"/>
        <v>0.27978318061248886</v>
      </c>
      <c r="AM80" s="138">
        <f t="shared" si="59"/>
        <v>0.5</v>
      </c>
      <c r="AN80" s="12">
        <f t="shared" si="9"/>
        <v>23191.008770738779</v>
      </c>
      <c r="AO80" s="138">
        <f t="shared" si="60"/>
        <v>0.5</v>
      </c>
      <c r="AP80" s="116">
        <f t="shared" si="61"/>
        <v>2175570</v>
      </c>
      <c r="AQ80" s="2">
        <f t="shared" si="62"/>
        <v>1.5748031496062995E-2</v>
      </c>
      <c r="AR80" s="8">
        <f t="shared" si="63"/>
        <v>28.37598516000001</v>
      </c>
      <c r="AS80" s="116">
        <f t="shared" si="64"/>
        <v>2610.6840000000002</v>
      </c>
      <c r="AT80" s="217">
        <f t="shared" si="65"/>
        <v>4.0214519695277569E-2</v>
      </c>
      <c r="AU80" s="207">
        <f t="shared" si="66"/>
        <v>4.6428365088766013</v>
      </c>
      <c r="AV80" s="144">
        <f t="shared" si="67"/>
        <v>7738.0996535107297</v>
      </c>
      <c r="AW80" s="138">
        <f t="shared" si="68"/>
        <v>1.5</v>
      </c>
      <c r="AX80" s="116">
        <f t="shared" si="69"/>
        <v>2175570</v>
      </c>
      <c r="AY80" s="2">
        <f t="shared" si="70"/>
        <v>1.5748031496062995E-2</v>
      </c>
      <c r="AZ80" s="8">
        <f t="shared" si="71"/>
        <v>28.37598516000001</v>
      </c>
      <c r="BA80" s="116">
        <f t="shared" si="72"/>
        <v>2610.6840000000002</v>
      </c>
      <c r="BB80" s="217">
        <f t="shared" si="73"/>
        <v>0.12064355908583271</v>
      </c>
      <c r="BC80" s="207">
        <f t="shared" si="74"/>
        <v>3.6932425976451295</v>
      </c>
      <c r="BD80" s="144">
        <f t="shared" si="75"/>
        <v>55398.916781748725</v>
      </c>
      <c r="BE80" s="138">
        <f t="shared" si="76"/>
        <v>1.5</v>
      </c>
      <c r="BF80" s="116">
        <f t="shared" si="77"/>
        <v>2175570</v>
      </c>
      <c r="BG80" s="2">
        <f t="shared" si="78"/>
        <v>1.5748031496062995E-2</v>
      </c>
      <c r="BH80" s="8">
        <f t="shared" si="79"/>
        <v>28.37598516000001</v>
      </c>
      <c r="BI80" s="116">
        <f t="shared" si="80"/>
        <v>2610.6840000000002</v>
      </c>
      <c r="BJ80" s="217">
        <f t="shared" si="81"/>
        <v>0.12064355908583271</v>
      </c>
      <c r="BK80" s="207">
        <f t="shared" si="82"/>
        <v>3.6932425976451295</v>
      </c>
      <c r="BL80" s="144">
        <f t="shared" si="83"/>
        <v>55398.916781748725</v>
      </c>
      <c r="BM80" s="216">
        <f t="shared" si="84"/>
        <v>1.5</v>
      </c>
      <c r="BN80" s="216">
        <f t="shared" si="85"/>
        <v>2.3622047244094495E-2</v>
      </c>
      <c r="BO80" s="238">
        <f t="shared" si="86"/>
        <v>1.5748031496062995E-2</v>
      </c>
      <c r="BP80" s="216">
        <f t="shared" si="87"/>
        <v>1.5</v>
      </c>
      <c r="BQ80" s="138">
        <f t="shared" si="88"/>
        <v>0</v>
      </c>
      <c r="BR80" s="138">
        <f t="shared" si="89"/>
        <v>0</v>
      </c>
      <c r="BS80" s="238">
        <f t="shared" si="90"/>
        <v>0</v>
      </c>
      <c r="BT80" s="138">
        <f t="shared" si="91"/>
        <v>2</v>
      </c>
      <c r="BU80" s="138">
        <f t="shared" si="92"/>
        <v>0</v>
      </c>
      <c r="BV80" s="138">
        <f t="shared" si="93"/>
        <v>0</v>
      </c>
      <c r="BW80" s="238">
        <f t="shared" si="94"/>
        <v>0</v>
      </c>
      <c r="BX80" s="216">
        <f t="shared" si="95"/>
        <v>2.3622047244094495E-2</v>
      </c>
      <c r="BY80" s="138">
        <f t="shared" si="96"/>
        <v>0</v>
      </c>
      <c r="BZ80" s="138">
        <f t="shared" si="97"/>
        <v>0</v>
      </c>
      <c r="CA80" s="238">
        <f t="shared" si="98"/>
        <v>0</v>
      </c>
      <c r="CB80" s="138">
        <f t="shared" si="99"/>
        <v>2.3622047244094495E-2</v>
      </c>
      <c r="CC80" s="138">
        <f t="shared" si="100"/>
        <v>0</v>
      </c>
      <c r="CD80" s="138">
        <f t="shared" si="101"/>
        <v>0</v>
      </c>
      <c r="CE80" s="238">
        <f t="shared" si="102"/>
        <v>0</v>
      </c>
      <c r="CF80" s="216">
        <f t="shared" si="103"/>
        <v>1.5748031496062995E-2</v>
      </c>
      <c r="CG80" s="138">
        <f t="shared" si="104"/>
        <v>0</v>
      </c>
      <c r="CH80" s="138">
        <f t="shared" si="105"/>
        <v>0</v>
      </c>
      <c r="CI80" s="238">
        <f t="shared" si="106"/>
        <v>0</v>
      </c>
      <c r="CJ80" s="138">
        <f t="shared" si="107"/>
        <v>2.3622047244094495E-2</v>
      </c>
      <c r="CK80" s="138">
        <f t="shared" si="108"/>
        <v>0</v>
      </c>
      <c r="CL80" s="138">
        <f t="shared" si="109"/>
        <v>0</v>
      </c>
      <c r="CM80" s="238">
        <f t="shared" si="110"/>
        <v>0</v>
      </c>
      <c r="CN80" s="17">
        <f t="shared" si="111"/>
        <v>2</v>
      </c>
      <c r="CO80" s="17">
        <f t="shared" si="112"/>
        <v>2.3622047244094495E-2</v>
      </c>
      <c r="CP80" s="17">
        <f t="shared" si="113"/>
        <v>2.3622047244094495E-2</v>
      </c>
      <c r="CQ80" s="17">
        <f>$U80-IF('Inputs-Imperial'!$E$13,0,2)*($CO80+$CN80+$CP80)</f>
        <v>10.215354657600002</v>
      </c>
      <c r="CR80" s="116">
        <f t="shared" si="114"/>
        <v>74902.851381015556</v>
      </c>
      <c r="CS80" s="8">
        <f t="shared" si="10"/>
        <v>1.936635176152514</v>
      </c>
      <c r="CT80" s="8">
        <f t="shared" si="115"/>
        <v>1.3916304021371888</v>
      </c>
      <c r="CU80" s="8">
        <f t="shared" si="11"/>
        <v>1.936635176152514</v>
      </c>
      <c r="CV80" s="8">
        <f t="shared" si="116"/>
        <v>1.3916304021371888</v>
      </c>
      <c r="CW80" s="216">
        <f t="shared" si="117"/>
        <v>8.8237242554628139</v>
      </c>
      <c r="CX80" s="116">
        <f t="shared" si="118"/>
        <v>86716.126838263779</v>
      </c>
      <c r="CY80" s="8">
        <f t="shared" si="119"/>
        <v>2.2420708755187548</v>
      </c>
      <c r="CZ80" s="8">
        <f t="shared" si="120"/>
        <v>1.4973546258380994</v>
      </c>
      <c r="DA80" s="8">
        <f t="shared" si="121"/>
        <v>2.2420708755187548</v>
      </c>
      <c r="DB80" s="8">
        <f t="shared" si="122"/>
        <v>1.4973546258380994</v>
      </c>
      <c r="DC80" s="216">
        <f t="shared" si="123"/>
        <v>8.7180000317619033</v>
      </c>
      <c r="DD80" s="116">
        <f t="shared" si="124"/>
        <v>87767.743626394527</v>
      </c>
      <c r="DE80" s="8">
        <f t="shared" si="125"/>
        <v>2.2692607358001315</v>
      </c>
      <c r="DF80" s="8">
        <f t="shared" si="126"/>
        <v>1.5064065639129869</v>
      </c>
      <c r="DG80" s="8">
        <f t="shared" si="127"/>
        <v>2.2692607358001315</v>
      </c>
      <c r="DH80" s="8">
        <f t="shared" si="128"/>
        <v>1.5064065639129869</v>
      </c>
      <c r="DI80" s="216">
        <f t="shared" si="129"/>
        <v>8.7089480936870167</v>
      </c>
      <c r="DJ80" s="116">
        <f t="shared" si="130"/>
        <v>87858.967982279079</v>
      </c>
      <c r="DK80" s="8">
        <f t="shared" si="131"/>
        <v>2.271619368258984</v>
      </c>
      <c r="DL80" s="8">
        <f t="shared" si="132"/>
        <v>1.5071892277544263</v>
      </c>
      <c r="DM80" s="8">
        <f t="shared" si="133"/>
        <v>2.271619368258984</v>
      </c>
      <c r="DN80" s="8">
        <f t="shared" si="134"/>
        <v>1.5071892277544263</v>
      </c>
      <c r="DO80" s="216">
        <f>$CQ80-DL80/2-DN80/2</f>
        <v>8.7081654298455753</v>
      </c>
      <c r="DP80" s="116">
        <f t="shared" si="136"/>
        <v>87866.864483320547</v>
      </c>
      <c r="DQ80" s="170">
        <f t="shared" si="137"/>
        <v>2.271823534607841</v>
      </c>
      <c r="DR80" s="8">
        <f t="shared" si="138"/>
        <v>1.5072569570606869</v>
      </c>
      <c r="DS80" s="8">
        <f t="shared" si="139"/>
        <v>2.271823534607841</v>
      </c>
      <c r="DT80" s="134">
        <f t="shared" si="140"/>
        <v>1.5072569570606869</v>
      </c>
      <c r="DU80" s="170">
        <f>MAX(DQ$80:DQ$89)</f>
        <v>2.271823534607841</v>
      </c>
      <c r="DV80" s="170">
        <f>MAX(DR$80:DR$89)</f>
        <v>1.5072569570606869</v>
      </c>
      <c r="DW80" s="170">
        <f>MAX(DS$80:DS$89)</f>
        <v>2.271823534607841</v>
      </c>
      <c r="DX80" s="272">
        <f>MAX(DT$80:DT$89)</f>
        <v>1.5072569570606869</v>
      </c>
      <c r="DY80" s="272">
        <f t="shared" si="142"/>
        <v>7.2008407434786292</v>
      </c>
      <c r="DZ80" s="22">
        <f t="shared" si="12"/>
        <v>718.92585292506703</v>
      </c>
      <c r="EA80" s="216">
        <f t="shared" si="13"/>
        <v>4.7101028396081802E-2</v>
      </c>
      <c r="EB80" s="12">
        <f t="shared" si="143"/>
        <v>6</v>
      </c>
      <c r="EC80" s="7">
        <f>ROUND(MAX(DV80,DX80)/'Inputs-Imperial'!$E$21,0)</f>
        <v>13</v>
      </c>
      <c r="ED80" s="12">
        <f t="shared" si="144"/>
        <v>13</v>
      </c>
      <c r="EE80" s="2">
        <f t="shared" si="145"/>
        <v>7</v>
      </c>
      <c r="EF80" s="127">
        <f t="shared" si="146"/>
        <v>7</v>
      </c>
      <c r="EG80" s="2">
        <f t="shared" si="147"/>
        <v>5.5118110236220486E-2</v>
      </c>
      <c r="EH80" s="8">
        <f t="shared" si="14"/>
        <v>0.49568103043689721</v>
      </c>
      <c r="EI80" s="138">
        <f t="shared" si="148"/>
        <v>0.5</v>
      </c>
      <c r="EJ80" s="12">
        <f t="shared" si="15"/>
        <v>11739.032141333591</v>
      </c>
      <c r="EK80" s="138">
        <f t="shared" si="149"/>
        <v>0.5</v>
      </c>
      <c r="EL80" s="116">
        <f t="shared" si="150"/>
        <v>2175570</v>
      </c>
      <c r="EM80" s="2">
        <f t="shared" si="16"/>
        <v>5.5118110236220486E-2</v>
      </c>
      <c r="EN80" s="8">
        <f t="shared" si="151"/>
        <v>10.215354657600002</v>
      </c>
      <c r="EO80" s="116">
        <f t="shared" si="152"/>
        <v>2610.6840000000002</v>
      </c>
      <c r="EP80" s="217">
        <f t="shared" si="153"/>
        <v>1.0860402695483913</v>
      </c>
      <c r="EQ80" s="207">
        <f t="shared" si="154"/>
        <v>2</v>
      </c>
      <c r="ER80" s="144">
        <f t="shared" si="155"/>
        <v>25720.293592381451</v>
      </c>
      <c r="ES80" s="138">
        <f t="shared" si="17"/>
        <v>0.5</v>
      </c>
      <c r="ET80" s="116">
        <f t="shared" si="156"/>
        <v>2175570</v>
      </c>
      <c r="EU80" s="2">
        <f t="shared" si="18"/>
        <v>5.5118110236220486E-2</v>
      </c>
      <c r="EV80" s="8">
        <f t="shared" si="157"/>
        <v>10.215354657600002</v>
      </c>
      <c r="EW80" s="116">
        <f t="shared" si="158"/>
        <v>2610.6840000000002</v>
      </c>
      <c r="EX80" s="217">
        <f t="shared" si="159"/>
        <v>1.0860402695483913</v>
      </c>
      <c r="EY80" s="207">
        <f t="shared" si="160"/>
        <v>2</v>
      </c>
      <c r="EZ80" s="144">
        <f t="shared" si="161"/>
        <v>25720.293592381451</v>
      </c>
      <c r="FA80" s="138">
        <f t="shared" si="19"/>
        <v>0.5</v>
      </c>
      <c r="FB80" s="116">
        <f t="shared" si="162"/>
        <v>2175570</v>
      </c>
      <c r="FC80" s="2">
        <f t="shared" si="20"/>
        <v>5.5118110236220486E-2</v>
      </c>
      <c r="FD80" s="8">
        <f t="shared" si="163"/>
        <v>10.215354657600002</v>
      </c>
      <c r="FE80" s="116">
        <f t="shared" si="164"/>
        <v>2610.6840000000002</v>
      </c>
      <c r="FF80" s="217">
        <f t="shared" si="165"/>
        <v>1.0860402695483913</v>
      </c>
      <c r="FG80" s="207">
        <f t="shared" si="166"/>
        <v>2</v>
      </c>
      <c r="FH80" s="144">
        <f t="shared" si="167"/>
        <v>25720.293592381451</v>
      </c>
      <c r="FI80" s="128">
        <f t="shared" si="168"/>
        <v>0.5</v>
      </c>
      <c r="FJ80" s="2">
        <f t="shared" si="169"/>
        <v>5.5118110236220486E-2</v>
      </c>
      <c r="FK80" s="127">
        <f t="shared" si="170"/>
        <v>5.5118110236220486E-2</v>
      </c>
      <c r="FL80" s="216">
        <f t="shared" si="171"/>
        <v>0.5</v>
      </c>
      <c r="FM80" s="138">
        <f t="shared" si="172"/>
        <v>0</v>
      </c>
      <c r="FN80" s="138">
        <f t="shared" si="173"/>
        <v>0</v>
      </c>
      <c r="FO80" s="238">
        <f t="shared" si="174"/>
        <v>0</v>
      </c>
      <c r="FP80" s="216">
        <f t="shared" si="21"/>
        <v>0.75</v>
      </c>
      <c r="FQ80" s="138">
        <f t="shared" si="22"/>
        <v>0</v>
      </c>
      <c r="FR80" s="138">
        <f t="shared" si="23"/>
        <v>0</v>
      </c>
      <c r="FS80" s="238">
        <f t="shared" si="24"/>
        <v>0</v>
      </c>
      <c r="FT80" s="216">
        <f t="shared" si="175"/>
        <v>5.5118110236220486E-2</v>
      </c>
      <c r="FU80" s="138">
        <f t="shared" si="176"/>
        <v>0</v>
      </c>
      <c r="FV80" s="138">
        <f t="shared" si="177"/>
        <v>0</v>
      </c>
      <c r="FW80" s="238">
        <f t="shared" si="178"/>
        <v>0</v>
      </c>
      <c r="FX80" s="216">
        <f t="shared" si="25"/>
        <v>6.2992125984251982E-2</v>
      </c>
      <c r="FY80" s="138">
        <f t="shared" si="26"/>
        <v>0</v>
      </c>
      <c r="FZ80" s="138">
        <f t="shared" si="27"/>
        <v>0</v>
      </c>
      <c r="GA80" s="238">
        <f t="shared" si="28"/>
        <v>0</v>
      </c>
      <c r="GB80" s="216">
        <f t="shared" si="179"/>
        <v>5.5118110236220486E-2</v>
      </c>
      <c r="GC80" s="138">
        <f t="shared" si="180"/>
        <v>0</v>
      </c>
      <c r="GD80" s="138">
        <f t="shared" si="181"/>
        <v>0</v>
      </c>
      <c r="GE80" s="238">
        <f t="shared" si="182"/>
        <v>0</v>
      </c>
      <c r="GF80" s="216">
        <f t="shared" si="29"/>
        <v>6.2992125984251982E-2</v>
      </c>
      <c r="GG80" s="138">
        <f t="shared" si="30"/>
        <v>0</v>
      </c>
      <c r="GH80" s="138">
        <f t="shared" si="31"/>
        <v>0</v>
      </c>
      <c r="GI80" s="238">
        <f t="shared" si="32"/>
        <v>0</v>
      </c>
      <c r="GJ80" s="216">
        <f t="shared" si="183"/>
        <v>0.75</v>
      </c>
      <c r="GK80" s="216">
        <f t="shared" si="184"/>
        <v>6.2992125984251982E-2</v>
      </c>
      <c r="GL80" s="17">
        <f t="shared" si="185"/>
        <v>6.2992125984251982E-2</v>
      </c>
      <c r="GM80" s="216">
        <f t="shared" si="186"/>
        <v>2.5455372889080227E-2</v>
      </c>
      <c r="GN80" s="2">
        <f t="shared" si="187"/>
        <v>4</v>
      </c>
      <c r="GO80" s="2">
        <f t="shared" si="188"/>
        <v>2</v>
      </c>
      <c r="GP80" s="142">
        <f t="shared" si="189"/>
        <v>2</v>
      </c>
      <c r="GQ80" s="2">
        <f t="shared" si="190"/>
        <v>1.5748031496062995E-2</v>
      </c>
      <c r="GR80" s="8">
        <f t="shared" si="33"/>
        <v>0.26788683588200335</v>
      </c>
      <c r="GS80" s="138">
        <f t="shared" si="191"/>
        <v>0.5</v>
      </c>
      <c r="GT80" s="12">
        <f t="shared" si="34"/>
        <v>22204.930070866758</v>
      </c>
      <c r="GU80" s="138">
        <f t="shared" si="192"/>
        <v>0.5</v>
      </c>
      <c r="GV80" s="116">
        <f t="shared" si="193"/>
        <v>2175570</v>
      </c>
      <c r="GW80" s="2">
        <f t="shared" si="35"/>
        <v>5.5118110236220486E-2</v>
      </c>
      <c r="GX80" s="8">
        <f t="shared" si="36"/>
        <v>5.1076773288000012</v>
      </c>
      <c r="GY80" s="116">
        <f t="shared" si="194"/>
        <v>2610.6840000000002</v>
      </c>
      <c r="GZ80" s="217">
        <f t="shared" si="195"/>
        <v>4.3441610781935651</v>
      </c>
      <c r="HA80" s="207">
        <f t="shared" si="196"/>
        <v>2</v>
      </c>
      <c r="HB80" s="144">
        <f t="shared" si="197"/>
        <v>102881.1743695258</v>
      </c>
      <c r="HC80" s="138">
        <f t="shared" si="37"/>
        <v>0.5</v>
      </c>
      <c r="HD80" s="116">
        <f t="shared" si="198"/>
        <v>2175570</v>
      </c>
      <c r="HE80" s="2">
        <f t="shared" si="38"/>
        <v>5.5118110236220486E-2</v>
      </c>
      <c r="HF80" s="8">
        <f t="shared" si="199"/>
        <v>5.1076773288000012</v>
      </c>
      <c r="HG80" s="116">
        <f t="shared" si="200"/>
        <v>2610.6840000000002</v>
      </c>
      <c r="HH80" s="217">
        <f t="shared" si="201"/>
        <v>4.3441610781935651</v>
      </c>
      <c r="HI80" s="207">
        <f t="shared" si="202"/>
        <v>2</v>
      </c>
      <c r="HJ80" s="144">
        <f t="shared" si="203"/>
        <v>102881.1743695258</v>
      </c>
      <c r="HK80" s="138">
        <f t="shared" si="39"/>
        <v>0.5</v>
      </c>
      <c r="HL80" s="116">
        <f t="shared" si="204"/>
        <v>2175570</v>
      </c>
      <c r="HM80" s="2">
        <f t="shared" si="40"/>
        <v>5.5118110236220486E-2</v>
      </c>
      <c r="HN80" s="8">
        <f t="shared" si="205"/>
        <v>5.1076773288000012</v>
      </c>
      <c r="HO80" s="116">
        <f t="shared" si="206"/>
        <v>2610.6840000000002</v>
      </c>
      <c r="HP80" s="217">
        <f t="shared" si="207"/>
        <v>4.3441610781935651</v>
      </c>
      <c r="HQ80" s="207">
        <f t="shared" si="208"/>
        <v>2</v>
      </c>
      <c r="HR80" s="144">
        <f t="shared" si="209"/>
        <v>102881.1743695258</v>
      </c>
      <c r="HS80" s="128">
        <f t="shared" si="210"/>
        <v>0.5</v>
      </c>
      <c r="HT80" s="2">
        <f t="shared" si="211"/>
        <v>1.5748031496062995E-2</v>
      </c>
      <c r="HU80" s="127">
        <f t="shared" si="212"/>
        <v>1.5748031496062995E-2</v>
      </c>
      <c r="HV80" s="216">
        <f t="shared" si="213"/>
        <v>0.5</v>
      </c>
      <c r="HW80" s="138">
        <f t="shared" si="214"/>
        <v>0</v>
      </c>
      <c r="HX80" s="138">
        <f t="shared" si="215"/>
        <v>0</v>
      </c>
      <c r="HY80" s="238">
        <f t="shared" si="216"/>
        <v>0</v>
      </c>
      <c r="HZ80" s="138">
        <f t="shared" si="217"/>
        <v>0.5</v>
      </c>
      <c r="IA80" s="138">
        <f t="shared" si="218"/>
        <v>0</v>
      </c>
      <c r="IB80" s="138">
        <f t="shared" si="219"/>
        <v>0</v>
      </c>
      <c r="IC80" s="138">
        <f t="shared" si="220"/>
        <v>0</v>
      </c>
      <c r="ID80" s="216">
        <f t="shared" si="221"/>
        <v>1.5748031496062995E-2</v>
      </c>
      <c r="IE80" s="138">
        <f t="shared" si="222"/>
        <v>0</v>
      </c>
      <c r="IF80" s="138">
        <f t="shared" si="223"/>
        <v>0</v>
      </c>
      <c r="IG80" s="238">
        <f t="shared" si="224"/>
        <v>0</v>
      </c>
      <c r="IH80" s="138">
        <f t="shared" si="225"/>
        <v>1.5748031496062995E-2</v>
      </c>
      <c r="II80" s="138">
        <f t="shared" si="226"/>
        <v>0</v>
      </c>
      <c r="IJ80" s="138">
        <f t="shared" si="227"/>
        <v>0</v>
      </c>
      <c r="IK80" s="138">
        <f t="shared" si="228"/>
        <v>0</v>
      </c>
      <c r="IL80" s="216">
        <f t="shared" si="229"/>
        <v>1.5748031496062995E-2</v>
      </c>
      <c r="IM80" s="138">
        <f t="shared" si="230"/>
        <v>0</v>
      </c>
      <c r="IN80" s="138">
        <f t="shared" si="231"/>
        <v>0</v>
      </c>
      <c r="IO80" s="238">
        <f t="shared" si="232"/>
        <v>0</v>
      </c>
      <c r="IP80" s="138">
        <f t="shared" si="233"/>
        <v>1.5748031496062995E-2</v>
      </c>
      <c r="IQ80" s="138">
        <f t="shared" si="234"/>
        <v>0</v>
      </c>
      <c r="IR80" s="138">
        <f t="shared" si="235"/>
        <v>0</v>
      </c>
      <c r="IS80" s="138">
        <f t="shared" si="236"/>
        <v>0</v>
      </c>
      <c r="IT80" s="17">
        <f t="shared" si="237"/>
        <v>0.5</v>
      </c>
      <c r="IU80" s="17">
        <f t="shared" si="238"/>
        <v>1.5748031496062995E-2</v>
      </c>
      <c r="IV80" s="17">
        <f t="shared" si="239"/>
        <v>1.5748031496062995E-2</v>
      </c>
      <c r="IW80" s="253">
        <f t="shared" si="240"/>
        <v>28.37598516000001</v>
      </c>
      <c r="IX80" s="116">
        <f t="shared" si="241"/>
        <v>2696.5026497165609</v>
      </c>
      <c r="IY80" s="8">
        <f t="shared" si="242"/>
        <v>6.9718866341490521E-2</v>
      </c>
      <c r="IZ80" s="8">
        <f t="shared" si="243"/>
        <v>6.9718866341490521E-2</v>
      </c>
      <c r="JA80" s="8">
        <f t="shared" si="244"/>
        <v>3.485943317074526E-2</v>
      </c>
      <c r="JB80" s="134">
        <f t="shared" si="245"/>
        <v>0.18670681072404741</v>
      </c>
      <c r="JC80" s="170">
        <f>MAX(JA$80:JA$89)</f>
        <v>3.485943317074526E-2</v>
      </c>
      <c r="JD80" s="272">
        <f>MAX(JB$80:JB$89)</f>
        <v>0.18670681072404741</v>
      </c>
      <c r="JE80" s="8"/>
      <c r="JF80" s="8"/>
    </row>
    <row r="81" spans="1:266" x14ac:dyDescent="0.25">
      <c r="A81" s="186">
        <v>21</v>
      </c>
      <c r="B81" s="187">
        <f>A81/100*'Inputs-Imperial'!$E$5</f>
        <v>5.0570867759999993</v>
      </c>
      <c r="C81" s="188">
        <f>'Inputs-Imperial'!$E$10+('Inputs-Imperial'!$E$9-'Inputs-Imperial'!$E$10)*(100-A81)/100</f>
        <v>4.7115323030000003</v>
      </c>
      <c r="D81" s="187">
        <f t="shared" si="248"/>
        <v>0.24081365599999938</v>
      </c>
      <c r="E81" s="188">
        <f t="shared" si="249"/>
        <v>1.1367443870388743</v>
      </c>
      <c r="F81" s="423">
        <f>Loads!P41</f>
        <v>722.89592355011621</v>
      </c>
      <c r="G81" s="423">
        <f>Loads!M41</f>
        <v>7228.9592355011619</v>
      </c>
      <c r="H81" s="423">
        <f>Loads!N41</f>
        <v>61994.710605606633</v>
      </c>
      <c r="I81" s="423">
        <f>Loads!V41</f>
        <v>-16271.002056400292</v>
      </c>
      <c r="J81" s="423">
        <f>Loads!Q41</f>
        <v>6199.471060560666</v>
      </c>
      <c r="K81" s="2">
        <v>21</v>
      </c>
      <c r="L81" s="12">
        <f t="shared" si="41"/>
        <v>60.685041311999996</v>
      </c>
      <c r="M81" s="11">
        <f t="shared" si="42"/>
        <v>56.538387636000003</v>
      </c>
      <c r="N81" s="11">
        <f t="shared" si="43"/>
        <v>2.8897638719999925</v>
      </c>
      <c r="O81" s="152">
        <f t="shared" si="44"/>
        <v>163.69119173359792</v>
      </c>
      <c r="P81" s="151">
        <f t="shared" si="45"/>
        <v>722.89592355011621</v>
      </c>
      <c r="Q81" s="12">
        <f t="shared" si="46"/>
        <v>7228.9592355011619</v>
      </c>
      <c r="R81" s="12">
        <f t="shared" si="47"/>
        <v>743936.52726727957</v>
      </c>
      <c r="S81" s="12">
        <f t="shared" si="48"/>
        <v>-195252.0246768035</v>
      </c>
      <c r="T81" s="152">
        <f t="shared" si="49"/>
        <v>74393.652726727989</v>
      </c>
      <c r="U81" s="8">
        <f t="shared" si="0"/>
        <v>10.17690977448</v>
      </c>
      <c r="V81" s="8">
        <f t="shared" si="1"/>
        <v>10.17690977448</v>
      </c>
      <c r="W81" s="134">
        <f t="shared" si="2"/>
        <v>5.0884548872400002</v>
      </c>
      <c r="X81" s="311">
        <f t="shared" si="3"/>
        <v>14.134596909000001</v>
      </c>
      <c r="Y81" s="11">
        <f t="shared" si="4"/>
        <v>42.403790727000001</v>
      </c>
      <c r="Z81" s="11">
        <f t="shared" si="5"/>
        <v>28.269193817999998</v>
      </c>
      <c r="AA81" s="316">
        <f t="shared" si="50"/>
        <v>42.403790727000001</v>
      </c>
      <c r="AB81" s="170">
        <f t="shared" si="51"/>
        <v>7.6326823308599998</v>
      </c>
      <c r="AC81" s="11">
        <f t="shared" si="52"/>
        <v>42.403790727000001</v>
      </c>
      <c r="AD81" s="152">
        <f t="shared" si="53"/>
        <v>254.19777887182971</v>
      </c>
      <c r="AE81" s="151">
        <f t="shared" si="6"/>
        <v>17.047908009078601</v>
      </c>
      <c r="AF81" s="12">
        <f t="shared" si="54"/>
        <v>384.05533192178768</v>
      </c>
      <c r="AG81" s="216">
        <f t="shared" si="7"/>
        <v>2.627861415315284E-2</v>
      </c>
      <c r="AH81" s="2">
        <f t="shared" si="55"/>
        <v>4</v>
      </c>
      <c r="AI81" s="2">
        <f t="shared" si="56"/>
        <v>3</v>
      </c>
      <c r="AJ81" s="127">
        <f t="shared" si="57"/>
        <v>2</v>
      </c>
      <c r="AK81" s="2">
        <f t="shared" si="58"/>
        <v>1.5748031496062995E-2</v>
      </c>
      <c r="AL81" s="8">
        <f t="shared" si="8"/>
        <v>0.27655044880022217</v>
      </c>
      <c r="AM81" s="138">
        <f t="shared" si="59"/>
        <v>0.5</v>
      </c>
      <c r="AN81" s="12">
        <f t="shared" si="9"/>
        <v>22923.050162049003</v>
      </c>
      <c r="AO81" s="138">
        <f t="shared" si="60"/>
        <v>0.5</v>
      </c>
      <c r="AP81" s="116">
        <f t="shared" si="61"/>
        <v>2175570</v>
      </c>
      <c r="AQ81" s="2">
        <f t="shared" si="62"/>
        <v>1.5748031496062995E-2</v>
      </c>
      <c r="AR81" s="8">
        <f t="shared" si="63"/>
        <v>28.269193817999998</v>
      </c>
      <c r="AS81" s="116">
        <f t="shared" si="64"/>
        <v>2610.6840000000002</v>
      </c>
      <c r="AT81" s="217">
        <f t="shared" si="65"/>
        <v>4.0518926976770619E-2</v>
      </c>
      <c r="AU81" s="207">
        <f t="shared" si="66"/>
        <v>4.6383816098282349</v>
      </c>
      <c r="AV81" s="144">
        <f t="shared" si="67"/>
        <v>7789.1927952647238</v>
      </c>
      <c r="AW81" s="138">
        <f t="shared" si="68"/>
        <v>1.5</v>
      </c>
      <c r="AX81" s="116">
        <f t="shared" si="69"/>
        <v>2175570</v>
      </c>
      <c r="AY81" s="2">
        <f t="shared" si="70"/>
        <v>1.5748031496062995E-2</v>
      </c>
      <c r="AZ81" s="8">
        <f t="shared" si="71"/>
        <v>28.269193817999998</v>
      </c>
      <c r="BA81" s="116">
        <f t="shared" si="72"/>
        <v>2610.6840000000002</v>
      </c>
      <c r="BB81" s="217">
        <f t="shared" si="73"/>
        <v>0.12155678093031186</v>
      </c>
      <c r="BC81" s="207">
        <f t="shared" si="74"/>
        <v>3.6847754644321329</v>
      </c>
      <c r="BD81" s="144">
        <f t="shared" si="75"/>
        <v>55690.294638580337</v>
      </c>
      <c r="BE81" s="138">
        <f t="shared" si="76"/>
        <v>1.5</v>
      </c>
      <c r="BF81" s="116">
        <f t="shared" si="77"/>
        <v>2175570</v>
      </c>
      <c r="BG81" s="2">
        <f t="shared" si="78"/>
        <v>1.5748031496062995E-2</v>
      </c>
      <c r="BH81" s="8">
        <f t="shared" si="79"/>
        <v>28.269193817999998</v>
      </c>
      <c r="BI81" s="116">
        <f t="shared" si="80"/>
        <v>2610.6840000000002</v>
      </c>
      <c r="BJ81" s="217">
        <f t="shared" si="81"/>
        <v>0.12155678093031186</v>
      </c>
      <c r="BK81" s="207">
        <f t="shared" si="82"/>
        <v>3.6847754644321329</v>
      </c>
      <c r="BL81" s="144">
        <f t="shared" si="83"/>
        <v>55690.294638580337</v>
      </c>
      <c r="BM81" s="216">
        <f t="shared" si="84"/>
        <v>1.5</v>
      </c>
      <c r="BN81" s="216">
        <f t="shared" si="85"/>
        <v>2.3622047244094495E-2</v>
      </c>
      <c r="BO81" s="238">
        <f t="shared" si="86"/>
        <v>1.5748031496062995E-2</v>
      </c>
      <c r="BP81" s="216">
        <f t="shared" si="87"/>
        <v>1.5</v>
      </c>
      <c r="BQ81" s="138">
        <f t="shared" si="88"/>
        <v>0</v>
      </c>
      <c r="BR81" s="138">
        <f t="shared" si="89"/>
        <v>0</v>
      </c>
      <c r="BS81" s="238">
        <f t="shared" si="90"/>
        <v>0</v>
      </c>
      <c r="BT81" s="138">
        <f t="shared" si="91"/>
        <v>2</v>
      </c>
      <c r="BU81" s="138">
        <f t="shared" si="92"/>
        <v>0</v>
      </c>
      <c r="BV81" s="138">
        <f t="shared" si="93"/>
        <v>0</v>
      </c>
      <c r="BW81" s="238">
        <f t="shared" si="94"/>
        <v>0</v>
      </c>
      <c r="BX81" s="216">
        <f t="shared" si="95"/>
        <v>2.3622047244094495E-2</v>
      </c>
      <c r="BY81" s="138">
        <f t="shared" si="96"/>
        <v>0</v>
      </c>
      <c r="BZ81" s="138">
        <f t="shared" si="97"/>
        <v>0</v>
      </c>
      <c r="CA81" s="238">
        <f t="shared" si="98"/>
        <v>0</v>
      </c>
      <c r="CB81" s="138">
        <f t="shared" si="99"/>
        <v>2.3622047244094495E-2</v>
      </c>
      <c r="CC81" s="138">
        <f t="shared" si="100"/>
        <v>0</v>
      </c>
      <c r="CD81" s="138">
        <f t="shared" si="101"/>
        <v>0</v>
      </c>
      <c r="CE81" s="238">
        <f t="shared" si="102"/>
        <v>0</v>
      </c>
      <c r="CF81" s="216">
        <f t="shared" si="103"/>
        <v>1.5748031496062995E-2</v>
      </c>
      <c r="CG81" s="138">
        <f t="shared" si="104"/>
        <v>0</v>
      </c>
      <c r="CH81" s="138">
        <f t="shared" si="105"/>
        <v>0</v>
      </c>
      <c r="CI81" s="238">
        <f t="shared" si="106"/>
        <v>0</v>
      </c>
      <c r="CJ81" s="138">
        <f t="shared" si="107"/>
        <v>2.3622047244094495E-2</v>
      </c>
      <c r="CK81" s="138">
        <f t="shared" si="108"/>
        <v>0</v>
      </c>
      <c r="CL81" s="138">
        <f t="shared" si="109"/>
        <v>0</v>
      </c>
      <c r="CM81" s="238">
        <f t="shared" si="110"/>
        <v>0</v>
      </c>
      <c r="CN81" s="17">
        <f t="shared" si="111"/>
        <v>2</v>
      </c>
      <c r="CO81" s="17">
        <f t="shared" si="112"/>
        <v>2.3622047244094495E-2</v>
      </c>
      <c r="CP81" s="17">
        <f t="shared" si="113"/>
        <v>2.3622047244094495E-2</v>
      </c>
      <c r="CQ81" s="17">
        <f>$U81-IF('Inputs-Imperial'!$E$13,0,2)*($CO81+$CN81+$CP81)</f>
        <v>10.17690977448</v>
      </c>
      <c r="CR81" s="116">
        <f t="shared" si="114"/>
        <v>73100.434587010153</v>
      </c>
      <c r="CS81" s="8">
        <f t="shared" si="10"/>
        <v>1.8900331616630679</v>
      </c>
      <c r="CT81" s="8">
        <f t="shared" si="115"/>
        <v>1.3747847692141006</v>
      </c>
      <c r="CU81" s="8">
        <f t="shared" si="11"/>
        <v>1.8900331616630679</v>
      </c>
      <c r="CV81" s="8">
        <f t="shared" si="116"/>
        <v>1.3747847692141006</v>
      </c>
      <c r="CW81" s="216">
        <f t="shared" si="117"/>
        <v>8.8021250052658981</v>
      </c>
      <c r="CX81" s="116">
        <f t="shared" si="118"/>
        <v>84517.832548642211</v>
      </c>
      <c r="CY81" s="8">
        <f t="shared" si="119"/>
        <v>2.1852333323501996</v>
      </c>
      <c r="CZ81" s="8">
        <f t="shared" si="120"/>
        <v>1.478253473647263</v>
      </c>
      <c r="DA81" s="8">
        <f t="shared" si="121"/>
        <v>2.1852333323501996</v>
      </c>
      <c r="DB81" s="8">
        <f t="shared" si="122"/>
        <v>1.478253473647263</v>
      </c>
      <c r="DC81" s="216">
        <f t="shared" si="123"/>
        <v>8.6986563008327362</v>
      </c>
      <c r="DD81" s="116">
        <f t="shared" si="124"/>
        <v>85523.154558487542</v>
      </c>
      <c r="DE81" s="8">
        <f t="shared" si="125"/>
        <v>2.211226227570211</v>
      </c>
      <c r="DF81" s="8">
        <f t="shared" si="126"/>
        <v>1.4870192425016602</v>
      </c>
      <c r="DG81" s="8">
        <f t="shared" si="127"/>
        <v>2.211226227570211</v>
      </c>
      <c r="DH81" s="8">
        <f t="shared" si="128"/>
        <v>1.4870192425016602</v>
      </c>
      <c r="DI81" s="216">
        <f t="shared" si="129"/>
        <v>8.6898905319783406</v>
      </c>
      <c r="DJ81" s="116">
        <f t="shared" si="130"/>
        <v>85609.424483499795</v>
      </c>
      <c r="DK81" s="8">
        <f t="shared" si="131"/>
        <v>2.2134567617667384</v>
      </c>
      <c r="DL81" s="8">
        <f t="shared" si="132"/>
        <v>1.4877690552524403</v>
      </c>
      <c r="DM81" s="8">
        <f t="shared" si="133"/>
        <v>2.2134567617667384</v>
      </c>
      <c r="DN81" s="8">
        <f t="shared" si="134"/>
        <v>1.4877690552524403</v>
      </c>
      <c r="DO81" s="216">
        <f t="shared" ref="DO81:DO88" si="253">$CQ81-DL81/2-DN81/2</f>
        <v>8.6891407192275611</v>
      </c>
      <c r="DP81" s="116">
        <f t="shared" si="136"/>
        <v>85616.811984765896</v>
      </c>
      <c r="DQ81" s="170">
        <f t="shared" si="137"/>
        <v>2.2136477677772177</v>
      </c>
      <c r="DR81" s="8">
        <f t="shared" si="138"/>
        <v>1.4878332459577646</v>
      </c>
      <c r="DS81" s="8">
        <f t="shared" si="139"/>
        <v>2.2136477677772177</v>
      </c>
      <c r="DT81" s="134">
        <f t="shared" si="140"/>
        <v>1.4878332459577646</v>
      </c>
      <c r="DU81" s="170">
        <f t="shared" ref="DU81:DU89" si="254">MAX(DQ$80:DQ$89)</f>
        <v>2.271823534607841</v>
      </c>
      <c r="DV81" s="170">
        <f t="shared" ref="DV81:DX89" si="255">MAX(DR$80:DR$89)</f>
        <v>1.5072569570606869</v>
      </c>
      <c r="DW81" s="170">
        <f t="shared" si="255"/>
        <v>2.271823534607841</v>
      </c>
      <c r="DX81" s="272">
        <f t="shared" si="255"/>
        <v>1.5072569570606869</v>
      </c>
      <c r="DY81" s="272">
        <f t="shared" si="142"/>
        <v>7.1623958603586271</v>
      </c>
      <c r="DZ81" s="22">
        <f t="shared" si="12"/>
        <v>710.32950037827504</v>
      </c>
      <c r="EA81" s="216">
        <f t="shared" si="13"/>
        <v>4.653783117099692E-2</v>
      </c>
      <c r="EB81" s="12">
        <f t="shared" si="143"/>
        <v>6</v>
      </c>
      <c r="EC81" s="7">
        <f>ROUND(MAX(DV81,DX81)/'Inputs-Imperial'!$E$21,0)</f>
        <v>13</v>
      </c>
      <c r="ED81" s="12">
        <f t="shared" si="144"/>
        <v>13</v>
      </c>
      <c r="EE81" s="2">
        <f t="shared" si="145"/>
        <v>7</v>
      </c>
      <c r="EF81" s="127">
        <f t="shared" si="146"/>
        <v>7</v>
      </c>
      <c r="EG81" s="2">
        <f t="shared" si="147"/>
        <v>5.5118110236220486E-2</v>
      </c>
      <c r="EH81" s="8">
        <f t="shared" si="14"/>
        <v>0.48975406471288557</v>
      </c>
      <c r="EI81" s="138">
        <f t="shared" si="148"/>
        <v>0.5</v>
      </c>
      <c r="EJ81" s="12">
        <f t="shared" si="15"/>
        <v>11598.665984748117</v>
      </c>
      <c r="EK81" s="138">
        <f t="shared" si="149"/>
        <v>0.5</v>
      </c>
      <c r="EL81" s="116">
        <f t="shared" si="150"/>
        <v>2175570</v>
      </c>
      <c r="EM81" s="2">
        <f t="shared" si="16"/>
        <v>5.5118110236220486E-2</v>
      </c>
      <c r="EN81" s="8">
        <f t="shared" si="151"/>
        <v>10.17690977448</v>
      </c>
      <c r="EO81" s="116">
        <f t="shared" si="152"/>
        <v>2610.6840000000002</v>
      </c>
      <c r="EP81" s="217">
        <f t="shared" si="153"/>
        <v>1.0942611452059963</v>
      </c>
      <c r="EQ81" s="207">
        <f t="shared" si="154"/>
        <v>2</v>
      </c>
      <c r="ER81" s="144">
        <f t="shared" si="155"/>
        <v>25914.985577042382</v>
      </c>
      <c r="ES81" s="138">
        <f t="shared" si="17"/>
        <v>0.5</v>
      </c>
      <c r="ET81" s="116">
        <f t="shared" si="156"/>
        <v>2175570</v>
      </c>
      <c r="EU81" s="2">
        <f t="shared" si="18"/>
        <v>5.5118110236220486E-2</v>
      </c>
      <c r="EV81" s="8">
        <f t="shared" si="157"/>
        <v>10.17690977448</v>
      </c>
      <c r="EW81" s="116">
        <f t="shared" si="158"/>
        <v>2610.6840000000002</v>
      </c>
      <c r="EX81" s="217">
        <f t="shared" si="159"/>
        <v>1.0942611452059963</v>
      </c>
      <c r="EY81" s="207">
        <f t="shared" si="160"/>
        <v>2</v>
      </c>
      <c r="EZ81" s="144">
        <f t="shared" si="161"/>
        <v>25914.985577042382</v>
      </c>
      <c r="FA81" s="138">
        <f t="shared" si="19"/>
        <v>0.5</v>
      </c>
      <c r="FB81" s="116">
        <f t="shared" si="162"/>
        <v>2175570</v>
      </c>
      <c r="FC81" s="2">
        <f t="shared" si="20"/>
        <v>5.5118110236220486E-2</v>
      </c>
      <c r="FD81" s="8">
        <f t="shared" si="163"/>
        <v>10.17690977448</v>
      </c>
      <c r="FE81" s="116">
        <f t="shared" si="164"/>
        <v>2610.6840000000002</v>
      </c>
      <c r="FF81" s="217">
        <f t="shared" si="165"/>
        <v>1.0942611452059963</v>
      </c>
      <c r="FG81" s="207">
        <f t="shared" si="166"/>
        <v>2</v>
      </c>
      <c r="FH81" s="144">
        <f t="shared" si="167"/>
        <v>25914.985577042382</v>
      </c>
      <c r="FI81" s="128">
        <f t="shared" si="168"/>
        <v>0.5</v>
      </c>
      <c r="FJ81" s="2">
        <f t="shared" si="169"/>
        <v>5.5118110236220486E-2</v>
      </c>
      <c r="FK81" s="127">
        <f t="shared" si="170"/>
        <v>5.5118110236220486E-2</v>
      </c>
      <c r="FL81" s="216">
        <f t="shared" si="171"/>
        <v>0.5</v>
      </c>
      <c r="FM81" s="138">
        <f t="shared" si="172"/>
        <v>0</v>
      </c>
      <c r="FN81" s="138">
        <f t="shared" si="173"/>
        <v>0</v>
      </c>
      <c r="FO81" s="238">
        <f t="shared" si="174"/>
        <v>0</v>
      </c>
      <c r="FP81" s="216">
        <f t="shared" si="21"/>
        <v>0.75</v>
      </c>
      <c r="FQ81" s="138">
        <f t="shared" si="22"/>
        <v>0</v>
      </c>
      <c r="FR81" s="138">
        <f t="shared" si="23"/>
        <v>0</v>
      </c>
      <c r="FS81" s="238">
        <f t="shared" si="24"/>
        <v>0</v>
      </c>
      <c r="FT81" s="216">
        <f t="shared" si="175"/>
        <v>5.5118110236220486E-2</v>
      </c>
      <c r="FU81" s="138">
        <f t="shared" si="176"/>
        <v>0</v>
      </c>
      <c r="FV81" s="138">
        <f t="shared" si="177"/>
        <v>0</v>
      </c>
      <c r="FW81" s="238">
        <f t="shared" si="178"/>
        <v>0</v>
      </c>
      <c r="FX81" s="216">
        <f t="shared" si="25"/>
        <v>6.2992125984251982E-2</v>
      </c>
      <c r="FY81" s="138">
        <f t="shared" si="26"/>
        <v>0</v>
      </c>
      <c r="FZ81" s="138">
        <f t="shared" si="27"/>
        <v>0</v>
      </c>
      <c r="GA81" s="238">
        <f t="shared" si="28"/>
        <v>0</v>
      </c>
      <c r="GB81" s="216">
        <f t="shared" si="179"/>
        <v>5.5118110236220486E-2</v>
      </c>
      <c r="GC81" s="138">
        <f t="shared" si="180"/>
        <v>0</v>
      </c>
      <c r="GD81" s="138">
        <f t="shared" si="181"/>
        <v>0</v>
      </c>
      <c r="GE81" s="238">
        <f t="shared" si="182"/>
        <v>0</v>
      </c>
      <c r="GF81" s="216">
        <f t="shared" si="29"/>
        <v>6.2992125984251982E-2</v>
      </c>
      <c r="GG81" s="138">
        <f t="shared" si="30"/>
        <v>0</v>
      </c>
      <c r="GH81" s="138">
        <f t="shared" si="31"/>
        <v>0</v>
      </c>
      <c r="GI81" s="238">
        <f t="shared" si="32"/>
        <v>0</v>
      </c>
      <c r="GJ81" s="216">
        <f t="shared" si="183"/>
        <v>0.75</v>
      </c>
      <c r="GK81" s="216">
        <f t="shared" si="184"/>
        <v>6.2992125984251982E-2</v>
      </c>
      <c r="GL81" s="17">
        <f t="shared" si="185"/>
        <v>6.2992125984251982E-2</v>
      </c>
      <c r="GM81" s="216">
        <f t="shared" si="186"/>
        <v>2.5161706205048914E-2</v>
      </c>
      <c r="GN81" s="2">
        <f t="shared" si="187"/>
        <v>4</v>
      </c>
      <c r="GO81" s="2">
        <f t="shared" si="188"/>
        <v>2</v>
      </c>
      <c r="GP81" s="142">
        <f t="shared" si="189"/>
        <v>2</v>
      </c>
      <c r="GQ81" s="2">
        <f t="shared" si="190"/>
        <v>1.5748031496062995E-2</v>
      </c>
      <c r="GR81" s="8">
        <f t="shared" si="33"/>
        <v>0.26479635124711293</v>
      </c>
      <c r="GS81" s="138">
        <f t="shared" si="191"/>
        <v>0.5</v>
      </c>
      <c r="GT81" s="12">
        <f t="shared" si="34"/>
        <v>21948.762219330161</v>
      </c>
      <c r="GU81" s="138">
        <f t="shared" si="192"/>
        <v>0.5</v>
      </c>
      <c r="GV81" s="116">
        <f t="shared" si="193"/>
        <v>2175570</v>
      </c>
      <c r="GW81" s="2">
        <f t="shared" si="35"/>
        <v>5.5118110236220486E-2</v>
      </c>
      <c r="GX81" s="8">
        <f t="shared" si="36"/>
        <v>5.0884548872400002</v>
      </c>
      <c r="GY81" s="116">
        <f t="shared" si="194"/>
        <v>2610.6840000000002</v>
      </c>
      <c r="GZ81" s="217">
        <f t="shared" si="195"/>
        <v>4.3770445808239851</v>
      </c>
      <c r="HA81" s="207">
        <f t="shared" si="196"/>
        <v>2</v>
      </c>
      <c r="HB81" s="144">
        <f t="shared" si="197"/>
        <v>103659.94230816953</v>
      </c>
      <c r="HC81" s="138">
        <f t="shared" si="37"/>
        <v>0.5</v>
      </c>
      <c r="HD81" s="116">
        <f t="shared" si="198"/>
        <v>2175570</v>
      </c>
      <c r="HE81" s="2">
        <f t="shared" si="38"/>
        <v>5.5118110236220486E-2</v>
      </c>
      <c r="HF81" s="8">
        <f t="shared" si="199"/>
        <v>5.0884548872400002</v>
      </c>
      <c r="HG81" s="116">
        <f t="shared" si="200"/>
        <v>2610.6840000000002</v>
      </c>
      <c r="HH81" s="217">
        <f t="shared" si="201"/>
        <v>4.3770445808239851</v>
      </c>
      <c r="HI81" s="207">
        <f t="shared" si="202"/>
        <v>2</v>
      </c>
      <c r="HJ81" s="144">
        <f t="shared" si="203"/>
        <v>103659.94230816953</v>
      </c>
      <c r="HK81" s="138">
        <f t="shared" si="39"/>
        <v>0.5</v>
      </c>
      <c r="HL81" s="116">
        <f t="shared" si="204"/>
        <v>2175570</v>
      </c>
      <c r="HM81" s="2">
        <f t="shared" si="40"/>
        <v>5.5118110236220486E-2</v>
      </c>
      <c r="HN81" s="8">
        <f t="shared" si="205"/>
        <v>5.0884548872400002</v>
      </c>
      <c r="HO81" s="116">
        <f t="shared" si="206"/>
        <v>2610.6840000000002</v>
      </c>
      <c r="HP81" s="217">
        <f t="shared" si="207"/>
        <v>4.3770445808239851</v>
      </c>
      <c r="HQ81" s="207">
        <f t="shared" si="208"/>
        <v>2</v>
      </c>
      <c r="HR81" s="144">
        <f t="shared" si="209"/>
        <v>103659.94230816953</v>
      </c>
      <c r="HS81" s="128">
        <f t="shared" si="210"/>
        <v>0.5</v>
      </c>
      <c r="HT81" s="2">
        <f t="shared" si="211"/>
        <v>1.5748031496062995E-2</v>
      </c>
      <c r="HU81" s="127">
        <f t="shared" si="212"/>
        <v>1.5748031496062995E-2</v>
      </c>
      <c r="HV81" s="216">
        <f t="shared" si="213"/>
        <v>0.5</v>
      </c>
      <c r="HW81" s="138">
        <f t="shared" si="214"/>
        <v>0</v>
      </c>
      <c r="HX81" s="138">
        <f t="shared" si="215"/>
        <v>0</v>
      </c>
      <c r="HY81" s="238">
        <f t="shared" si="216"/>
        <v>0</v>
      </c>
      <c r="HZ81" s="138">
        <f t="shared" si="217"/>
        <v>0.5</v>
      </c>
      <c r="IA81" s="138">
        <f t="shared" si="218"/>
        <v>0</v>
      </c>
      <c r="IB81" s="138">
        <f t="shared" si="219"/>
        <v>0</v>
      </c>
      <c r="IC81" s="138">
        <f t="shared" si="220"/>
        <v>0</v>
      </c>
      <c r="ID81" s="216">
        <f t="shared" si="221"/>
        <v>1.5748031496062995E-2</v>
      </c>
      <c r="IE81" s="138">
        <f t="shared" si="222"/>
        <v>0</v>
      </c>
      <c r="IF81" s="138">
        <f t="shared" si="223"/>
        <v>0</v>
      </c>
      <c r="IG81" s="238">
        <f t="shared" si="224"/>
        <v>0</v>
      </c>
      <c r="IH81" s="138">
        <f t="shared" si="225"/>
        <v>1.5748031496062995E-2</v>
      </c>
      <c r="II81" s="138">
        <f t="shared" si="226"/>
        <v>0</v>
      </c>
      <c r="IJ81" s="138">
        <f t="shared" si="227"/>
        <v>0</v>
      </c>
      <c r="IK81" s="138">
        <f t="shared" si="228"/>
        <v>0</v>
      </c>
      <c r="IL81" s="216">
        <f t="shared" si="229"/>
        <v>1.5748031496062995E-2</v>
      </c>
      <c r="IM81" s="138">
        <f t="shared" si="230"/>
        <v>0</v>
      </c>
      <c r="IN81" s="138">
        <f t="shared" si="231"/>
        <v>0</v>
      </c>
      <c r="IO81" s="238">
        <f t="shared" si="232"/>
        <v>0</v>
      </c>
      <c r="IP81" s="138">
        <f t="shared" si="233"/>
        <v>1.5748031496062995E-2</v>
      </c>
      <c r="IQ81" s="138">
        <f t="shared" si="234"/>
        <v>0</v>
      </c>
      <c r="IR81" s="138">
        <f t="shared" si="235"/>
        <v>0</v>
      </c>
      <c r="IS81" s="138">
        <f t="shared" si="236"/>
        <v>0</v>
      </c>
      <c r="IT81" s="17">
        <f t="shared" si="237"/>
        <v>0.5</v>
      </c>
      <c r="IU81" s="17">
        <f t="shared" si="238"/>
        <v>1.5748031496062995E-2</v>
      </c>
      <c r="IV81" s="17">
        <f t="shared" si="239"/>
        <v>1.5748031496062995E-2</v>
      </c>
      <c r="IW81" s="253">
        <f t="shared" si="240"/>
        <v>28.269193817999998</v>
      </c>
      <c r="IX81" s="116">
        <f t="shared" si="241"/>
        <v>2631.6156451323673</v>
      </c>
      <c r="IY81" s="8">
        <f t="shared" si="242"/>
        <v>6.8041193819870491E-2</v>
      </c>
      <c r="IZ81" s="8">
        <f t="shared" si="243"/>
        <v>6.8041193819870491E-2</v>
      </c>
      <c r="JA81" s="8">
        <f t="shared" si="244"/>
        <v>3.4020596909935245E-2</v>
      </c>
      <c r="JB81" s="134">
        <f t="shared" si="245"/>
        <v>0.18444673190364541</v>
      </c>
      <c r="JC81" s="170">
        <f t="shared" ref="JC81:JC89" si="256">MAX(JA$80:JA$89)</f>
        <v>3.485943317074526E-2</v>
      </c>
      <c r="JD81" s="272">
        <f t="shared" ref="JD81:JD89" si="257">MAX(JB$80:JB$89)</f>
        <v>0.18670681072404741</v>
      </c>
      <c r="JE81" s="8"/>
      <c r="JF81" s="8"/>
    </row>
    <row r="82" spans="1:266" x14ac:dyDescent="0.25">
      <c r="A82" s="186">
        <v>22</v>
      </c>
      <c r="B82" s="187">
        <f>A82/100*'Inputs-Imperial'!$E$5</f>
        <v>5.2979004319999996</v>
      </c>
      <c r="C82" s="188">
        <f>'Inputs-Imperial'!$E$10+('Inputs-Imperial'!$E$9-'Inputs-Imperial'!$E$10)*(100-A82)/100</f>
        <v>4.6937337460000004</v>
      </c>
      <c r="D82" s="187">
        <f t="shared" si="248"/>
        <v>0.24081365600000026</v>
      </c>
      <c r="E82" s="188">
        <f t="shared" si="249"/>
        <v>1.1324582514561841</v>
      </c>
      <c r="F82" s="423">
        <f>Loads!P42</f>
        <v>711.41746472337297</v>
      </c>
      <c r="G82" s="423">
        <f>Loads!M42</f>
        <v>7114.174647233729</v>
      </c>
      <c r="H82" s="423">
        <f>Loads!N42</f>
        <v>60253.878503030632</v>
      </c>
      <c r="I82" s="423">
        <f>Loads!V42</f>
        <v>-15958.356529336235</v>
      </c>
      <c r="J82" s="423">
        <f>Loads!Q42</f>
        <v>6025.3878503030655</v>
      </c>
      <c r="K82" s="2">
        <v>22</v>
      </c>
      <c r="L82" s="12">
        <f t="shared" si="41"/>
        <v>63.574805183999999</v>
      </c>
      <c r="M82" s="11">
        <f t="shared" si="42"/>
        <v>56.324804952000008</v>
      </c>
      <c r="N82" s="11">
        <f t="shared" si="43"/>
        <v>2.8897638720000032</v>
      </c>
      <c r="O82" s="152">
        <f t="shared" si="44"/>
        <v>163.0739882096905</v>
      </c>
      <c r="P82" s="151">
        <f t="shared" si="45"/>
        <v>711.41746472337297</v>
      </c>
      <c r="Q82" s="12">
        <f t="shared" si="46"/>
        <v>7114.174647233729</v>
      </c>
      <c r="R82" s="12">
        <f t="shared" si="47"/>
        <v>723046.54203636758</v>
      </c>
      <c r="S82" s="12">
        <f t="shared" si="48"/>
        <v>-191500.27835203483</v>
      </c>
      <c r="T82" s="152">
        <f t="shared" si="49"/>
        <v>72304.65420363679</v>
      </c>
      <c r="U82" s="8">
        <f t="shared" si="0"/>
        <v>10.138464891360002</v>
      </c>
      <c r="V82" s="8">
        <f t="shared" si="1"/>
        <v>10.138464891360002</v>
      </c>
      <c r="W82" s="134">
        <f t="shared" si="2"/>
        <v>5.0692324456800009</v>
      </c>
      <c r="X82" s="311">
        <f t="shared" si="3"/>
        <v>14.081201238000002</v>
      </c>
      <c r="Y82" s="11">
        <f t="shared" si="4"/>
        <v>42.243603714000002</v>
      </c>
      <c r="Z82" s="11">
        <f t="shared" si="5"/>
        <v>28.162402476</v>
      </c>
      <c r="AA82" s="316">
        <f t="shared" si="50"/>
        <v>42.243603714000002</v>
      </c>
      <c r="AB82" s="170">
        <f t="shared" si="51"/>
        <v>7.6038486685200013</v>
      </c>
      <c r="AC82" s="11">
        <f t="shared" si="52"/>
        <v>42.243603714000002</v>
      </c>
      <c r="AD82" s="152">
        <f t="shared" si="53"/>
        <v>252.28086198108062</v>
      </c>
      <c r="AE82" s="151">
        <f t="shared" si="6"/>
        <v>16.840832745706333</v>
      </c>
      <c r="AF82" s="12">
        <f t="shared" si="54"/>
        <v>379.5378627777086</v>
      </c>
      <c r="AG82" s="216">
        <f t="shared" si="7"/>
        <v>2.5969081675793024E-2</v>
      </c>
      <c r="AH82" s="2">
        <f t="shared" si="55"/>
        <v>4</v>
      </c>
      <c r="AI82" s="2">
        <f t="shared" si="56"/>
        <v>3</v>
      </c>
      <c r="AJ82" s="127">
        <f t="shared" si="57"/>
        <v>2</v>
      </c>
      <c r="AK82" s="2">
        <f t="shared" si="58"/>
        <v>1.5748031496062995E-2</v>
      </c>
      <c r="AL82" s="8">
        <f t="shared" si="8"/>
        <v>0.27329299598961299</v>
      </c>
      <c r="AM82" s="138">
        <f t="shared" si="59"/>
        <v>0.5</v>
      </c>
      <c r="AN82" s="12">
        <f t="shared" si="9"/>
        <v>22653.04244916316</v>
      </c>
      <c r="AO82" s="138">
        <f t="shared" si="60"/>
        <v>0.5</v>
      </c>
      <c r="AP82" s="116">
        <f t="shared" si="61"/>
        <v>2175570</v>
      </c>
      <c r="AQ82" s="2">
        <f t="shared" si="62"/>
        <v>1.5748031496062995E-2</v>
      </c>
      <c r="AR82" s="8">
        <f t="shared" si="63"/>
        <v>28.162402476</v>
      </c>
      <c r="AS82" s="116">
        <f t="shared" si="64"/>
        <v>2610.6840000000002</v>
      </c>
      <c r="AT82" s="217">
        <f t="shared" si="65"/>
        <v>4.0826803741210352E-2</v>
      </c>
      <c r="AU82" s="207">
        <f t="shared" si="66"/>
        <v>4.6338833568677273</v>
      </c>
      <c r="AV82" s="144">
        <f t="shared" si="67"/>
        <v>7840.766492253304</v>
      </c>
      <c r="AW82" s="138">
        <f t="shared" si="68"/>
        <v>1.5</v>
      </c>
      <c r="AX82" s="116">
        <f t="shared" si="69"/>
        <v>2175570</v>
      </c>
      <c r="AY82" s="2">
        <f t="shared" si="70"/>
        <v>1.5748031496062995E-2</v>
      </c>
      <c r="AZ82" s="8">
        <f t="shared" si="71"/>
        <v>28.162402476</v>
      </c>
      <c r="BA82" s="116">
        <f t="shared" si="72"/>
        <v>2610.6840000000002</v>
      </c>
      <c r="BB82" s="217">
        <f t="shared" si="73"/>
        <v>0.12248041122363106</v>
      </c>
      <c r="BC82" s="207">
        <f t="shared" si="74"/>
        <v>3.6762575803812623</v>
      </c>
      <c r="BD82" s="144">
        <f t="shared" si="75"/>
        <v>55983.734440321954</v>
      </c>
      <c r="BE82" s="138">
        <f t="shared" si="76"/>
        <v>1.5</v>
      </c>
      <c r="BF82" s="116">
        <f t="shared" si="77"/>
        <v>2175570</v>
      </c>
      <c r="BG82" s="2">
        <f t="shared" si="78"/>
        <v>1.5748031496062995E-2</v>
      </c>
      <c r="BH82" s="8">
        <f t="shared" si="79"/>
        <v>28.162402476</v>
      </c>
      <c r="BI82" s="116">
        <f t="shared" si="80"/>
        <v>2610.6840000000002</v>
      </c>
      <c r="BJ82" s="217">
        <f t="shared" si="81"/>
        <v>0.12248041122363106</v>
      </c>
      <c r="BK82" s="207">
        <f t="shared" si="82"/>
        <v>3.6762575803812623</v>
      </c>
      <c r="BL82" s="144">
        <f t="shared" si="83"/>
        <v>55983.734440321954</v>
      </c>
      <c r="BM82" s="216">
        <f t="shared" si="84"/>
        <v>1.5</v>
      </c>
      <c r="BN82" s="216">
        <f t="shared" si="85"/>
        <v>2.3622047244094495E-2</v>
      </c>
      <c r="BO82" s="238">
        <f t="shared" si="86"/>
        <v>1.5748031496062995E-2</v>
      </c>
      <c r="BP82" s="216">
        <f t="shared" si="87"/>
        <v>1.5</v>
      </c>
      <c r="BQ82" s="138">
        <f t="shared" si="88"/>
        <v>0</v>
      </c>
      <c r="BR82" s="138">
        <f t="shared" si="89"/>
        <v>0</v>
      </c>
      <c r="BS82" s="238">
        <f t="shared" si="90"/>
        <v>0</v>
      </c>
      <c r="BT82" s="138">
        <f t="shared" si="91"/>
        <v>2</v>
      </c>
      <c r="BU82" s="138">
        <f t="shared" si="92"/>
        <v>0</v>
      </c>
      <c r="BV82" s="138">
        <f t="shared" si="93"/>
        <v>0</v>
      </c>
      <c r="BW82" s="238">
        <f t="shared" si="94"/>
        <v>0</v>
      </c>
      <c r="BX82" s="216">
        <f t="shared" si="95"/>
        <v>2.3622047244094495E-2</v>
      </c>
      <c r="BY82" s="138">
        <f t="shared" si="96"/>
        <v>0</v>
      </c>
      <c r="BZ82" s="138">
        <f t="shared" si="97"/>
        <v>0</v>
      </c>
      <c r="CA82" s="238">
        <f t="shared" si="98"/>
        <v>0</v>
      </c>
      <c r="CB82" s="138">
        <f t="shared" si="99"/>
        <v>2.3622047244094495E-2</v>
      </c>
      <c r="CC82" s="138">
        <f t="shared" si="100"/>
        <v>0</v>
      </c>
      <c r="CD82" s="138">
        <f t="shared" si="101"/>
        <v>0</v>
      </c>
      <c r="CE82" s="238">
        <f t="shared" si="102"/>
        <v>0</v>
      </c>
      <c r="CF82" s="216">
        <f t="shared" si="103"/>
        <v>1.5748031496062995E-2</v>
      </c>
      <c r="CG82" s="138">
        <f t="shared" si="104"/>
        <v>0</v>
      </c>
      <c r="CH82" s="138">
        <f t="shared" si="105"/>
        <v>0</v>
      </c>
      <c r="CI82" s="238">
        <f t="shared" si="106"/>
        <v>0</v>
      </c>
      <c r="CJ82" s="138">
        <f t="shared" si="107"/>
        <v>2.3622047244094495E-2</v>
      </c>
      <c r="CK82" s="138">
        <f t="shared" si="108"/>
        <v>0</v>
      </c>
      <c r="CL82" s="138">
        <f t="shared" si="109"/>
        <v>0</v>
      </c>
      <c r="CM82" s="238">
        <f t="shared" si="110"/>
        <v>0</v>
      </c>
      <c r="CN82" s="17">
        <f t="shared" si="111"/>
        <v>2</v>
      </c>
      <c r="CO82" s="17">
        <f t="shared" si="112"/>
        <v>2.3622047244094495E-2</v>
      </c>
      <c r="CP82" s="17">
        <f t="shared" si="113"/>
        <v>2.3622047244094495E-2</v>
      </c>
      <c r="CQ82" s="17">
        <f>$U82-IF('Inputs-Imperial'!$E$13,0,2)*($CO82+$CN82+$CP82)</f>
        <v>10.138464891360002</v>
      </c>
      <c r="CR82" s="116">
        <f t="shared" si="114"/>
        <v>71317.161896230245</v>
      </c>
      <c r="CS82" s="8">
        <f t="shared" si="10"/>
        <v>1.8439261235735698</v>
      </c>
      <c r="CT82" s="8">
        <f t="shared" si="115"/>
        <v>1.3579124138078897</v>
      </c>
      <c r="CU82" s="8">
        <f t="shared" si="11"/>
        <v>1.8439261235735698</v>
      </c>
      <c r="CV82" s="8">
        <f t="shared" si="116"/>
        <v>1.3579124138078897</v>
      </c>
      <c r="CW82" s="216">
        <f t="shared" si="117"/>
        <v>8.7805524775521135</v>
      </c>
      <c r="CX82" s="116">
        <f t="shared" si="118"/>
        <v>82346.36076543809</v>
      </c>
      <c r="CY82" s="8">
        <f t="shared" si="119"/>
        <v>2.1290892929466265</v>
      </c>
      <c r="CZ82" s="8">
        <f t="shared" si="120"/>
        <v>1.4591399154798783</v>
      </c>
      <c r="DA82" s="8">
        <f t="shared" si="121"/>
        <v>2.1290892929466265</v>
      </c>
      <c r="DB82" s="8">
        <f t="shared" si="122"/>
        <v>1.4591399154798783</v>
      </c>
      <c r="DC82" s="216">
        <f t="shared" si="123"/>
        <v>8.6793249758801245</v>
      </c>
      <c r="DD82" s="116">
        <f t="shared" si="124"/>
        <v>83306.771441986159</v>
      </c>
      <c r="DE82" s="8">
        <f t="shared" si="125"/>
        <v>2.1539209924809226</v>
      </c>
      <c r="DF82" s="8">
        <f t="shared" si="126"/>
        <v>1.4676242681561662</v>
      </c>
      <c r="DG82" s="8">
        <f t="shared" si="127"/>
        <v>2.1539209924809226</v>
      </c>
      <c r="DH82" s="8">
        <f t="shared" si="128"/>
        <v>1.4676242681561662</v>
      </c>
      <c r="DI82" s="216">
        <f t="shared" si="129"/>
        <v>8.6708406232038371</v>
      </c>
      <c r="DJ82" s="116">
        <f t="shared" si="130"/>
        <v>83388.286494557324</v>
      </c>
      <c r="DK82" s="8">
        <f t="shared" si="131"/>
        <v>2.1560285880568535</v>
      </c>
      <c r="DL82" s="8">
        <f t="shared" si="132"/>
        <v>1.4683421222783379</v>
      </c>
      <c r="DM82" s="8">
        <f t="shared" si="133"/>
        <v>2.1560285880568535</v>
      </c>
      <c r="DN82" s="8">
        <f t="shared" si="134"/>
        <v>1.4683421222783379</v>
      </c>
      <c r="DO82" s="216">
        <f t="shared" si="253"/>
        <v>8.6701227690816651</v>
      </c>
      <c r="DP82" s="116">
        <f t="shared" si="136"/>
        <v>83395.19073649199</v>
      </c>
      <c r="DQ82" s="170">
        <f t="shared" si="137"/>
        <v>2.1562070992556772</v>
      </c>
      <c r="DR82" s="8">
        <f t="shared" si="138"/>
        <v>1.4684029076706697</v>
      </c>
      <c r="DS82" s="8">
        <f t="shared" si="139"/>
        <v>2.1562070992556772</v>
      </c>
      <c r="DT82" s="134">
        <f t="shared" si="140"/>
        <v>1.4684029076706697</v>
      </c>
      <c r="DU82" s="170">
        <f t="shared" si="254"/>
        <v>2.271823534607841</v>
      </c>
      <c r="DV82" s="170">
        <f t="shared" si="255"/>
        <v>1.5072569570606869</v>
      </c>
      <c r="DW82" s="170">
        <f t="shared" si="255"/>
        <v>2.271823534607841</v>
      </c>
      <c r="DX82" s="272">
        <f t="shared" si="255"/>
        <v>1.5072569570606869</v>
      </c>
      <c r="DY82" s="272">
        <f t="shared" si="142"/>
        <v>7.1239509772386285</v>
      </c>
      <c r="DZ82" s="22">
        <f t="shared" si="12"/>
        <v>701.70136440443048</v>
      </c>
      <c r="EA82" s="216">
        <f t="shared" si="13"/>
        <v>4.5972551628112451E-2</v>
      </c>
      <c r="EB82" s="12">
        <f t="shared" si="143"/>
        <v>6</v>
      </c>
      <c r="EC82" s="7">
        <f>ROUND(MAX(DV82,DX82)/'Inputs-Imperial'!$E$21,0)</f>
        <v>13</v>
      </c>
      <c r="ED82" s="12">
        <f t="shared" si="144"/>
        <v>13</v>
      </c>
      <c r="EE82" s="2">
        <f t="shared" si="145"/>
        <v>7</v>
      </c>
      <c r="EF82" s="127">
        <f t="shared" si="146"/>
        <v>7</v>
      </c>
      <c r="EG82" s="2">
        <f t="shared" si="147"/>
        <v>5.5118110236220486E-2</v>
      </c>
      <c r="EH82" s="8">
        <f t="shared" si="14"/>
        <v>0.48380518512695325</v>
      </c>
      <c r="EI82" s="138">
        <f t="shared" si="148"/>
        <v>0.5</v>
      </c>
      <c r="EJ82" s="12">
        <f t="shared" si="15"/>
        <v>11457.78085020377</v>
      </c>
      <c r="EK82" s="138">
        <f t="shared" si="149"/>
        <v>0.5</v>
      </c>
      <c r="EL82" s="116">
        <f t="shared" si="150"/>
        <v>2175570</v>
      </c>
      <c r="EM82" s="2">
        <f t="shared" si="16"/>
        <v>5.5118110236220486E-2</v>
      </c>
      <c r="EN82" s="8">
        <f t="shared" si="151"/>
        <v>10.138464891360002</v>
      </c>
      <c r="EO82" s="116">
        <f t="shared" si="152"/>
        <v>2610.6840000000002</v>
      </c>
      <c r="EP82" s="217">
        <f t="shared" si="153"/>
        <v>1.1025757183197233</v>
      </c>
      <c r="EQ82" s="207">
        <f t="shared" si="154"/>
        <v>2</v>
      </c>
      <c r="ER82" s="144">
        <f t="shared" si="155"/>
        <v>26111.896564209834</v>
      </c>
      <c r="ES82" s="138">
        <f t="shared" si="17"/>
        <v>0.5</v>
      </c>
      <c r="ET82" s="116">
        <f t="shared" si="156"/>
        <v>2175570</v>
      </c>
      <c r="EU82" s="2">
        <f t="shared" si="18"/>
        <v>5.5118110236220486E-2</v>
      </c>
      <c r="EV82" s="8">
        <f t="shared" si="157"/>
        <v>10.138464891360002</v>
      </c>
      <c r="EW82" s="116">
        <f t="shared" si="158"/>
        <v>2610.6840000000002</v>
      </c>
      <c r="EX82" s="217">
        <f t="shared" si="159"/>
        <v>1.1025757183197233</v>
      </c>
      <c r="EY82" s="207">
        <f t="shared" si="160"/>
        <v>2</v>
      </c>
      <c r="EZ82" s="144">
        <f t="shared" si="161"/>
        <v>26111.896564209834</v>
      </c>
      <c r="FA82" s="138">
        <f t="shared" si="19"/>
        <v>0.5</v>
      </c>
      <c r="FB82" s="116">
        <f t="shared" si="162"/>
        <v>2175570</v>
      </c>
      <c r="FC82" s="2">
        <f t="shared" si="20"/>
        <v>5.5118110236220486E-2</v>
      </c>
      <c r="FD82" s="8">
        <f t="shared" si="163"/>
        <v>10.138464891360002</v>
      </c>
      <c r="FE82" s="116">
        <f t="shared" si="164"/>
        <v>2610.6840000000002</v>
      </c>
      <c r="FF82" s="217">
        <f t="shared" si="165"/>
        <v>1.1025757183197233</v>
      </c>
      <c r="FG82" s="207">
        <f t="shared" si="166"/>
        <v>2</v>
      </c>
      <c r="FH82" s="144">
        <f t="shared" si="167"/>
        <v>26111.896564209834</v>
      </c>
      <c r="FI82" s="128">
        <f t="shared" si="168"/>
        <v>0.5</v>
      </c>
      <c r="FJ82" s="2">
        <f t="shared" si="169"/>
        <v>5.5118110236220486E-2</v>
      </c>
      <c r="FK82" s="127">
        <f t="shared" si="170"/>
        <v>5.5118110236220486E-2</v>
      </c>
      <c r="FL82" s="216">
        <f t="shared" si="171"/>
        <v>0.5</v>
      </c>
      <c r="FM82" s="138">
        <f t="shared" si="172"/>
        <v>0</v>
      </c>
      <c r="FN82" s="138">
        <f t="shared" si="173"/>
        <v>0</v>
      </c>
      <c r="FO82" s="238">
        <f t="shared" si="174"/>
        <v>0</v>
      </c>
      <c r="FP82" s="216">
        <f t="shared" si="21"/>
        <v>0.75</v>
      </c>
      <c r="FQ82" s="138">
        <f t="shared" si="22"/>
        <v>0</v>
      </c>
      <c r="FR82" s="138">
        <f t="shared" si="23"/>
        <v>0</v>
      </c>
      <c r="FS82" s="238">
        <f t="shared" si="24"/>
        <v>0</v>
      </c>
      <c r="FT82" s="216">
        <f t="shared" si="175"/>
        <v>5.5118110236220486E-2</v>
      </c>
      <c r="FU82" s="138">
        <f t="shared" si="176"/>
        <v>0</v>
      </c>
      <c r="FV82" s="138">
        <f t="shared" si="177"/>
        <v>0</v>
      </c>
      <c r="FW82" s="238">
        <f t="shared" si="178"/>
        <v>0</v>
      </c>
      <c r="FX82" s="216">
        <f t="shared" si="25"/>
        <v>6.2992125984251982E-2</v>
      </c>
      <c r="FY82" s="138">
        <f t="shared" si="26"/>
        <v>0</v>
      </c>
      <c r="FZ82" s="138">
        <f t="shared" si="27"/>
        <v>0</v>
      </c>
      <c r="GA82" s="238">
        <f t="shared" si="28"/>
        <v>0</v>
      </c>
      <c r="GB82" s="216">
        <f t="shared" si="179"/>
        <v>5.5118110236220486E-2</v>
      </c>
      <c r="GC82" s="138">
        <f t="shared" si="180"/>
        <v>0</v>
      </c>
      <c r="GD82" s="138">
        <f t="shared" si="181"/>
        <v>0</v>
      </c>
      <c r="GE82" s="238">
        <f t="shared" si="182"/>
        <v>0</v>
      </c>
      <c r="GF82" s="216">
        <f t="shared" si="29"/>
        <v>6.2992125984251982E-2</v>
      </c>
      <c r="GG82" s="138">
        <f t="shared" si="30"/>
        <v>0</v>
      </c>
      <c r="GH82" s="138">
        <f t="shared" si="31"/>
        <v>0</v>
      </c>
      <c r="GI82" s="238">
        <f t="shared" si="32"/>
        <v>0</v>
      </c>
      <c r="GJ82" s="216">
        <f t="shared" si="183"/>
        <v>0.75</v>
      </c>
      <c r="GK82" s="216">
        <f t="shared" si="184"/>
        <v>6.2992125984251982E-2</v>
      </c>
      <c r="GL82" s="17">
        <f t="shared" si="185"/>
        <v>6.2992125984251982E-2</v>
      </c>
      <c r="GM82" s="216">
        <f t="shared" si="186"/>
        <v>2.4865740436718325E-2</v>
      </c>
      <c r="GN82" s="2">
        <f t="shared" si="187"/>
        <v>4</v>
      </c>
      <c r="GO82" s="2">
        <f t="shared" si="188"/>
        <v>2</v>
      </c>
      <c r="GP82" s="142">
        <f t="shared" si="189"/>
        <v>2</v>
      </c>
      <c r="GQ82" s="2">
        <f t="shared" si="190"/>
        <v>1.5748031496062995E-2</v>
      </c>
      <c r="GR82" s="8">
        <f t="shared" si="33"/>
        <v>0.26168167154656613</v>
      </c>
      <c r="GS82" s="138">
        <f t="shared" si="191"/>
        <v>0.5</v>
      </c>
      <c r="GT82" s="12">
        <f t="shared" si="34"/>
        <v>21690.588857746043</v>
      </c>
      <c r="GU82" s="138">
        <f t="shared" si="192"/>
        <v>0.5</v>
      </c>
      <c r="GV82" s="116">
        <f t="shared" si="193"/>
        <v>2175570</v>
      </c>
      <c r="GW82" s="2">
        <f t="shared" si="35"/>
        <v>5.5118110236220486E-2</v>
      </c>
      <c r="GX82" s="8">
        <f t="shared" si="36"/>
        <v>5.0692324456800009</v>
      </c>
      <c r="GY82" s="116">
        <f t="shared" si="194"/>
        <v>2610.6840000000002</v>
      </c>
      <c r="GZ82" s="217">
        <f t="shared" si="195"/>
        <v>4.4103028732788934</v>
      </c>
      <c r="HA82" s="207">
        <f t="shared" si="196"/>
        <v>2</v>
      </c>
      <c r="HB82" s="144">
        <f t="shared" si="197"/>
        <v>104447.58625683933</v>
      </c>
      <c r="HC82" s="138">
        <f t="shared" si="37"/>
        <v>0.5</v>
      </c>
      <c r="HD82" s="116">
        <f t="shared" si="198"/>
        <v>2175570</v>
      </c>
      <c r="HE82" s="2">
        <f t="shared" si="38"/>
        <v>5.5118110236220486E-2</v>
      </c>
      <c r="HF82" s="8">
        <f t="shared" si="199"/>
        <v>5.0692324456800009</v>
      </c>
      <c r="HG82" s="116">
        <f t="shared" si="200"/>
        <v>2610.6840000000002</v>
      </c>
      <c r="HH82" s="217">
        <f t="shared" si="201"/>
        <v>4.4103028732788934</v>
      </c>
      <c r="HI82" s="207">
        <f t="shared" si="202"/>
        <v>2</v>
      </c>
      <c r="HJ82" s="144">
        <f t="shared" si="203"/>
        <v>104447.58625683933</v>
      </c>
      <c r="HK82" s="138">
        <f t="shared" si="39"/>
        <v>0.5</v>
      </c>
      <c r="HL82" s="116">
        <f t="shared" si="204"/>
        <v>2175570</v>
      </c>
      <c r="HM82" s="2">
        <f t="shared" si="40"/>
        <v>5.5118110236220486E-2</v>
      </c>
      <c r="HN82" s="8">
        <f t="shared" si="205"/>
        <v>5.0692324456800009</v>
      </c>
      <c r="HO82" s="116">
        <f t="shared" si="206"/>
        <v>2610.6840000000002</v>
      </c>
      <c r="HP82" s="217">
        <f t="shared" si="207"/>
        <v>4.4103028732788934</v>
      </c>
      <c r="HQ82" s="207">
        <f t="shared" si="208"/>
        <v>2</v>
      </c>
      <c r="HR82" s="144">
        <f t="shared" si="209"/>
        <v>104447.58625683933</v>
      </c>
      <c r="HS82" s="128">
        <f t="shared" si="210"/>
        <v>0.5</v>
      </c>
      <c r="HT82" s="2">
        <f t="shared" si="211"/>
        <v>1.5748031496062995E-2</v>
      </c>
      <c r="HU82" s="127">
        <f t="shared" si="212"/>
        <v>1.5748031496062995E-2</v>
      </c>
      <c r="HV82" s="216">
        <f t="shared" si="213"/>
        <v>0.5</v>
      </c>
      <c r="HW82" s="138">
        <f t="shared" si="214"/>
        <v>0</v>
      </c>
      <c r="HX82" s="138">
        <f t="shared" si="215"/>
        <v>0</v>
      </c>
      <c r="HY82" s="238">
        <f t="shared" si="216"/>
        <v>0</v>
      </c>
      <c r="HZ82" s="138">
        <f t="shared" si="217"/>
        <v>0.5</v>
      </c>
      <c r="IA82" s="138">
        <f t="shared" si="218"/>
        <v>0</v>
      </c>
      <c r="IB82" s="138">
        <f t="shared" si="219"/>
        <v>0</v>
      </c>
      <c r="IC82" s="138">
        <f t="shared" si="220"/>
        <v>0</v>
      </c>
      <c r="ID82" s="216">
        <f t="shared" si="221"/>
        <v>1.5748031496062995E-2</v>
      </c>
      <c r="IE82" s="138">
        <f t="shared" si="222"/>
        <v>0</v>
      </c>
      <c r="IF82" s="138">
        <f t="shared" si="223"/>
        <v>0</v>
      </c>
      <c r="IG82" s="238">
        <f t="shared" si="224"/>
        <v>0</v>
      </c>
      <c r="IH82" s="138">
        <f t="shared" si="225"/>
        <v>1.5748031496062995E-2</v>
      </c>
      <c r="II82" s="138">
        <f t="shared" si="226"/>
        <v>0</v>
      </c>
      <c r="IJ82" s="138">
        <f t="shared" si="227"/>
        <v>0</v>
      </c>
      <c r="IK82" s="138">
        <f t="shared" si="228"/>
        <v>0</v>
      </c>
      <c r="IL82" s="216">
        <f t="shared" si="229"/>
        <v>1.5748031496062995E-2</v>
      </c>
      <c r="IM82" s="138">
        <f t="shared" si="230"/>
        <v>0</v>
      </c>
      <c r="IN82" s="138">
        <f t="shared" si="231"/>
        <v>0</v>
      </c>
      <c r="IO82" s="238">
        <f t="shared" si="232"/>
        <v>0</v>
      </c>
      <c r="IP82" s="138">
        <f t="shared" si="233"/>
        <v>1.5748031496062995E-2</v>
      </c>
      <c r="IQ82" s="138">
        <f t="shared" si="234"/>
        <v>0</v>
      </c>
      <c r="IR82" s="138">
        <f t="shared" si="235"/>
        <v>0</v>
      </c>
      <c r="IS82" s="138">
        <f t="shared" si="236"/>
        <v>0</v>
      </c>
      <c r="IT82" s="17">
        <f t="shared" si="237"/>
        <v>0.5</v>
      </c>
      <c r="IU82" s="17">
        <f t="shared" si="238"/>
        <v>1.5748031496062995E-2</v>
      </c>
      <c r="IV82" s="17">
        <f t="shared" si="239"/>
        <v>1.5748031496062995E-2</v>
      </c>
      <c r="IW82" s="253">
        <f t="shared" si="240"/>
        <v>28.162402476</v>
      </c>
      <c r="IX82" s="116">
        <f t="shared" si="241"/>
        <v>2567.4178282642902</v>
      </c>
      <c r="IY82" s="8">
        <f t="shared" si="242"/>
        <v>6.6381340448648546E-2</v>
      </c>
      <c r="IZ82" s="8">
        <f t="shared" si="243"/>
        <v>6.6381340448648546E-2</v>
      </c>
      <c r="JA82" s="8">
        <f t="shared" si="244"/>
        <v>3.3190670224324273E-2</v>
      </c>
      <c r="JB82" s="134">
        <f t="shared" si="245"/>
        <v>0.18218306788591598</v>
      </c>
      <c r="JC82" s="170">
        <f t="shared" si="256"/>
        <v>3.485943317074526E-2</v>
      </c>
      <c r="JD82" s="272">
        <f t="shared" si="257"/>
        <v>0.18670681072404741</v>
      </c>
      <c r="JE82" s="8"/>
      <c r="JF82" s="8"/>
    </row>
    <row r="83" spans="1:266" x14ac:dyDescent="0.25">
      <c r="A83" s="186">
        <v>23</v>
      </c>
      <c r="B83" s="187">
        <f>A83/100*'Inputs-Imperial'!$E$5</f>
        <v>5.5387140879999999</v>
      </c>
      <c r="C83" s="188">
        <f>'Inputs-Imperial'!$E$10+('Inputs-Imperial'!$E$9-'Inputs-Imperial'!$E$10)*(100-A83)/100</f>
        <v>4.6759351890000005</v>
      </c>
      <c r="D83" s="187">
        <f t="shared" si="248"/>
        <v>0.24081365600000026</v>
      </c>
      <c r="E83" s="188">
        <f t="shared" si="249"/>
        <v>1.1281721158734894</v>
      </c>
      <c r="F83" s="423">
        <f>Loads!P43</f>
        <v>699.97354319710246</v>
      </c>
      <c r="G83" s="423">
        <f>Loads!M43</f>
        <v>6999.7354319710239</v>
      </c>
      <c r="H83" s="423">
        <f>Loads!N43</f>
        <v>58540.688096807768</v>
      </c>
      <c r="I83" s="423">
        <f>Loads!V43</f>
        <v>-15647.600051794612</v>
      </c>
      <c r="J83" s="423">
        <f>Loads!Q43</f>
        <v>5854.0688096807789</v>
      </c>
      <c r="K83" s="2">
        <v>23</v>
      </c>
      <c r="L83" s="12">
        <f t="shared" si="41"/>
        <v>66.464569056000002</v>
      </c>
      <c r="M83" s="11">
        <f t="shared" si="42"/>
        <v>56.111222268000006</v>
      </c>
      <c r="N83" s="11">
        <f t="shared" si="43"/>
        <v>2.8897638720000032</v>
      </c>
      <c r="O83" s="152">
        <f t="shared" si="44"/>
        <v>162.45678468578245</v>
      </c>
      <c r="P83" s="151">
        <f t="shared" si="45"/>
        <v>699.97354319710246</v>
      </c>
      <c r="Q83" s="12">
        <f t="shared" si="46"/>
        <v>6999.7354319710239</v>
      </c>
      <c r="R83" s="12">
        <f t="shared" si="47"/>
        <v>702488.25716169318</v>
      </c>
      <c r="S83" s="12">
        <f t="shared" si="48"/>
        <v>-187771.20062153536</v>
      </c>
      <c r="T83" s="152">
        <f t="shared" si="49"/>
        <v>70248.825716169347</v>
      </c>
      <c r="U83" s="8">
        <f t="shared" si="0"/>
        <v>10.100020008240001</v>
      </c>
      <c r="V83" s="8">
        <f t="shared" si="1"/>
        <v>10.100020008240001</v>
      </c>
      <c r="W83" s="134">
        <f t="shared" si="2"/>
        <v>5.0500100041200007</v>
      </c>
      <c r="X83" s="311">
        <f t="shared" si="3"/>
        <v>14.027805567000001</v>
      </c>
      <c r="Y83" s="11">
        <f t="shared" si="4"/>
        <v>42.083416701000004</v>
      </c>
      <c r="Z83" s="11">
        <f t="shared" si="5"/>
        <v>28.055611134000003</v>
      </c>
      <c r="AA83" s="316">
        <f t="shared" si="50"/>
        <v>42.083416701000004</v>
      </c>
      <c r="AB83" s="170">
        <f t="shared" si="51"/>
        <v>7.575015006180001</v>
      </c>
      <c r="AC83" s="11">
        <f t="shared" si="52"/>
        <v>42.083416701000004</v>
      </c>
      <c r="AD83" s="152">
        <f t="shared" si="53"/>
        <v>250.37120025023157</v>
      </c>
      <c r="AE83" s="151">
        <f t="shared" si="6"/>
        <v>16.633001739625133</v>
      </c>
      <c r="AF83" s="12">
        <f t="shared" si="54"/>
        <v>374.98562221587162</v>
      </c>
      <c r="AG83" s="216">
        <f t="shared" si="7"/>
        <v>2.5657221606808601E-2</v>
      </c>
      <c r="AH83" s="2">
        <f t="shared" si="55"/>
        <v>4</v>
      </c>
      <c r="AI83" s="2">
        <f t="shared" si="56"/>
        <v>3</v>
      </c>
      <c r="AJ83" s="127">
        <f t="shared" si="57"/>
        <v>2</v>
      </c>
      <c r="AK83" s="2">
        <f t="shared" si="58"/>
        <v>1.5748031496062995E-2</v>
      </c>
      <c r="AL83" s="8">
        <f t="shared" si="8"/>
        <v>0.27001104810842447</v>
      </c>
      <c r="AM83" s="138">
        <f t="shared" si="59"/>
        <v>0.5</v>
      </c>
      <c r="AN83" s="12">
        <f t="shared" si="9"/>
        <v>22381.004359056631</v>
      </c>
      <c r="AO83" s="138">
        <f t="shared" si="60"/>
        <v>0.5</v>
      </c>
      <c r="AP83" s="116">
        <f t="shared" si="61"/>
        <v>2175570</v>
      </c>
      <c r="AQ83" s="2">
        <f t="shared" si="62"/>
        <v>1.5748031496062995E-2</v>
      </c>
      <c r="AR83" s="8">
        <f t="shared" si="63"/>
        <v>28.055611134000003</v>
      </c>
      <c r="AS83" s="116">
        <f t="shared" si="64"/>
        <v>2610.6840000000002</v>
      </c>
      <c r="AT83" s="217">
        <f t="shared" si="65"/>
        <v>4.1138202914196502E-2</v>
      </c>
      <c r="AU83" s="207">
        <f t="shared" si="66"/>
        <v>4.6293412218761532</v>
      </c>
      <c r="AV83" s="144">
        <f t="shared" si="67"/>
        <v>7892.8263984329615</v>
      </c>
      <c r="AW83" s="138">
        <f t="shared" si="68"/>
        <v>1.5</v>
      </c>
      <c r="AX83" s="116">
        <f t="shared" si="69"/>
        <v>2175570</v>
      </c>
      <c r="AY83" s="2">
        <f t="shared" si="70"/>
        <v>1.5748031496062995E-2</v>
      </c>
      <c r="AZ83" s="8">
        <f t="shared" si="71"/>
        <v>28.055611134000003</v>
      </c>
      <c r="BA83" s="116">
        <f t="shared" si="72"/>
        <v>2610.6840000000002</v>
      </c>
      <c r="BB83" s="217">
        <f t="shared" si="73"/>
        <v>0.1234146087425895</v>
      </c>
      <c r="BC83" s="207">
        <f t="shared" si="74"/>
        <v>3.6676888034817221</v>
      </c>
      <c r="BD83" s="144">
        <f t="shared" si="75"/>
        <v>56279.255858920973</v>
      </c>
      <c r="BE83" s="138">
        <f t="shared" si="76"/>
        <v>1.5</v>
      </c>
      <c r="BF83" s="116">
        <f t="shared" si="77"/>
        <v>2175570</v>
      </c>
      <c r="BG83" s="2">
        <f t="shared" si="78"/>
        <v>1.5748031496062995E-2</v>
      </c>
      <c r="BH83" s="8">
        <f t="shared" si="79"/>
        <v>28.055611134000003</v>
      </c>
      <c r="BI83" s="116">
        <f t="shared" si="80"/>
        <v>2610.6840000000002</v>
      </c>
      <c r="BJ83" s="217">
        <f t="shared" si="81"/>
        <v>0.1234146087425895</v>
      </c>
      <c r="BK83" s="207">
        <f t="shared" si="82"/>
        <v>3.6676888034817221</v>
      </c>
      <c r="BL83" s="144">
        <f t="shared" si="83"/>
        <v>56279.255858920973</v>
      </c>
      <c r="BM83" s="216">
        <f t="shared" si="84"/>
        <v>1.5</v>
      </c>
      <c r="BN83" s="216">
        <f t="shared" si="85"/>
        <v>2.3622047244094495E-2</v>
      </c>
      <c r="BO83" s="238">
        <f t="shared" si="86"/>
        <v>1.5748031496062995E-2</v>
      </c>
      <c r="BP83" s="216">
        <f t="shared" si="87"/>
        <v>1.5</v>
      </c>
      <c r="BQ83" s="138">
        <f t="shared" si="88"/>
        <v>0</v>
      </c>
      <c r="BR83" s="138">
        <f t="shared" si="89"/>
        <v>0</v>
      </c>
      <c r="BS83" s="238">
        <f t="shared" si="90"/>
        <v>0</v>
      </c>
      <c r="BT83" s="138">
        <f t="shared" si="91"/>
        <v>2</v>
      </c>
      <c r="BU83" s="138">
        <f t="shared" si="92"/>
        <v>0</v>
      </c>
      <c r="BV83" s="138">
        <f t="shared" si="93"/>
        <v>0</v>
      </c>
      <c r="BW83" s="238">
        <f t="shared" si="94"/>
        <v>0</v>
      </c>
      <c r="BX83" s="216">
        <f t="shared" si="95"/>
        <v>2.3622047244094495E-2</v>
      </c>
      <c r="BY83" s="138">
        <f t="shared" si="96"/>
        <v>0</v>
      </c>
      <c r="BZ83" s="138">
        <f t="shared" si="97"/>
        <v>0</v>
      </c>
      <c r="CA83" s="238">
        <f t="shared" si="98"/>
        <v>0</v>
      </c>
      <c r="CB83" s="138">
        <f t="shared" si="99"/>
        <v>2.3622047244094495E-2</v>
      </c>
      <c r="CC83" s="138">
        <f t="shared" si="100"/>
        <v>0</v>
      </c>
      <c r="CD83" s="138">
        <f t="shared" si="101"/>
        <v>0</v>
      </c>
      <c r="CE83" s="238">
        <f t="shared" si="102"/>
        <v>0</v>
      </c>
      <c r="CF83" s="216">
        <f t="shared" si="103"/>
        <v>1.5748031496062995E-2</v>
      </c>
      <c r="CG83" s="138">
        <f t="shared" si="104"/>
        <v>0</v>
      </c>
      <c r="CH83" s="138">
        <f t="shared" si="105"/>
        <v>0</v>
      </c>
      <c r="CI83" s="238">
        <f t="shared" si="106"/>
        <v>0</v>
      </c>
      <c r="CJ83" s="138">
        <f t="shared" si="107"/>
        <v>2.3622047244094495E-2</v>
      </c>
      <c r="CK83" s="138">
        <f t="shared" si="108"/>
        <v>0</v>
      </c>
      <c r="CL83" s="138">
        <f t="shared" si="109"/>
        <v>0</v>
      </c>
      <c r="CM83" s="238">
        <f t="shared" si="110"/>
        <v>0</v>
      </c>
      <c r="CN83" s="17">
        <f t="shared" si="111"/>
        <v>2</v>
      </c>
      <c r="CO83" s="17">
        <f t="shared" si="112"/>
        <v>2.3622047244094495E-2</v>
      </c>
      <c r="CP83" s="17">
        <f t="shared" si="113"/>
        <v>2.3622047244094495E-2</v>
      </c>
      <c r="CQ83" s="17">
        <f>$U83-IF('Inputs-Imperial'!$E$13,0,2)*($CO83+$CN83+$CP83)</f>
        <v>10.100020008240001</v>
      </c>
      <c r="CR83" s="116">
        <f t="shared" si="114"/>
        <v>69553.155002522282</v>
      </c>
      <c r="CS83" s="8">
        <f t="shared" si="10"/>
        <v>1.7983172083140868</v>
      </c>
      <c r="CT83" s="8">
        <f t="shared" si="115"/>
        <v>1.3410135004220081</v>
      </c>
      <c r="CU83" s="8">
        <f t="shared" si="11"/>
        <v>1.7983172083140868</v>
      </c>
      <c r="CV83" s="8">
        <f t="shared" si="116"/>
        <v>1.3410135004220081</v>
      </c>
      <c r="CW83" s="216">
        <f t="shared" si="117"/>
        <v>8.7590065078179933</v>
      </c>
      <c r="CX83" s="116">
        <f t="shared" si="118"/>
        <v>80201.819297048802</v>
      </c>
      <c r="CY83" s="8">
        <f t="shared" si="119"/>
        <v>2.0736415447257475</v>
      </c>
      <c r="CZ83" s="8">
        <f t="shared" si="120"/>
        <v>1.4400144251797435</v>
      </c>
      <c r="DA83" s="8">
        <f t="shared" si="121"/>
        <v>2.0736415447257475</v>
      </c>
      <c r="DB83" s="8">
        <f t="shared" si="122"/>
        <v>1.4400144251797435</v>
      </c>
      <c r="DC83" s="216">
        <f t="shared" si="123"/>
        <v>8.6600055830602578</v>
      </c>
      <c r="DD83" s="116">
        <f t="shared" si="124"/>
        <v>81118.684095980585</v>
      </c>
      <c r="DE83" s="8">
        <f t="shared" si="125"/>
        <v>2.0973473528311697</v>
      </c>
      <c r="DF83" s="8">
        <f t="shared" si="126"/>
        <v>1.4482221351820201</v>
      </c>
      <c r="DG83" s="8">
        <f t="shared" si="127"/>
        <v>2.0973473528311697</v>
      </c>
      <c r="DH83" s="8">
        <f t="shared" si="128"/>
        <v>1.4482221351820201</v>
      </c>
      <c r="DI83" s="216">
        <f t="shared" si="129"/>
        <v>8.6517978730579799</v>
      </c>
      <c r="DJ83" s="116">
        <f t="shared" si="130"/>
        <v>81195.639041599396</v>
      </c>
      <c r="DK83" s="8">
        <f t="shared" si="131"/>
        <v>2.0993370455053002</v>
      </c>
      <c r="DL83" s="8">
        <f t="shared" si="132"/>
        <v>1.4489089155310282</v>
      </c>
      <c r="DM83" s="8">
        <f t="shared" si="133"/>
        <v>2.0993370455053002</v>
      </c>
      <c r="DN83" s="8">
        <f t="shared" si="134"/>
        <v>1.4489089155310282</v>
      </c>
      <c r="DO83" s="216">
        <f t="shared" si="253"/>
        <v>8.6511110927089732</v>
      </c>
      <c r="DP83" s="116">
        <f t="shared" si="136"/>
        <v>81202.084869045284</v>
      </c>
      <c r="DQ83" s="170">
        <f t="shared" si="137"/>
        <v>2.099503704263157</v>
      </c>
      <c r="DR83" s="8">
        <f t="shared" si="138"/>
        <v>1.4489664262028839</v>
      </c>
      <c r="DS83" s="8">
        <f t="shared" si="139"/>
        <v>2.099503704263157</v>
      </c>
      <c r="DT83" s="134">
        <f t="shared" si="140"/>
        <v>1.4489664262028839</v>
      </c>
      <c r="DU83" s="170">
        <f t="shared" si="254"/>
        <v>2.271823534607841</v>
      </c>
      <c r="DV83" s="170">
        <f t="shared" si="255"/>
        <v>1.5072569570606869</v>
      </c>
      <c r="DW83" s="170">
        <f t="shared" si="255"/>
        <v>2.271823534607841</v>
      </c>
      <c r="DX83" s="272">
        <f t="shared" si="255"/>
        <v>1.5072569570606869</v>
      </c>
      <c r="DY83" s="272">
        <f t="shared" si="142"/>
        <v>7.0855060941186281</v>
      </c>
      <c r="DZ83" s="22">
        <f t="shared" si="12"/>
        <v>693.04173915104718</v>
      </c>
      <c r="EA83" s="216">
        <f t="shared" si="13"/>
        <v>4.5405209038748728E-2</v>
      </c>
      <c r="EB83" s="12">
        <f t="shared" si="143"/>
        <v>6</v>
      </c>
      <c r="EC83" s="7">
        <f>ROUND(MAX(DV83,DX83)/'Inputs-Imperial'!$E$21,0)</f>
        <v>13</v>
      </c>
      <c r="ED83" s="12">
        <f t="shared" si="144"/>
        <v>13</v>
      </c>
      <c r="EE83" s="2">
        <f t="shared" si="145"/>
        <v>7</v>
      </c>
      <c r="EF83" s="127">
        <f t="shared" si="146"/>
        <v>7</v>
      </c>
      <c r="EG83" s="2">
        <f t="shared" si="147"/>
        <v>5.5118110236220486E-2</v>
      </c>
      <c r="EH83" s="8">
        <f t="shared" si="14"/>
        <v>0.47783459448630511</v>
      </c>
      <c r="EI83" s="138">
        <f t="shared" si="148"/>
        <v>0.5</v>
      </c>
      <c r="EJ83" s="12">
        <f t="shared" si="15"/>
        <v>11316.381540709241</v>
      </c>
      <c r="EK83" s="138">
        <f t="shared" si="149"/>
        <v>0.5</v>
      </c>
      <c r="EL83" s="116">
        <f t="shared" si="150"/>
        <v>2175570</v>
      </c>
      <c r="EM83" s="2">
        <f t="shared" si="16"/>
        <v>5.5118110236220486E-2</v>
      </c>
      <c r="EN83" s="8">
        <f t="shared" si="151"/>
        <v>10.100020008240001</v>
      </c>
      <c r="EO83" s="116">
        <f t="shared" si="152"/>
        <v>2610.6840000000002</v>
      </c>
      <c r="EP83" s="217">
        <f t="shared" si="153"/>
        <v>1.110985418207467</v>
      </c>
      <c r="EQ83" s="207">
        <f t="shared" si="154"/>
        <v>2</v>
      </c>
      <c r="ER83" s="144">
        <f t="shared" si="155"/>
        <v>26311.060403895564</v>
      </c>
      <c r="ES83" s="138">
        <f t="shared" si="17"/>
        <v>0.5</v>
      </c>
      <c r="ET83" s="116">
        <f t="shared" si="156"/>
        <v>2175570</v>
      </c>
      <c r="EU83" s="2">
        <f t="shared" si="18"/>
        <v>5.5118110236220486E-2</v>
      </c>
      <c r="EV83" s="8">
        <f t="shared" si="157"/>
        <v>10.100020008240001</v>
      </c>
      <c r="EW83" s="116">
        <f t="shared" si="158"/>
        <v>2610.6840000000002</v>
      </c>
      <c r="EX83" s="217">
        <f t="shared" si="159"/>
        <v>1.110985418207467</v>
      </c>
      <c r="EY83" s="207">
        <f t="shared" si="160"/>
        <v>2</v>
      </c>
      <c r="EZ83" s="144">
        <f t="shared" si="161"/>
        <v>26311.060403895564</v>
      </c>
      <c r="FA83" s="138">
        <f t="shared" si="19"/>
        <v>0.5</v>
      </c>
      <c r="FB83" s="116">
        <f t="shared" si="162"/>
        <v>2175570</v>
      </c>
      <c r="FC83" s="2">
        <f t="shared" si="20"/>
        <v>5.5118110236220486E-2</v>
      </c>
      <c r="FD83" s="8">
        <f t="shared" si="163"/>
        <v>10.100020008240001</v>
      </c>
      <c r="FE83" s="116">
        <f t="shared" si="164"/>
        <v>2610.6840000000002</v>
      </c>
      <c r="FF83" s="217">
        <f t="shared" si="165"/>
        <v>1.110985418207467</v>
      </c>
      <c r="FG83" s="207">
        <f t="shared" si="166"/>
        <v>2</v>
      </c>
      <c r="FH83" s="144">
        <f t="shared" si="167"/>
        <v>26311.060403895564</v>
      </c>
      <c r="FI83" s="128">
        <f t="shared" si="168"/>
        <v>0.5</v>
      </c>
      <c r="FJ83" s="2">
        <f t="shared" si="169"/>
        <v>5.5118110236220486E-2</v>
      </c>
      <c r="FK83" s="127">
        <f t="shared" si="170"/>
        <v>5.5118110236220486E-2</v>
      </c>
      <c r="FL83" s="216">
        <f t="shared" si="171"/>
        <v>0.5</v>
      </c>
      <c r="FM83" s="138">
        <f t="shared" si="172"/>
        <v>0</v>
      </c>
      <c r="FN83" s="138">
        <f t="shared" si="173"/>
        <v>0</v>
      </c>
      <c r="FO83" s="238">
        <f t="shared" si="174"/>
        <v>0</v>
      </c>
      <c r="FP83" s="216">
        <f t="shared" si="21"/>
        <v>0.75</v>
      </c>
      <c r="FQ83" s="138">
        <f t="shared" si="22"/>
        <v>0</v>
      </c>
      <c r="FR83" s="138">
        <f t="shared" si="23"/>
        <v>0</v>
      </c>
      <c r="FS83" s="238">
        <f t="shared" si="24"/>
        <v>0</v>
      </c>
      <c r="FT83" s="216">
        <f t="shared" si="175"/>
        <v>5.5118110236220486E-2</v>
      </c>
      <c r="FU83" s="138">
        <f t="shared" si="176"/>
        <v>0</v>
      </c>
      <c r="FV83" s="138">
        <f t="shared" si="177"/>
        <v>0</v>
      </c>
      <c r="FW83" s="238">
        <f t="shared" si="178"/>
        <v>0</v>
      </c>
      <c r="FX83" s="216">
        <f t="shared" si="25"/>
        <v>6.2992125984251982E-2</v>
      </c>
      <c r="FY83" s="138">
        <f t="shared" si="26"/>
        <v>0</v>
      </c>
      <c r="FZ83" s="138">
        <f t="shared" si="27"/>
        <v>0</v>
      </c>
      <c r="GA83" s="238">
        <f t="shared" si="28"/>
        <v>0</v>
      </c>
      <c r="GB83" s="216">
        <f t="shared" si="179"/>
        <v>5.5118110236220486E-2</v>
      </c>
      <c r="GC83" s="138">
        <f t="shared" si="180"/>
        <v>0</v>
      </c>
      <c r="GD83" s="138">
        <f t="shared" si="181"/>
        <v>0</v>
      </c>
      <c r="GE83" s="238">
        <f t="shared" si="182"/>
        <v>0</v>
      </c>
      <c r="GF83" s="216">
        <f t="shared" si="29"/>
        <v>6.2992125984251982E-2</v>
      </c>
      <c r="GG83" s="138">
        <f t="shared" si="30"/>
        <v>0</v>
      </c>
      <c r="GH83" s="138">
        <f t="shared" si="31"/>
        <v>0</v>
      </c>
      <c r="GI83" s="238">
        <f t="shared" si="32"/>
        <v>0</v>
      </c>
      <c r="GJ83" s="216">
        <f t="shared" si="183"/>
        <v>0.75</v>
      </c>
      <c r="GK83" s="216">
        <f t="shared" si="184"/>
        <v>6.2992125984251982E-2</v>
      </c>
      <c r="GL83" s="17">
        <f t="shared" si="185"/>
        <v>6.2992125984251982E-2</v>
      </c>
      <c r="GM83" s="216">
        <f t="shared" si="186"/>
        <v>2.4567496589878633E-2</v>
      </c>
      <c r="GN83" s="2">
        <f t="shared" si="187"/>
        <v>4</v>
      </c>
      <c r="GO83" s="2">
        <f t="shared" si="188"/>
        <v>2</v>
      </c>
      <c r="GP83" s="142">
        <f t="shared" si="189"/>
        <v>2</v>
      </c>
      <c r="GQ83" s="2">
        <f t="shared" si="190"/>
        <v>1.5748031496062995E-2</v>
      </c>
      <c r="GR83" s="8">
        <f t="shared" si="33"/>
        <v>0.25854301784075318</v>
      </c>
      <c r="GS83" s="138">
        <f t="shared" si="191"/>
        <v>0.5</v>
      </c>
      <c r="GT83" s="12">
        <f t="shared" si="34"/>
        <v>21430.428309637056</v>
      </c>
      <c r="GU83" s="138">
        <f t="shared" si="192"/>
        <v>0.5</v>
      </c>
      <c r="GV83" s="116">
        <f t="shared" si="193"/>
        <v>2175570</v>
      </c>
      <c r="GW83" s="2">
        <f t="shared" si="35"/>
        <v>5.5118110236220486E-2</v>
      </c>
      <c r="GX83" s="8">
        <f t="shared" si="36"/>
        <v>5.0500100041200007</v>
      </c>
      <c r="GY83" s="116">
        <f t="shared" si="194"/>
        <v>2610.6840000000002</v>
      </c>
      <c r="GZ83" s="217">
        <f t="shared" si="195"/>
        <v>4.443941672829868</v>
      </c>
      <c r="HA83" s="207">
        <f t="shared" si="196"/>
        <v>2</v>
      </c>
      <c r="HB83" s="144">
        <f t="shared" si="197"/>
        <v>105244.24161558226</v>
      </c>
      <c r="HC83" s="138">
        <f t="shared" si="37"/>
        <v>0.5</v>
      </c>
      <c r="HD83" s="116">
        <f t="shared" si="198"/>
        <v>2175570</v>
      </c>
      <c r="HE83" s="2">
        <f t="shared" si="38"/>
        <v>5.5118110236220486E-2</v>
      </c>
      <c r="HF83" s="8">
        <f t="shared" si="199"/>
        <v>5.0500100041200007</v>
      </c>
      <c r="HG83" s="116">
        <f t="shared" si="200"/>
        <v>2610.6840000000002</v>
      </c>
      <c r="HH83" s="217">
        <f t="shared" si="201"/>
        <v>4.443941672829868</v>
      </c>
      <c r="HI83" s="207">
        <f t="shared" si="202"/>
        <v>2</v>
      </c>
      <c r="HJ83" s="144">
        <f t="shared" si="203"/>
        <v>105244.24161558226</v>
      </c>
      <c r="HK83" s="138">
        <f t="shared" si="39"/>
        <v>0.5</v>
      </c>
      <c r="HL83" s="116">
        <f t="shared" si="204"/>
        <v>2175570</v>
      </c>
      <c r="HM83" s="2">
        <f t="shared" si="40"/>
        <v>5.5118110236220486E-2</v>
      </c>
      <c r="HN83" s="8">
        <f t="shared" si="205"/>
        <v>5.0500100041200007</v>
      </c>
      <c r="HO83" s="116">
        <f t="shared" si="206"/>
        <v>2610.6840000000002</v>
      </c>
      <c r="HP83" s="217">
        <f t="shared" si="207"/>
        <v>4.443941672829868</v>
      </c>
      <c r="HQ83" s="207">
        <f t="shared" si="208"/>
        <v>2</v>
      </c>
      <c r="HR83" s="144">
        <f t="shared" si="209"/>
        <v>105244.24161558226</v>
      </c>
      <c r="HS83" s="128">
        <f t="shared" si="210"/>
        <v>0.5</v>
      </c>
      <c r="HT83" s="2">
        <f t="shared" si="211"/>
        <v>1.5748031496062995E-2</v>
      </c>
      <c r="HU83" s="127">
        <f t="shared" si="212"/>
        <v>1.5748031496062995E-2</v>
      </c>
      <c r="HV83" s="216">
        <f t="shared" si="213"/>
        <v>0.5</v>
      </c>
      <c r="HW83" s="138">
        <f t="shared" si="214"/>
        <v>0</v>
      </c>
      <c r="HX83" s="138">
        <f t="shared" si="215"/>
        <v>0</v>
      </c>
      <c r="HY83" s="238">
        <f t="shared" si="216"/>
        <v>0</v>
      </c>
      <c r="HZ83" s="138">
        <f t="shared" si="217"/>
        <v>0.5</v>
      </c>
      <c r="IA83" s="138">
        <f t="shared" si="218"/>
        <v>0</v>
      </c>
      <c r="IB83" s="138">
        <f t="shared" si="219"/>
        <v>0</v>
      </c>
      <c r="IC83" s="138">
        <f t="shared" si="220"/>
        <v>0</v>
      </c>
      <c r="ID83" s="216">
        <f t="shared" si="221"/>
        <v>1.5748031496062995E-2</v>
      </c>
      <c r="IE83" s="138">
        <f t="shared" si="222"/>
        <v>0</v>
      </c>
      <c r="IF83" s="138">
        <f t="shared" si="223"/>
        <v>0</v>
      </c>
      <c r="IG83" s="238">
        <f t="shared" si="224"/>
        <v>0</v>
      </c>
      <c r="IH83" s="138">
        <f t="shared" si="225"/>
        <v>1.5748031496062995E-2</v>
      </c>
      <c r="II83" s="138">
        <f t="shared" si="226"/>
        <v>0</v>
      </c>
      <c r="IJ83" s="138">
        <f t="shared" si="227"/>
        <v>0</v>
      </c>
      <c r="IK83" s="138">
        <f t="shared" si="228"/>
        <v>0</v>
      </c>
      <c r="IL83" s="216">
        <f t="shared" si="229"/>
        <v>1.5748031496062995E-2</v>
      </c>
      <c r="IM83" s="138">
        <f t="shared" si="230"/>
        <v>0</v>
      </c>
      <c r="IN83" s="138">
        <f t="shared" si="231"/>
        <v>0</v>
      </c>
      <c r="IO83" s="238">
        <f t="shared" si="232"/>
        <v>0</v>
      </c>
      <c r="IP83" s="138">
        <f t="shared" si="233"/>
        <v>1.5748031496062995E-2</v>
      </c>
      <c r="IQ83" s="138">
        <f t="shared" si="234"/>
        <v>0</v>
      </c>
      <c r="IR83" s="138">
        <f t="shared" si="235"/>
        <v>0</v>
      </c>
      <c r="IS83" s="138">
        <f t="shared" si="236"/>
        <v>0</v>
      </c>
      <c r="IT83" s="17">
        <f t="shared" si="237"/>
        <v>0.5</v>
      </c>
      <c r="IU83" s="17">
        <f t="shared" si="238"/>
        <v>1.5748031496062995E-2</v>
      </c>
      <c r="IV83" s="17">
        <f t="shared" si="239"/>
        <v>1.5748031496062995E-2</v>
      </c>
      <c r="IW83" s="253">
        <f t="shared" si="240"/>
        <v>28.055611134000003</v>
      </c>
      <c r="IX83" s="116">
        <f t="shared" si="241"/>
        <v>2503.9135800908034</v>
      </c>
      <c r="IY83" s="8">
        <f t="shared" si="242"/>
        <v>6.4739419499307158E-2</v>
      </c>
      <c r="IZ83" s="8">
        <f t="shared" si="243"/>
        <v>6.4739419499307158E-2</v>
      </c>
      <c r="JA83" s="8">
        <f t="shared" si="244"/>
        <v>3.2369709749653579E-2</v>
      </c>
      <c r="JB83" s="134">
        <f t="shared" si="245"/>
        <v>0.1799158407413132</v>
      </c>
      <c r="JC83" s="170">
        <f t="shared" si="256"/>
        <v>3.485943317074526E-2</v>
      </c>
      <c r="JD83" s="272">
        <f t="shared" si="257"/>
        <v>0.18670681072404741</v>
      </c>
      <c r="JE83" s="8"/>
      <c r="JF83" s="8"/>
    </row>
    <row r="84" spans="1:266" x14ac:dyDescent="0.25">
      <c r="A84" s="186">
        <v>24</v>
      </c>
      <c r="B84" s="187">
        <f>A84/100*'Inputs-Imperial'!$E$5</f>
        <v>5.7795277439999992</v>
      </c>
      <c r="C84" s="188">
        <f>'Inputs-Imperial'!$E$10+('Inputs-Imperial'!$E$9-'Inputs-Imperial'!$E$10)*(100-A84)/100</f>
        <v>4.6581366320000006</v>
      </c>
      <c r="D84" s="187">
        <f t="shared" si="248"/>
        <v>0.24081365599999938</v>
      </c>
      <c r="E84" s="188">
        <f t="shared" si="249"/>
        <v>1.123885980290791</v>
      </c>
      <c r="F84" s="423">
        <f>Loads!P44</f>
        <v>688.56482725433045</v>
      </c>
      <c r="G84" s="423">
        <f>Loads!M44</f>
        <v>6885.6482725433034</v>
      </c>
      <c r="H84" s="423">
        <f>Loads!N44</f>
        <v>56855.056216402088</v>
      </c>
      <c r="I84" s="423">
        <f>Loads!V44</f>
        <v>-15338.763174585181</v>
      </c>
      <c r="J84" s="423">
        <f>Loads!Q44</f>
        <v>5685.5056216402108</v>
      </c>
      <c r="K84" s="2">
        <v>24</v>
      </c>
      <c r="L84" s="12">
        <f t="shared" si="41"/>
        <v>69.354332927999991</v>
      </c>
      <c r="M84" s="11">
        <f t="shared" si="42"/>
        <v>55.897639584000004</v>
      </c>
      <c r="N84" s="11">
        <f t="shared" si="43"/>
        <v>2.8897638719999925</v>
      </c>
      <c r="O84" s="152">
        <f t="shared" si="44"/>
        <v>161.83958116187389</v>
      </c>
      <c r="P84" s="151">
        <f t="shared" si="45"/>
        <v>688.56482725433045</v>
      </c>
      <c r="Q84" s="12">
        <f t="shared" si="46"/>
        <v>6885.6482725433034</v>
      </c>
      <c r="R84" s="12">
        <f t="shared" si="47"/>
        <v>682260.67459682503</v>
      </c>
      <c r="S84" s="12">
        <f t="shared" si="48"/>
        <v>-184065.15809502217</v>
      </c>
      <c r="T84" s="152">
        <f t="shared" si="49"/>
        <v>68226.067459682527</v>
      </c>
      <c r="U84" s="8">
        <f t="shared" si="0"/>
        <v>10.061575125120001</v>
      </c>
      <c r="V84" s="8">
        <f t="shared" si="1"/>
        <v>10.061575125120001</v>
      </c>
      <c r="W84" s="134">
        <f t="shared" si="2"/>
        <v>5.0307875625600005</v>
      </c>
      <c r="X84" s="311">
        <f t="shared" si="3"/>
        <v>13.974409896000001</v>
      </c>
      <c r="Y84" s="11">
        <f t="shared" si="4"/>
        <v>41.923229688000006</v>
      </c>
      <c r="Z84" s="11">
        <f t="shared" si="5"/>
        <v>27.948819792000005</v>
      </c>
      <c r="AA84" s="316">
        <f t="shared" si="50"/>
        <v>41.923229688000006</v>
      </c>
      <c r="AB84" s="170">
        <f t="shared" si="51"/>
        <v>7.5461813438400007</v>
      </c>
      <c r="AC84" s="11">
        <f t="shared" si="52"/>
        <v>41.923229688000006</v>
      </c>
      <c r="AD84" s="152">
        <f t="shared" si="53"/>
        <v>248.46879367928264</v>
      </c>
      <c r="AE84" s="151">
        <f t="shared" si="6"/>
        <v>16.424422268483372</v>
      </c>
      <c r="AF84" s="12">
        <f t="shared" si="54"/>
        <v>370.39894501320941</v>
      </c>
      <c r="AG84" s="216">
        <f t="shared" si="7"/>
        <v>2.5343056356191468E-2</v>
      </c>
      <c r="AH84" s="2">
        <f t="shared" si="55"/>
        <v>4</v>
      </c>
      <c r="AI84" s="2">
        <f t="shared" si="56"/>
        <v>3</v>
      </c>
      <c r="AJ84" s="127">
        <f t="shared" si="57"/>
        <v>2</v>
      </c>
      <c r="AK84" s="2">
        <f t="shared" si="58"/>
        <v>1.5748031496062995E-2</v>
      </c>
      <c r="AL84" s="8">
        <f t="shared" si="8"/>
        <v>0.26670484099456199</v>
      </c>
      <c r="AM84" s="138">
        <f t="shared" si="59"/>
        <v>0.5</v>
      </c>
      <c r="AN84" s="12">
        <f t="shared" si="9"/>
        <v>22106.95544014874</v>
      </c>
      <c r="AO84" s="138">
        <f t="shared" si="60"/>
        <v>0.5</v>
      </c>
      <c r="AP84" s="116">
        <f t="shared" si="61"/>
        <v>2175570</v>
      </c>
      <c r="AQ84" s="2">
        <f t="shared" si="62"/>
        <v>1.5748031496062995E-2</v>
      </c>
      <c r="AR84" s="8">
        <f t="shared" si="63"/>
        <v>27.948819792000005</v>
      </c>
      <c r="AS84" s="116">
        <f t="shared" si="64"/>
        <v>2610.6840000000002</v>
      </c>
      <c r="AT84" s="217">
        <f t="shared" si="65"/>
        <v>4.1453178434390052E-2</v>
      </c>
      <c r="AU84" s="207">
        <f t="shared" si="66"/>
        <v>4.6247546694572659</v>
      </c>
      <c r="AV84" s="144">
        <f t="shared" si="67"/>
        <v>7945.3782442244265</v>
      </c>
      <c r="AW84" s="138">
        <f t="shared" si="68"/>
        <v>1.5</v>
      </c>
      <c r="AX84" s="116">
        <f t="shared" si="69"/>
        <v>2175570</v>
      </c>
      <c r="AY84" s="2">
        <f t="shared" si="70"/>
        <v>1.5748031496062995E-2</v>
      </c>
      <c r="AZ84" s="8">
        <f t="shared" si="71"/>
        <v>27.948819792000005</v>
      </c>
      <c r="BA84" s="116">
        <f t="shared" si="72"/>
        <v>2610.6840000000002</v>
      </c>
      <c r="BB84" s="217">
        <f t="shared" si="73"/>
        <v>0.12435953530317015</v>
      </c>
      <c r="BC84" s="207">
        <f t="shared" si="74"/>
        <v>3.659068996960543</v>
      </c>
      <c r="BD84" s="144">
        <f t="shared" si="75"/>
        <v>56576.878888540858</v>
      </c>
      <c r="BE84" s="138">
        <f t="shared" si="76"/>
        <v>1.5</v>
      </c>
      <c r="BF84" s="116">
        <f t="shared" si="77"/>
        <v>2175570</v>
      </c>
      <c r="BG84" s="2">
        <f t="shared" si="78"/>
        <v>1.5748031496062995E-2</v>
      </c>
      <c r="BH84" s="8">
        <f t="shared" si="79"/>
        <v>27.948819792000005</v>
      </c>
      <c r="BI84" s="116">
        <f t="shared" si="80"/>
        <v>2610.6840000000002</v>
      </c>
      <c r="BJ84" s="217">
        <f t="shared" si="81"/>
        <v>0.12435953530317015</v>
      </c>
      <c r="BK84" s="207">
        <f t="shared" si="82"/>
        <v>3.659068996960543</v>
      </c>
      <c r="BL84" s="144">
        <f t="shared" si="83"/>
        <v>56576.878888540858</v>
      </c>
      <c r="BM84" s="216">
        <f t="shared" si="84"/>
        <v>1.5</v>
      </c>
      <c r="BN84" s="216">
        <f t="shared" si="85"/>
        <v>2.3622047244094495E-2</v>
      </c>
      <c r="BO84" s="238">
        <f t="shared" si="86"/>
        <v>1.5748031496062995E-2</v>
      </c>
      <c r="BP84" s="216">
        <f t="shared" si="87"/>
        <v>1.5</v>
      </c>
      <c r="BQ84" s="138">
        <f t="shared" si="88"/>
        <v>0</v>
      </c>
      <c r="BR84" s="138">
        <f t="shared" si="89"/>
        <v>0</v>
      </c>
      <c r="BS84" s="238">
        <f t="shared" si="90"/>
        <v>0</v>
      </c>
      <c r="BT84" s="138">
        <f t="shared" si="91"/>
        <v>2</v>
      </c>
      <c r="BU84" s="138">
        <f t="shared" si="92"/>
        <v>0</v>
      </c>
      <c r="BV84" s="138">
        <f t="shared" si="93"/>
        <v>0</v>
      </c>
      <c r="BW84" s="238">
        <f t="shared" si="94"/>
        <v>0</v>
      </c>
      <c r="BX84" s="216">
        <f t="shared" si="95"/>
        <v>2.3622047244094495E-2</v>
      </c>
      <c r="BY84" s="138">
        <f t="shared" si="96"/>
        <v>0</v>
      </c>
      <c r="BZ84" s="138">
        <f t="shared" si="97"/>
        <v>0</v>
      </c>
      <c r="CA84" s="238">
        <f t="shared" si="98"/>
        <v>0</v>
      </c>
      <c r="CB84" s="138">
        <f t="shared" si="99"/>
        <v>2.3622047244094495E-2</v>
      </c>
      <c r="CC84" s="138">
        <f t="shared" si="100"/>
        <v>0</v>
      </c>
      <c r="CD84" s="138">
        <f t="shared" si="101"/>
        <v>0</v>
      </c>
      <c r="CE84" s="238">
        <f t="shared" si="102"/>
        <v>0</v>
      </c>
      <c r="CF84" s="216">
        <f t="shared" si="103"/>
        <v>1.5748031496062995E-2</v>
      </c>
      <c r="CG84" s="138">
        <f t="shared" si="104"/>
        <v>0</v>
      </c>
      <c r="CH84" s="138">
        <f t="shared" si="105"/>
        <v>0</v>
      </c>
      <c r="CI84" s="238">
        <f t="shared" si="106"/>
        <v>0</v>
      </c>
      <c r="CJ84" s="138">
        <f t="shared" si="107"/>
        <v>2.3622047244094495E-2</v>
      </c>
      <c r="CK84" s="138">
        <f t="shared" si="108"/>
        <v>0</v>
      </c>
      <c r="CL84" s="138">
        <f t="shared" si="109"/>
        <v>0</v>
      </c>
      <c r="CM84" s="238">
        <f t="shared" si="110"/>
        <v>0</v>
      </c>
      <c r="CN84" s="17">
        <f t="shared" si="111"/>
        <v>2</v>
      </c>
      <c r="CO84" s="17">
        <f t="shared" si="112"/>
        <v>2.3622047244094495E-2</v>
      </c>
      <c r="CP84" s="17">
        <f t="shared" si="113"/>
        <v>2.3622047244094495E-2</v>
      </c>
      <c r="CQ84" s="17">
        <f>$U84-IF('Inputs-Imperial'!$E$13,0,2)*($CO84+$CN84+$CP84)</f>
        <v>10.061575125120001</v>
      </c>
      <c r="CR84" s="116">
        <f t="shared" si="114"/>
        <v>67808.53555359086</v>
      </c>
      <c r="CS84" s="8">
        <f t="shared" si="10"/>
        <v>1.7532095611216765</v>
      </c>
      <c r="CT84" s="8">
        <f t="shared" si="115"/>
        <v>1.3240881999027392</v>
      </c>
      <c r="CU84" s="8">
        <f t="shared" si="11"/>
        <v>1.7532095611216765</v>
      </c>
      <c r="CV84" s="8">
        <f t="shared" si="116"/>
        <v>1.3240881999027392</v>
      </c>
      <c r="CW84" s="216">
        <f t="shared" si="117"/>
        <v>8.7374869252172616</v>
      </c>
      <c r="CX84" s="116">
        <f t="shared" si="118"/>
        <v>78084.314224007874</v>
      </c>
      <c r="CY84" s="8">
        <f t="shared" si="119"/>
        <v>2.0188928304308491</v>
      </c>
      <c r="CZ84" s="8">
        <f t="shared" si="120"/>
        <v>1.4208774860736055</v>
      </c>
      <c r="DA84" s="8">
        <f t="shared" si="121"/>
        <v>2.0188928304308491</v>
      </c>
      <c r="DB84" s="8">
        <f t="shared" si="122"/>
        <v>1.4208774860736055</v>
      </c>
      <c r="DC84" s="216">
        <f t="shared" si="123"/>
        <v>8.6406976390463939</v>
      </c>
      <c r="DD84" s="116">
        <f t="shared" si="124"/>
        <v>78958.980292720997</v>
      </c>
      <c r="DE84" s="8">
        <f t="shared" si="125"/>
        <v>2.0415075779982055</v>
      </c>
      <c r="DF84" s="8">
        <f t="shared" si="126"/>
        <v>1.4288133461016541</v>
      </c>
      <c r="DG84" s="8">
        <f t="shared" si="127"/>
        <v>2.0415075779982055</v>
      </c>
      <c r="DH84" s="8">
        <f t="shared" si="128"/>
        <v>1.4288133461016541</v>
      </c>
      <c r="DI84" s="216">
        <f t="shared" si="129"/>
        <v>8.6327617790183453</v>
      </c>
      <c r="DJ84" s="116">
        <f t="shared" si="130"/>
        <v>79031.565107592571</v>
      </c>
      <c r="DK84" s="8">
        <f t="shared" si="131"/>
        <v>2.0433842796609998</v>
      </c>
      <c r="DL84" s="8">
        <f t="shared" si="132"/>
        <v>1.429469929610623</v>
      </c>
      <c r="DM84" s="8">
        <f t="shared" si="133"/>
        <v>2.0433842796609998</v>
      </c>
      <c r="DN84" s="8">
        <f t="shared" si="134"/>
        <v>1.429469929610623</v>
      </c>
      <c r="DO84" s="216">
        <f t="shared" si="253"/>
        <v>8.6321051955093786</v>
      </c>
      <c r="DP84" s="116">
        <f t="shared" si="136"/>
        <v>79037.576482704695</v>
      </c>
      <c r="DQ84" s="170">
        <f t="shared" si="137"/>
        <v>2.0435397055264315</v>
      </c>
      <c r="DR84" s="8">
        <f t="shared" si="138"/>
        <v>1.4295242934369572</v>
      </c>
      <c r="DS84" s="8">
        <f t="shared" si="139"/>
        <v>2.0435397055264315</v>
      </c>
      <c r="DT84" s="134">
        <f t="shared" si="140"/>
        <v>1.4295242934369572</v>
      </c>
      <c r="DU84" s="170">
        <f t="shared" si="254"/>
        <v>2.271823534607841</v>
      </c>
      <c r="DV84" s="170">
        <f t="shared" si="255"/>
        <v>1.5072569570606869</v>
      </c>
      <c r="DW84" s="170">
        <f t="shared" si="255"/>
        <v>2.271823534607841</v>
      </c>
      <c r="DX84" s="272">
        <f t="shared" si="255"/>
        <v>1.5072569570606869</v>
      </c>
      <c r="DY84" s="272">
        <f t="shared" si="142"/>
        <v>7.0470612109986277</v>
      </c>
      <c r="DZ84" s="22">
        <f t="shared" si="12"/>
        <v>684.35092785347365</v>
      </c>
      <c r="EA84" s="216">
        <f t="shared" si="13"/>
        <v>4.4835823269623147E-2</v>
      </c>
      <c r="EB84" s="12">
        <f t="shared" si="143"/>
        <v>6</v>
      </c>
      <c r="EC84" s="7">
        <f>ROUND(MAX(DV84,DX84)/'Inputs-Imperial'!$E$21,0)</f>
        <v>13</v>
      </c>
      <c r="ED84" s="12">
        <f t="shared" si="144"/>
        <v>13</v>
      </c>
      <c r="EE84" s="2">
        <f t="shared" si="145"/>
        <v>7</v>
      </c>
      <c r="EF84" s="127">
        <f t="shared" si="146"/>
        <v>7</v>
      </c>
      <c r="EG84" s="2">
        <f t="shared" si="147"/>
        <v>5.5118110236220486E-2</v>
      </c>
      <c r="EH84" s="8">
        <f t="shared" si="14"/>
        <v>0.47184250186397608</v>
      </c>
      <c r="EI84" s="138">
        <f t="shared" si="148"/>
        <v>0.5</v>
      </c>
      <c r="EJ84" s="12">
        <f t="shared" si="15"/>
        <v>11174.473007664574</v>
      </c>
      <c r="EK84" s="138">
        <f t="shared" si="149"/>
        <v>0.5</v>
      </c>
      <c r="EL84" s="116">
        <f t="shared" si="150"/>
        <v>2175570</v>
      </c>
      <c r="EM84" s="2">
        <f t="shared" si="16"/>
        <v>5.5118110236220486E-2</v>
      </c>
      <c r="EN84" s="8">
        <f t="shared" si="151"/>
        <v>10.061575125120001</v>
      </c>
      <c r="EO84" s="116">
        <f t="shared" si="152"/>
        <v>2610.6840000000002</v>
      </c>
      <c r="EP84" s="217">
        <f t="shared" si="153"/>
        <v>1.1194917015460277</v>
      </c>
      <c r="EQ84" s="207">
        <f t="shared" si="154"/>
        <v>2</v>
      </c>
      <c r="ER84" s="144">
        <f t="shared" si="155"/>
        <v>26512.511594042262</v>
      </c>
      <c r="ES84" s="138">
        <f t="shared" si="17"/>
        <v>0.5</v>
      </c>
      <c r="ET84" s="116">
        <f t="shared" si="156"/>
        <v>2175570</v>
      </c>
      <c r="EU84" s="2">
        <f t="shared" si="18"/>
        <v>5.5118110236220486E-2</v>
      </c>
      <c r="EV84" s="8">
        <f t="shared" si="157"/>
        <v>10.061575125120001</v>
      </c>
      <c r="EW84" s="116">
        <f t="shared" si="158"/>
        <v>2610.6840000000002</v>
      </c>
      <c r="EX84" s="217">
        <f t="shared" si="159"/>
        <v>1.1194917015460277</v>
      </c>
      <c r="EY84" s="207">
        <f t="shared" si="160"/>
        <v>2</v>
      </c>
      <c r="EZ84" s="144">
        <f t="shared" si="161"/>
        <v>26512.511594042262</v>
      </c>
      <c r="FA84" s="138">
        <f t="shared" si="19"/>
        <v>0.5</v>
      </c>
      <c r="FB84" s="116">
        <f t="shared" si="162"/>
        <v>2175570</v>
      </c>
      <c r="FC84" s="2">
        <f t="shared" si="20"/>
        <v>5.5118110236220486E-2</v>
      </c>
      <c r="FD84" s="8">
        <f t="shared" si="163"/>
        <v>10.061575125120001</v>
      </c>
      <c r="FE84" s="116">
        <f t="shared" si="164"/>
        <v>2610.6840000000002</v>
      </c>
      <c r="FF84" s="217">
        <f t="shared" si="165"/>
        <v>1.1194917015460277</v>
      </c>
      <c r="FG84" s="207">
        <f t="shared" si="166"/>
        <v>2</v>
      </c>
      <c r="FH84" s="144">
        <f t="shared" si="167"/>
        <v>26512.511594042262</v>
      </c>
      <c r="FI84" s="128">
        <f t="shared" si="168"/>
        <v>0.5</v>
      </c>
      <c r="FJ84" s="2">
        <f t="shared" si="169"/>
        <v>5.5118110236220486E-2</v>
      </c>
      <c r="FK84" s="127">
        <f t="shared" si="170"/>
        <v>5.5118110236220486E-2</v>
      </c>
      <c r="FL84" s="216">
        <f t="shared" si="171"/>
        <v>0.5</v>
      </c>
      <c r="FM84" s="138">
        <f t="shared" si="172"/>
        <v>0</v>
      </c>
      <c r="FN84" s="138">
        <f t="shared" si="173"/>
        <v>0</v>
      </c>
      <c r="FO84" s="238">
        <f t="shared" si="174"/>
        <v>0</v>
      </c>
      <c r="FP84" s="216">
        <f t="shared" si="21"/>
        <v>0.75</v>
      </c>
      <c r="FQ84" s="138">
        <f t="shared" si="22"/>
        <v>0</v>
      </c>
      <c r="FR84" s="138">
        <f t="shared" si="23"/>
        <v>0</v>
      </c>
      <c r="FS84" s="238">
        <f t="shared" si="24"/>
        <v>0</v>
      </c>
      <c r="FT84" s="216">
        <f t="shared" si="175"/>
        <v>5.5118110236220486E-2</v>
      </c>
      <c r="FU84" s="138">
        <f t="shared" si="176"/>
        <v>0</v>
      </c>
      <c r="FV84" s="138">
        <f t="shared" si="177"/>
        <v>0</v>
      </c>
      <c r="FW84" s="238">
        <f t="shared" si="178"/>
        <v>0</v>
      </c>
      <c r="FX84" s="216">
        <f t="shared" si="25"/>
        <v>6.2992125984251982E-2</v>
      </c>
      <c r="FY84" s="138">
        <f t="shared" si="26"/>
        <v>0</v>
      </c>
      <c r="FZ84" s="138">
        <f t="shared" si="27"/>
        <v>0</v>
      </c>
      <c r="GA84" s="238">
        <f t="shared" si="28"/>
        <v>0</v>
      </c>
      <c r="GB84" s="216">
        <f t="shared" si="179"/>
        <v>5.5118110236220486E-2</v>
      </c>
      <c r="GC84" s="138">
        <f t="shared" si="180"/>
        <v>0</v>
      </c>
      <c r="GD84" s="138">
        <f t="shared" si="181"/>
        <v>0</v>
      </c>
      <c r="GE84" s="238">
        <f t="shared" si="182"/>
        <v>0</v>
      </c>
      <c r="GF84" s="216">
        <f t="shared" si="29"/>
        <v>6.2992125984251982E-2</v>
      </c>
      <c r="GG84" s="138">
        <f t="shared" si="30"/>
        <v>0</v>
      </c>
      <c r="GH84" s="138">
        <f t="shared" si="31"/>
        <v>0</v>
      </c>
      <c r="GI84" s="238">
        <f t="shared" si="32"/>
        <v>0</v>
      </c>
      <c r="GJ84" s="216">
        <f t="shared" si="183"/>
        <v>0.75</v>
      </c>
      <c r="GK84" s="216">
        <f t="shared" si="184"/>
        <v>6.2992125984251982E-2</v>
      </c>
      <c r="GL84" s="17">
        <f t="shared" si="185"/>
        <v>6.2992125984251982E-2</v>
      </c>
      <c r="GM84" s="216">
        <f t="shared" si="186"/>
        <v>2.4266996597720511E-2</v>
      </c>
      <c r="GN84" s="2">
        <f t="shared" si="187"/>
        <v>4</v>
      </c>
      <c r="GO84" s="2">
        <f t="shared" si="188"/>
        <v>2</v>
      </c>
      <c r="GP84" s="142">
        <f t="shared" si="189"/>
        <v>2</v>
      </c>
      <c r="GQ84" s="2">
        <f t="shared" si="190"/>
        <v>1.5748031496062995E-2</v>
      </c>
      <c r="GR84" s="8">
        <f t="shared" si="33"/>
        <v>0.25538062094982655</v>
      </c>
      <c r="GS84" s="138">
        <f t="shared" si="191"/>
        <v>0.5</v>
      </c>
      <c r="GT84" s="12">
        <f t="shared" si="34"/>
        <v>21168.299707504913</v>
      </c>
      <c r="GU84" s="138">
        <f t="shared" si="192"/>
        <v>0.5</v>
      </c>
      <c r="GV84" s="116">
        <f t="shared" si="193"/>
        <v>2175570</v>
      </c>
      <c r="GW84" s="2">
        <f t="shared" si="35"/>
        <v>5.5118110236220486E-2</v>
      </c>
      <c r="GX84" s="8">
        <f t="shared" si="36"/>
        <v>5.0307875625600005</v>
      </c>
      <c r="GY84" s="116">
        <f t="shared" si="194"/>
        <v>2610.6840000000002</v>
      </c>
      <c r="GZ84" s="217">
        <f t="shared" si="195"/>
        <v>4.4779668061841109</v>
      </c>
      <c r="HA84" s="207">
        <f t="shared" si="196"/>
        <v>2</v>
      </c>
      <c r="HB84" s="144">
        <f t="shared" si="197"/>
        <v>106050.04637616905</v>
      </c>
      <c r="HC84" s="138">
        <f t="shared" si="37"/>
        <v>0.5</v>
      </c>
      <c r="HD84" s="116">
        <f t="shared" si="198"/>
        <v>2175570</v>
      </c>
      <c r="HE84" s="2">
        <f t="shared" si="38"/>
        <v>5.5118110236220486E-2</v>
      </c>
      <c r="HF84" s="8">
        <f t="shared" si="199"/>
        <v>5.0307875625600005</v>
      </c>
      <c r="HG84" s="116">
        <f t="shared" si="200"/>
        <v>2610.6840000000002</v>
      </c>
      <c r="HH84" s="217">
        <f t="shared" si="201"/>
        <v>4.4779668061841109</v>
      </c>
      <c r="HI84" s="207">
        <f t="shared" si="202"/>
        <v>2</v>
      </c>
      <c r="HJ84" s="144">
        <f t="shared" si="203"/>
        <v>106050.04637616905</v>
      </c>
      <c r="HK84" s="138">
        <f t="shared" si="39"/>
        <v>0.5</v>
      </c>
      <c r="HL84" s="116">
        <f t="shared" si="204"/>
        <v>2175570</v>
      </c>
      <c r="HM84" s="2">
        <f t="shared" si="40"/>
        <v>5.5118110236220486E-2</v>
      </c>
      <c r="HN84" s="8">
        <f t="shared" si="205"/>
        <v>5.0307875625600005</v>
      </c>
      <c r="HO84" s="116">
        <f t="shared" si="206"/>
        <v>2610.6840000000002</v>
      </c>
      <c r="HP84" s="217">
        <f t="shared" si="207"/>
        <v>4.4779668061841109</v>
      </c>
      <c r="HQ84" s="207">
        <f t="shared" si="208"/>
        <v>2</v>
      </c>
      <c r="HR84" s="144">
        <f t="shared" si="209"/>
        <v>106050.04637616905</v>
      </c>
      <c r="HS84" s="128">
        <f t="shared" si="210"/>
        <v>0.5</v>
      </c>
      <c r="HT84" s="2">
        <f t="shared" si="211"/>
        <v>1.5748031496062995E-2</v>
      </c>
      <c r="HU84" s="127">
        <f t="shared" si="212"/>
        <v>1.5748031496062995E-2</v>
      </c>
      <c r="HV84" s="216">
        <f t="shared" si="213"/>
        <v>0.5</v>
      </c>
      <c r="HW84" s="138">
        <f t="shared" si="214"/>
        <v>0</v>
      </c>
      <c r="HX84" s="138">
        <f t="shared" si="215"/>
        <v>0</v>
      </c>
      <c r="HY84" s="238">
        <f t="shared" si="216"/>
        <v>0</v>
      </c>
      <c r="HZ84" s="138">
        <f t="shared" si="217"/>
        <v>0.5</v>
      </c>
      <c r="IA84" s="138">
        <f t="shared" si="218"/>
        <v>0</v>
      </c>
      <c r="IB84" s="138">
        <f t="shared" si="219"/>
        <v>0</v>
      </c>
      <c r="IC84" s="138">
        <f t="shared" si="220"/>
        <v>0</v>
      </c>
      <c r="ID84" s="216">
        <f t="shared" si="221"/>
        <v>1.5748031496062995E-2</v>
      </c>
      <c r="IE84" s="138">
        <f t="shared" si="222"/>
        <v>0</v>
      </c>
      <c r="IF84" s="138">
        <f t="shared" si="223"/>
        <v>0</v>
      </c>
      <c r="IG84" s="238">
        <f t="shared" si="224"/>
        <v>0</v>
      </c>
      <c r="IH84" s="138">
        <f t="shared" si="225"/>
        <v>1.5748031496062995E-2</v>
      </c>
      <c r="II84" s="138">
        <f t="shared" si="226"/>
        <v>0</v>
      </c>
      <c r="IJ84" s="138">
        <f t="shared" si="227"/>
        <v>0</v>
      </c>
      <c r="IK84" s="138">
        <f t="shared" si="228"/>
        <v>0</v>
      </c>
      <c r="IL84" s="216">
        <f t="shared" si="229"/>
        <v>1.5748031496062995E-2</v>
      </c>
      <c r="IM84" s="138">
        <f t="shared" si="230"/>
        <v>0</v>
      </c>
      <c r="IN84" s="138">
        <f t="shared" si="231"/>
        <v>0</v>
      </c>
      <c r="IO84" s="238">
        <f t="shared" si="232"/>
        <v>0</v>
      </c>
      <c r="IP84" s="138">
        <f t="shared" si="233"/>
        <v>1.5748031496062995E-2</v>
      </c>
      <c r="IQ84" s="138">
        <f t="shared" si="234"/>
        <v>0</v>
      </c>
      <c r="IR84" s="138">
        <f t="shared" si="235"/>
        <v>0</v>
      </c>
      <c r="IS84" s="138">
        <f t="shared" si="236"/>
        <v>0</v>
      </c>
      <c r="IT84" s="17">
        <f t="shared" si="237"/>
        <v>0.5</v>
      </c>
      <c r="IU84" s="17">
        <f t="shared" si="238"/>
        <v>1.5748031496062995E-2</v>
      </c>
      <c r="IV84" s="17">
        <f t="shared" si="239"/>
        <v>1.5748031496062995E-2</v>
      </c>
      <c r="IW84" s="253">
        <f t="shared" si="240"/>
        <v>27.948819792000005</v>
      </c>
      <c r="IX84" s="116">
        <f t="shared" si="241"/>
        <v>2441.1072799292715</v>
      </c>
      <c r="IY84" s="8">
        <f t="shared" si="242"/>
        <v>6.3115544200380361E-2</v>
      </c>
      <c r="IZ84" s="8">
        <f t="shared" si="243"/>
        <v>6.3115544200380361E-2</v>
      </c>
      <c r="JA84" s="8">
        <f t="shared" si="244"/>
        <v>3.155777210019018E-2</v>
      </c>
      <c r="JB84" s="134">
        <f t="shared" si="245"/>
        <v>0.17764507339127134</v>
      </c>
      <c r="JC84" s="170">
        <f t="shared" si="256"/>
        <v>3.485943317074526E-2</v>
      </c>
      <c r="JD84" s="272">
        <f t="shared" si="257"/>
        <v>0.18670681072404741</v>
      </c>
      <c r="JE84" s="8"/>
      <c r="JF84" s="8"/>
    </row>
    <row r="85" spans="1:266" x14ac:dyDescent="0.25">
      <c r="A85" s="186">
        <v>25</v>
      </c>
      <c r="B85" s="187">
        <f>A85/100*'Inputs-Imperial'!$E$5</f>
        <v>6.0203413999999995</v>
      </c>
      <c r="C85" s="188">
        <f>'Inputs-Imperial'!$E$10+('Inputs-Imperial'!$E$9-'Inputs-Imperial'!$E$10)*(100-A85)/100</f>
        <v>4.6403380750000007</v>
      </c>
      <c r="D85" s="187">
        <f t="shared" si="248"/>
        <v>0.24081365600000026</v>
      </c>
      <c r="E85" s="188">
        <f t="shared" si="249"/>
        <v>1.1195998447081006</v>
      </c>
      <c r="F85" s="423">
        <f>Loads!P45</f>
        <v>677.19199006612291</v>
      </c>
      <c r="G85" s="423">
        <f>Loads!M45</f>
        <v>6771.919900661228</v>
      </c>
      <c r="H85" s="423">
        <f>Loads!N45</f>
        <v>55196.898081960848</v>
      </c>
      <c r="I85" s="423">
        <f>Loads!V45</f>
        <v>-15031.876378535813</v>
      </c>
      <c r="J85" s="423">
        <f>Loads!Q45</f>
        <v>5519.6898081960871</v>
      </c>
      <c r="K85" s="2">
        <v>25</v>
      </c>
      <c r="L85" s="12">
        <f t="shared" si="41"/>
        <v>72.244096799999994</v>
      </c>
      <c r="M85" s="11">
        <f t="shared" si="42"/>
        <v>55.684056900000009</v>
      </c>
      <c r="N85" s="11">
        <f t="shared" si="43"/>
        <v>2.8897638720000032</v>
      </c>
      <c r="O85" s="152">
        <f t="shared" si="44"/>
        <v>161.22237763796647</v>
      </c>
      <c r="P85" s="151">
        <f t="shared" si="45"/>
        <v>677.19199006612291</v>
      </c>
      <c r="Q85" s="12">
        <f t="shared" si="46"/>
        <v>6771.919900661228</v>
      </c>
      <c r="R85" s="12">
        <f t="shared" si="47"/>
        <v>662362.77698353014</v>
      </c>
      <c r="S85" s="12">
        <f t="shared" si="48"/>
        <v>-180382.51654242974</v>
      </c>
      <c r="T85" s="152">
        <f t="shared" si="49"/>
        <v>66236.277698353049</v>
      </c>
      <c r="U85" s="8">
        <f t="shared" si="0"/>
        <v>10.023130242000001</v>
      </c>
      <c r="V85" s="8">
        <f t="shared" si="1"/>
        <v>10.023130242000001</v>
      </c>
      <c r="W85" s="134">
        <f t="shared" si="2"/>
        <v>5.0115651210000003</v>
      </c>
      <c r="X85" s="311">
        <f t="shared" si="3"/>
        <v>13.921014225000002</v>
      </c>
      <c r="Y85" s="11">
        <f t="shared" si="4"/>
        <v>41.763042675000008</v>
      </c>
      <c r="Z85" s="11">
        <f t="shared" si="5"/>
        <v>27.842028450000008</v>
      </c>
      <c r="AA85" s="316">
        <f t="shared" si="50"/>
        <v>41.763042675000008</v>
      </c>
      <c r="AB85" s="170">
        <f t="shared" si="51"/>
        <v>7.5173476815000004</v>
      </c>
      <c r="AC85" s="11">
        <f t="shared" si="52"/>
        <v>41.763042675000008</v>
      </c>
      <c r="AD85" s="152">
        <f t="shared" si="53"/>
        <v>246.57364226823381</v>
      </c>
      <c r="AE85" s="151">
        <f t="shared" si="6"/>
        <v>16.215101838628733</v>
      </c>
      <c r="AF85" s="12">
        <f t="shared" si="54"/>
        <v>365.77818067472435</v>
      </c>
      <c r="AG85" s="216">
        <f t="shared" si="7"/>
        <v>2.5026609313838741E-2</v>
      </c>
      <c r="AH85" s="2">
        <f t="shared" si="55"/>
        <v>4</v>
      </c>
      <c r="AI85" s="2">
        <f t="shared" si="56"/>
        <v>3</v>
      </c>
      <c r="AJ85" s="127">
        <f t="shared" si="57"/>
        <v>2</v>
      </c>
      <c r="AK85" s="2">
        <f t="shared" si="58"/>
        <v>1.5748031496062995E-2</v>
      </c>
      <c r="AL85" s="8">
        <f t="shared" si="8"/>
        <v>0.2633746207982412</v>
      </c>
      <c r="AM85" s="138">
        <f t="shared" si="59"/>
        <v>0.5</v>
      </c>
      <c r="AN85" s="12">
        <f t="shared" si="9"/>
        <v>21830.916095638124</v>
      </c>
      <c r="AO85" s="138">
        <f t="shared" si="60"/>
        <v>0.5</v>
      </c>
      <c r="AP85" s="116">
        <f t="shared" si="61"/>
        <v>2175570</v>
      </c>
      <c r="AQ85" s="2">
        <f t="shared" si="62"/>
        <v>1.5748031496062995E-2</v>
      </c>
      <c r="AR85" s="8">
        <f t="shared" si="63"/>
        <v>27.842028450000008</v>
      </c>
      <c r="AS85" s="116">
        <f t="shared" si="64"/>
        <v>2610.6840000000002</v>
      </c>
      <c r="AT85" s="217">
        <f t="shared" si="65"/>
        <v>4.1771785276872149E-2</v>
      </c>
      <c r="AU85" s="207">
        <f t="shared" si="66"/>
        <v>4.6201231568386492</v>
      </c>
      <c r="AV85" s="144">
        <f t="shared" si="67"/>
        <v>7998.427837616443</v>
      </c>
      <c r="AW85" s="138">
        <f t="shared" si="68"/>
        <v>1.5</v>
      </c>
      <c r="AX85" s="116">
        <f t="shared" si="69"/>
        <v>2175570</v>
      </c>
      <c r="AY85" s="2">
        <f t="shared" si="70"/>
        <v>1.5748031496062995E-2</v>
      </c>
      <c r="AZ85" s="8">
        <f t="shared" si="71"/>
        <v>27.842028450000008</v>
      </c>
      <c r="BA85" s="116">
        <f t="shared" si="72"/>
        <v>2610.6840000000002</v>
      </c>
      <c r="BB85" s="217">
        <f t="shared" si="73"/>
        <v>0.12531535583061643</v>
      </c>
      <c r="BC85" s="207">
        <f t="shared" si="74"/>
        <v>3.6503980294118654</v>
      </c>
      <c r="BD85" s="144">
        <f t="shared" si="75"/>
        <v>56876.62385417008</v>
      </c>
      <c r="BE85" s="138">
        <f t="shared" si="76"/>
        <v>1.5</v>
      </c>
      <c r="BF85" s="116">
        <f t="shared" si="77"/>
        <v>2175570</v>
      </c>
      <c r="BG85" s="2">
        <f t="shared" si="78"/>
        <v>1.5748031496062995E-2</v>
      </c>
      <c r="BH85" s="8">
        <f t="shared" si="79"/>
        <v>27.842028450000008</v>
      </c>
      <c r="BI85" s="116">
        <f t="shared" si="80"/>
        <v>2610.6840000000002</v>
      </c>
      <c r="BJ85" s="217">
        <f t="shared" si="81"/>
        <v>0.12531535583061643</v>
      </c>
      <c r="BK85" s="207">
        <f t="shared" si="82"/>
        <v>3.6503980294118654</v>
      </c>
      <c r="BL85" s="144">
        <f t="shared" si="83"/>
        <v>56876.62385417008</v>
      </c>
      <c r="BM85" s="216">
        <f t="shared" si="84"/>
        <v>1.5</v>
      </c>
      <c r="BN85" s="216">
        <f t="shared" si="85"/>
        <v>2.3622047244094495E-2</v>
      </c>
      <c r="BO85" s="238">
        <f t="shared" si="86"/>
        <v>1.5748031496062995E-2</v>
      </c>
      <c r="BP85" s="216">
        <f t="shared" si="87"/>
        <v>0</v>
      </c>
      <c r="BQ85" s="138">
        <f t="shared" si="88"/>
        <v>1.5</v>
      </c>
      <c r="BR85" s="138">
        <f t="shared" si="89"/>
        <v>0</v>
      </c>
      <c r="BS85" s="238">
        <f t="shared" si="90"/>
        <v>0</v>
      </c>
      <c r="BT85" s="138">
        <f t="shared" si="91"/>
        <v>0</v>
      </c>
      <c r="BU85" s="138">
        <f t="shared" si="92"/>
        <v>2.5</v>
      </c>
      <c r="BV85" s="138">
        <f t="shared" si="93"/>
        <v>0</v>
      </c>
      <c r="BW85" s="238">
        <f t="shared" si="94"/>
        <v>0</v>
      </c>
      <c r="BX85" s="216">
        <f t="shared" si="95"/>
        <v>0</v>
      </c>
      <c r="BY85" s="138">
        <f t="shared" si="96"/>
        <v>2.3622047244094495E-2</v>
      </c>
      <c r="BZ85" s="138">
        <f t="shared" si="97"/>
        <v>0</v>
      </c>
      <c r="CA85" s="238">
        <f t="shared" si="98"/>
        <v>0</v>
      </c>
      <c r="CB85" s="138">
        <f t="shared" si="99"/>
        <v>0</v>
      </c>
      <c r="CC85" s="138">
        <f t="shared" si="100"/>
        <v>2.3622047244094495E-2</v>
      </c>
      <c r="CD85" s="138">
        <f t="shared" si="101"/>
        <v>0</v>
      </c>
      <c r="CE85" s="238">
        <f t="shared" si="102"/>
        <v>0</v>
      </c>
      <c r="CF85" s="216">
        <f t="shared" si="103"/>
        <v>0</v>
      </c>
      <c r="CG85" s="138">
        <f t="shared" si="104"/>
        <v>1.5748031496062995E-2</v>
      </c>
      <c r="CH85" s="138">
        <f t="shared" si="105"/>
        <v>0</v>
      </c>
      <c r="CI85" s="238">
        <f t="shared" si="106"/>
        <v>0</v>
      </c>
      <c r="CJ85" s="138">
        <f t="shared" si="107"/>
        <v>0</v>
      </c>
      <c r="CK85" s="138">
        <f t="shared" si="108"/>
        <v>1.5748031496062995E-2</v>
      </c>
      <c r="CL85" s="138">
        <f t="shared" si="109"/>
        <v>0</v>
      </c>
      <c r="CM85" s="238">
        <f t="shared" si="110"/>
        <v>0</v>
      </c>
      <c r="CN85" s="17">
        <f t="shared" si="111"/>
        <v>2.5</v>
      </c>
      <c r="CO85" s="17">
        <f t="shared" si="112"/>
        <v>2.3622047244094495E-2</v>
      </c>
      <c r="CP85" s="17">
        <f t="shared" si="113"/>
        <v>1.5748031496062995E-2</v>
      </c>
      <c r="CQ85" s="17">
        <f>$U85-IF('Inputs-Imperial'!$E$13,0,2)*($CO85+$CN85+$CP85)</f>
        <v>10.023130242000001</v>
      </c>
      <c r="CR85" s="116">
        <f t="shared" si="114"/>
        <v>66083.425136792721</v>
      </c>
      <c r="CS85" s="8">
        <f t="shared" si="10"/>
        <v>1.7086063256730835</v>
      </c>
      <c r="CT85" s="8">
        <f t="shared" si="115"/>
        <v>1.3071366897433043</v>
      </c>
      <c r="CU85" s="8">
        <f t="shared" si="11"/>
        <v>1.7086063256730835</v>
      </c>
      <c r="CV85" s="8">
        <f t="shared" si="116"/>
        <v>1.3071366897433043</v>
      </c>
      <c r="CW85" s="216">
        <f t="shared" si="117"/>
        <v>8.7159935522566947</v>
      </c>
      <c r="CX85" s="116">
        <f t="shared" si="118"/>
        <v>75993.949859225744</v>
      </c>
      <c r="CY85" s="8">
        <f t="shared" si="119"/>
        <v>1.9648458471028043</v>
      </c>
      <c r="CZ85" s="8">
        <f t="shared" si="120"/>
        <v>1.4017295912917029</v>
      </c>
      <c r="DA85" s="8">
        <f t="shared" si="121"/>
        <v>1.9648458471028043</v>
      </c>
      <c r="DB85" s="8">
        <f t="shared" si="122"/>
        <v>1.4017295912917029</v>
      </c>
      <c r="DC85" s="216">
        <f t="shared" si="123"/>
        <v>8.6214006507082992</v>
      </c>
      <c r="DD85" s="116">
        <f t="shared" si="124"/>
        <v>76827.745724717373</v>
      </c>
      <c r="DE85" s="8">
        <f t="shared" si="125"/>
        <v>1.9864038835869919</v>
      </c>
      <c r="DF85" s="8">
        <f t="shared" si="126"/>
        <v>1.4093984119428373</v>
      </c>
      <c r="DG85" s="8">
        <f t="shared" si="127"/>
        <v>1.9864038835869919</v>
      </c>
      <c r="DH85" s="8">
        <f t="shared" si="128"/>
        <v>1.4093984119428373</v>
      </c>
      <c r="DI85" s="216">
        <f t="shared" si="129"/>
        <v>8.6137318300571621</v>
      </c>
      <c r="DJ85" s="116">
        <f t="shared" si="130"/>
        <v>76896.145602333505</v>
      </c>
      <c r="DK85" s="8">
        <f t="shared" si="131"/>
        <v>1.9881723824704602</v>
      </c>
      <c r="DL85" s="8">
        <f t="shared" si="132"/>
        <v>1.4100256673090956</v>
      </c>
      <c r="DM85" s="8">
        <f t="shared" si="133"/>
        <v>1.9881723824704602</v>
      </c>
      <c r="DN85" s="8">
        <f t="shared" si="134"/>
        <v>1.4100256673090956</v>
      </c>
      <c r="DO85" s="216">
        <f t="shared" si="253"/>
        <v>8.6131045746909045</v>
      </c>
      <c r="DP85" s="116">
        <f t="shared" si="136"/>
        <v>76901.745617932436</v>
      </c>
      <c r="DQ85" s="170">
        <f t="shared" si="137"/>
        <v>1.9883171725151105</v>
      </c>
      <c r="DR85" s="8">
        <f t="shared" si="138"/>
        <v>1.4100770094271839</v>
      </c>
      <c r="DS85" s="8">
        <f t="shared" si="139"/>
        <v>1.9883171725151105</v>
      </c>
      <c r="DT85" s="134">
        <f t="shared" si="140"/>
        <v>1.4100770094271839</v>
      </c>
      <c r="DU85" s="170">
        <f t="shared" si="254"/>
        <v>2.271823534607841</v>
      </c>
      <c r="DV85" s="170">
        <f t="shared" si="255"/>
        <v>1.5072569570606869</v>
      </c>
      <c r="DW85" s="170">
        <f t="shared" si="255"/>
        <v>2.271823534607841</v>
      </c>
      <c r="DX85" s="272">
        <f t="shared" si="255"/>
        <v>1.5072569570606869</v>
      </c>
      <c r="DY85" s="272">
        <f t="shared" si="142"/>
        <v>7.0086163278786273</v>
      </c>
      <c r="DZ85" s="22">
        <f t="shared" si="12"/>
        <v>675.62924327619726</v>
      </c>
      <c r="EA85" s="216">
        <f t="shared" si="13"/>
        <v>4.4264414811762638E-2</v>
      </c>
      <c r="EB85" s="12">
        <f t="shared" si="143"/>
        <v>6</v>
      </c>
      <c r="EC85" s="7">
        <f>ROUND(MAX(DV85,DX85)/'Inputs-Imperial'!$E$21,0)</f>
        <v>13</v>
      </c>
      <c r="ED85" s="12">
        <f t="shared" si="144"/>
        <v>13</v>
      </c>
      <c r="EE85" s="2">
        <f t="shared" si="145"/>
        <v>7</v>
      </c>
      <c r="EF85" s="127">
        <f t="shared" si="146"/>
        <v>7</v>
      </c>
      <c r="EG85" s="2">
        <f t="shared" si="147"/>
        <v>5.5118110236220486E-2</v>
      </c>
      <c r="EH85" s="8">
        <f t="shared" si="14"/>
        <v>0.46582912290309936</v>
      </c>
      <c r="EI85" s="138">
        <f t="shared" si="148"/>
        <v>0.5</v>
      </c>
      <c r="EJ85" s="12">
        <f t="shared" si="15"/>
        <v>11032.060358067047</v>
      </c>
      <c r="EK85" s="138">
        <f t="shared" si="149"/>
        <v>0.5</v>
      </c>
      <c r="EL85" s="116">
        <f t="shared" si="150"/>
        <v>2175570</v>
      </c>
      <c r="EM85" s="2">
        <f t="shared" si="16"/>
        <v>5.5118110236220486E-2</v>
      </c>
      <c r="EN85" s="8">
        <f t="shared" si="151"/>
        <v>10.023130242000001</v>
      </c>
      <c r="EO85" s="116">
        <f t="shared" si="152"/>
        <v>2610.6840000000002</v>
      </c>
      <c r="EP85" s="217">
        <f t="shared" si="153"/>
        <v>1.1280960530019486</v>
      </c>
      <c r="EQ85" s="207">
        <f t="shared" si="154"/>
        <v>2</v>
      </c>
      <c r="ER85" s="144">
        <f t="shared" si="155"/>
        <v>26716.285295463433</v>
      </c>
      <c r="ES85" s="138">
        <f t="shared" si="17"/>
        <v>0.5</v>
      </c>
      <c r="ET85" s="116">
        <f t="shared" si="156"/>
        <v>2175570</v>
      </c>
      <c r="EU85" s="2">
        <f t="shared" si="18"/>
        <v>5.5118110236220486E-2</v>
      </c>
      <c r="EV85" s="8">
        <f t="shared" si="157"/>
        <v>10.023130242000001</v>
      </c>
      <c r="EW85" s="116">
        <f t="shared" si="158"/>
        <v>2610.6840000000002</v>
      </c>
      <c r="EX85" s="217">
        <f t="shared" si="159"/>
        <v>1.1280960530019486</v>
      </c>
      <c r="EY85" s="207">
        <f t="shared" si="160"/>
        <v>2</v>
      </c>
      <c r="EZ85" s="144">
        <f t="shared" si="161"/>
        <v>26716.285295463433</v>
      </c>
      <c r="FA85" s="138">
        <f t="shared" si="19"/>
        <v>0.5</v>
      </c>
      <c r="FB85" s="116">
        <f t="shared" si="162"/>
        <v>2175570</v>
      </c>
      <c r="FC85" s="2">
        <f t="shared" si="20"/>
        <v>5.5118110236220486E-2</v>
      </c>
      <c r="FD85" s="8">
        <f t="shared" si="163"/>
        <v>10.023130242000001</v>
      </c>
      <c r="FE85" s="116">
        <f t="shared" si="164"/>
        <v>2610.6840000000002</v>
      </c>
      <c r="FF85" s="217">
        <f t="shared" si="165"/>
        <v>1.1280960530019486</v>
      </c>
      <c r="FG85" s="207">
        <f t="shared" si="166"/>
        <v>2</v>
      </c>
      <c r="FH85" s="144">
        <f t="shared" si="167"/>
        <v>26716.285295463433</v>
      </c>
      <c r="FI85" s="128">
        <f t="shared" si="168"/>
        <v>0.5</v>
      </c>
      <c r="FJ85" s="2">
        <f t="shared" si="169"/>
        <v>5.5118110236220486E-2</v>
      </c>
      <c r="FK85" s="127">
        <f t="shared" si="170"/>
        <v>5.5118110236220486E-2</v>
      </c>
      <c r="FL85" s="216">
        <f t="shared" si="171"/>
        <v>0</v>
      </c>
      <c r="FM85" s="138">
        <f t="shared" si="172"/>
        <v>0.5</v>
      </c>
      <c r="FN85" s="138">
        <f t="shared" si="173"/>
        <v>0</v>
      </c>
      <c r="FO85" s="238">
        <f t="shared" si="174"/>
        <v>0</v>
      </c>
      <c r="FP85" s="216">
        <f t="shared" si="21"/>
        <v>0</v>
      </c>
      <c r="FQ85" s="138">
        <f t="shared" si="22"/>
        <v>0.5</v>
      </c>
      <c r="FR85" s="138">
        <f t="shared" si="23"/>
        <v>0</v>
      </c>
      <c r="FS85" s="238">
        <f t="shared" si="24"/>
        <v>0</v>
      </c>
      <c r="FT85" s="216">
        <f t="shared" si="175"/>
        <v>0</v>
      </c>
      <c r="FU85" s="138">
        <f t="shared" si="176"/>
        <v>5.5118110236220486E-2</v>
      </c>
      <c r="FV85" s="138">
        <f t="shared" si="177"/>
        <v>0</v>
      </c>
      <c r="FW85" s="238">
        <f t="shared" si="178"/>
        <v>0</v>
      </c>
      <c r="FX85" s="216">
        <f t="shared" si="25"/>
        <v>0</v>
      </c>
      <c r="FY85" s="138">
        <f t="shared" si="26"/>
        <v>5.5118110236220486E-2</v>
      </c>
      <c r="FZ85" s="138">
        <f t="shared" si="27"/>
        <v>0</v>
      </c>
      <c r="GA85" s="238">
        <f t="shared" si="28"/>
        <v>0</v>
      </c>
      <c r="GB85" s="216">
        <f t="shared" si="179"/>
        <v>0</v>
      </c>
      <c r="GC85" s="138">
        <f t="shared" si="180"/>
        <v>5.5118110236220486E-2</v>
      </c>
      <c r="GD85" s="138">
        <f t="shared" si="181"/>
        <v>0</v>
      </c>
      <c r="GE85" s="238">
        <f t="shared" si="182"/>
        <v>0</v>
      </c>
      <c r="GF85" s="216">
        <f t="shared" si="29"/>
        <v>0</v>
      </c>
      <c r="GG85" s="138">
        <f t="shared" si="30"/>
        <v>5.5118110236220486E-2</v>
      </c>
      <c r="GH85" s="138">
        <f t="shared" si="31"/>
        <v>0</v>
      </c>
      <c r="GI85" s="238">
        <f t="shared" si="32"/>
        <v>0</v>
      </c>
      <c r="GJ85" s="216">
        <f t="shared" si="183"/>
        <v>0.5</v>
      </c>
      <c r="GK85" s="216">
        <f t="shared" si="184"/>
        <v>5.5118110236220486E-2</v>
      </c>
      <c r="GL85" s="17">
        <f t="shared" si="185"/>
        <v>5.5118110236220486E-2</v>
      </c>
      <c r="GM85" s="216">
        <f t="shared" si="186"/>
        <v>2.3964263358356434E-2</v>
      </c>
      <c r="GN85" s="2">
        <f t="shared" si="187"/>
        <v>4</v>
      </c>
      <c r="GO85" s="2">
        <f t="shared" si="188"/>
        <v>2</v>
      </c>
      <c r="GP85" s="142">
        <f t="shared" si="189"/>
        <v>2</v>
      </c>
      <c r="GQ85" s="2">
        <f t="shared" si="190"/>
        <v>1.5748031496062995E-2</v>
      </c>
      <c r="GR85" s="8">
        <f t="shared" si="33"/>
        <v>0.25219472184856678</v>
      </c>
      <c r="GS85" s="138">
        <f t="shared" si="191"/>
        <v>0.5</v>
      </c>
      <c r="GT85" s="12">
        <f t="shared" si="34"/>
        <v>20904.223025560492</v>
      </c>
      <c r="GU85" s="138">
        <f t="shared" si="192"/>
        <v>0.5</v>
      </c>
      <c r="GV85" s="116">
        <f t="shared" si="193"/>
        <v>2175570</v>
      </c>
      <c r="GW85" s="2">
        <f t="shared" si="35"/>
        <v>5.5118110236220486E-2</v>
      </c>
      <c r="GX85" s="8">
        <f t="shared" si="36"/>
        <v>5.0115651210000003</v>
      </c>
      <c r="GY85" s="116">
        <f t="shared" si="194"/>
        <v>2610.6840000000002</v>
      </c>
      <c r="GZ85" s="217">
        <f t="shared" si="195"/>
        <v>4.5123842120077944</v>
      </c>
      <c r="HA85" s="207">
        <f t="shared" si="196"/>
        <v>2</v>
      </c>
      <c r="HB85" s="144">
        <f t="shared" si="197"/>
        <v>106865.14118185373</v>
      </c>
      <c r="HC85" s="138">
        <f t="shared" si="37"/>
        <v>0.5</v>
      </c>
      <c r="HD85" s="116">
        <f t="shared" si="198"/>
        <v>2175570</v>
      </c>
      <c r="HE85" s="2">
        <f t="shared" si="38"/>
        <v>5.5118110236220486E-2</v>
      </c>
      <c r="HF85" s="8">
        <f t="shared" si="199"/>
        <v>5.0115651210000003</v>
      </c>
      <c r="HG85" s="116">
        <f t="shared" si="200"/>
        <v>2610.6840000000002</v>
      </c>
      <c r="HH85" s="217">
        <f t="shared" si="201"/>
        <v>4.5123842120077944</v>
      </c>
      <c r="HI85" s="207">
        <f t="shared" si="202"/>
        <v>2</v>
      </c>
      <c r="HJ85" s="144">
        <f t="shared" si="203"/>
        <v>106865.14118185373</v>
      </c>
      <c r="HK85" s="138">
        <f t="shared" si="39"/>
        <v>0.5</v>
      </c>
      <c r="HL85" s="116">
        <f t="shared" si="204"/>
        <v>2175570</v>
      </c>
      <c r="HM85" s="2">
        <f t="shared" si="40"/>
        <v>5.5118110236220486E-2</v>
      </c>
      <c r="HN85" s="8">
        <f t="shared" si="205"/>
        <v>5.0115651210000003</v>
      </c>
      <c r="HO85" s="116">
        <f t="shared" si="206"/>
        <v>2610.6840000000002</v>
      </c>
      <c r="HP85" s="217">
        <f t="shared" si="207"/>
        <v>4.5123842120077944</v>
      </c>
      <c r="HQ85" s="207">
        <f t="shared" si="208"/>
        <v>2</v>
      </c>
      <c r="HR85" s="144">
        <f t="shared" si="209"/>
        <v>106865.14118185373</v>
      </c>
      <c r="HS85" s="128">
        <f t="shared" si="210"/>
        <v>0.5</v>
      </c>
      <c r="HT85" s="2">
        <f t="shared" si="211"/>
        <v>1.5748031496062995E-2</v>
      </c>
      <c r="HU85" s="127">
        <f t="shared" si="212"/>
        <v>1.5748031496062995E-2</v>
      </c>
      <c r="HV85" s="216">
        <f t="shared" si="213"/>
        <v>0</v>
      </c>
      <c r="HW85" s="138">
        <f t="shared" si="214"/>
        <v>0.5</v>
      </c>
      <c r="HX85" s="138">
        <f t="shared" si="215"/>
        <v>0</v>
      </c>
      <c r="HY85" s="238">
        <f t="shared" si="216"/>
        <v>0</v>
      </c>
      <c r="HZ85" s="138">
        <f t="shared" si="217"/>
        <v>0</v>
      </c>
      <c r="IA85" s="138">
        <f t="shared" si="218"/>
        <v>0.5</v>
      </c>
      <c r="IB85" s="138">
        <f t="shared" si="219"/>
        <v>0</v>
      </c>
      <c r="IC85" s="138">
        <f t="shared" si="220"/>
        <v>0</v>
      </c>
      <c r="ID85" s="216">
        <f t="shared" si="221"/>
        <v>0</v>
      </c>
      <c r="IE85" s="138">
        <f t="shared" si="222"/>
        <v>1.5748031496062995E-2</v>
      </c>
      <c r="IF85" s="138">
        <f t="shared" si="223"/>
        <v>0</v>
      </c>
      <c r="IG85" s="238">
        <f t="shared" si="224"/>
        <v>0</v>
      </c>
      <c r="IH85" s="138">
        <f t="shared" si="225"/>
        <v>0</v>
      </c>
      <c r="II85" s="138">
        <f t="shared" si="226"/>
        <v>1.5748031496062995E-2</v>
      </c>
      <c r="IJ85" s="138">
        <f t="shared" si="227"/>
        <v>0</v>
      </c>
      <c r="IK85" s="138">
        <f t="shared" si="228"/>
        <v>0</v>
      </c>
      <c r="IL85" s="216">
        <f t="shared" si="229"/>
        <v>0</v>
      </c>
      <c r="IM85" s="138">
        <f t="shared" si="230"/>
        <v>1.5748031496062995E-2</v>
      </c>
      <c r="IN85" s="138">
        <f t="shared" si="231"/>
        <v>0</v>
      </c>
      <c r="IO85" s="238">
        <f t="shared" si="232"/>
        <v>0</v>
      </c>
      <c r="IP85" s="138">
        <f t="shared" si="233"/>
        <v>0</v>
      </c>
      <c r="IQ85" s="138">
        <f t="shared" si="234"/>
        <v>1.5748031496062995E-2</v>
      </c>
      <c r="IR85" s="138">
        <f t="shared" si="235"/>
        <v>0</v>
      </c>
      <c r="IS85" s="138">
        <f t="shared" si="236"/>
        <v>0</v>
      </c>
      <c r="IT85" s="17">
        <f t="shared" si="237"/>
        <v>0.5</v>
      </c>
      <c r="IU85" s="17">
        <f t="shared" si="238"/>
        <v>1.5748031496062995E-2</v>
      </c>
      <c r="IV85" s="17">
        <f t="shared" si="239"/>
        <v>1.5748031496062995E-2</v>
      </c>
      <c r="IW85" s="253">
        <f t="shared" si="240"/>
        <v>27.842028450000008</v>
      </c>
      <c r="IX85" s="116">
        <f t="shared" si="241"/>
        <v>2379.0033049245385</v>
      </c>
      <c r="IY85" s="8">
        <f t="shared" si="242"/>
        <v>6.1509827724231018E-2</v>
      </c>
      <c r="IZ85" s="8">
        <f t="shared" si="243"/>
        <v>6.1509827724231018E-2</v>
      </c>
      <c r="JA85" s="8">
        <f t="shared" si="244"/>
        <v>3.0754913862115509E-2</v>
      </c>
      <c r="JB85" s="134">
        <f t="shared" si="245"/>
        <v>0.17537078964900485</v>
      </c>
      <c r="JC85" s="170">
        <f t="shared" si="256"/>
        <v>3.485943317074526E-2</v>
      </c>
      <c r="JD85" s="272">
        <f t="shared" si="257"/>
        <v>0.18670681072404741</v>
      </c>
      <c r="JE85" s="8"/>
      <c r="JF85" s="8"/>
    </row>
    <row r="86" spans="1:266" x14ac:dyDescent="0.25">
      <c r="A86" s="186">
        <v>26</v>
      </c>
      <c r="B86" s="187">
        <f>A86/100*'Inputs-Imperial'!$E$5</f>
        <v>6.2611550559999998</v>
      </c>
      <c r="C86" s="188">
        <f>'Inputs-Imperial'!$E$10+('Inputs-Imperial'!$E$9-'Inputs-Imperial'!$E$10)*(100-A86)/100</f>
        <v>4.622539518</v>
      </c>
      <c r="D86" s="187">
        <f t="shared" si="248"/>
        <v>0.24081365600000026</v>
      </c>
      <c r="E86" s="188">
        <f t="shared" si="249"/>
        <v>1.1153137091254064</v>
      </c>
      <c r="F86" s="423">
        <f>Loads!P46</f>
        <v>665.85570996797981</v>
      </c>
      <c r="G86" s="423">
        <f>Loads!M46</f>
        <v>6658.5570996797978</v>
      </c>
      <c r="H86" s="423">
        <f>Loads!N46</f>
        <v>53566.12729254346</v>
      </c>
      <c r="I86" s="423">
        <f>Loads!V46</f>
        <v>-14726.970079644552</v>
      </c>
      <c r="J86" s="423">
        <f>Loads!Q46</f>
        <v>5356.6127292543479</v>
      </c>
      <c r="K86" s="2">
        <v>26</v>
      </c>
      <c r="L86" s="12">
        <f t="shared" si="41"/>
        <v>75.133860671999997</v>
      </c>
      <c r="M86" s="11">
        <f t="shared" si="42"/>
        <v>55.470474216</v>
      </c>
      <c r="N86" s="11">
        <f t="shared" si="43"/>
        <v>2.8897638720000032</v>
      </c>
      <c r="O86" s="152">
        <f t="shared" si="44"/>
        <v>160.60517411405851</v>
      </c>
      <c r="P86" s="151">
        <f t="shared" si="45"/>
        <v>665.85570996797981</v>
      </c>
      <c r="Q86" s="12">
        <f t="shared" si="46"/>
        <v>6658.5570996797978</v>
      </c>
      <c r="R86" s="12">
        <f t="shared" si="47"/>
        <v>642793.52751052147</v>
      </c>
      <c r="S86" s="12">
        <f t="shared" si="48"/>
        <v>-176723.64095573462</v>
      </c>
      <c r="T86" s="152">
        <f t="shared" si="49"/>
        <v>64279.352751052174</v>
      </c>
      <c r="U86" s="8">
        <f t="shared" si="0"/>
        <v>9.9846853588800002</v>
      </c>
      <c r="V86" s="8">
        <f t="shared" si="1"/>
        <v>9.9846853588800002</v>
      </c>
      <c r="W86" s="134">
        <f t="shared" si="2"/>
        <v>4.9923426794400001</v>
      </c>
      <c r="X86" s="311">
        <f t="shared" si="3"/>
        <v>13.867618554</v>
      </c>
      <c r="Y86" s="11">
        <f t="shared" si="4"/>
        <v>41.602855661999996</v>
      </c>
      <c r="Z86" s="11">
        <f t="shared" si="5"/>
        <v>27.735237107999996</v>
      </c>
      <c r="AA86" s="316">
        <f t="shared" si="50"/>
        <v>41.602855661999996</v>
      </c>
      <c r="AB86" s="170">
        <f t="shared" si="51"/>
        <v>7.4885140191600001</v>
      </c>
      <c r="AC86" s="11">
        <f t="shared" si="52"/>
        <v>41.602855661999996</v>
      </c>
      <c r="AD86" s="152">
        <f t="shared" si="53"/>
        <v>244.68574601708499</v>
      </c>
      <c r="AE86" s="151">
        <f t="shared" si="6"/>
        <v>16.005048196154757</v>
      </c>
      <c r="AF86" s="12">
        <f t="shared" si="54"/>
        <v>361.12369402873804</v>
      </c>
      <c r="AG86" s="216">
        <f t="shared" si="7"/>
        <v>2.4707904889274757E-2</v>
      </c>
      <c r="AH86" s="2">
        <f t="shared" si="55"/>
        <v>4</v>
      </c>
      <c r="AI86" s="2">
        <f t="shared" si="56"/>
        <v>3</v>
      </c>
      <c r="AJ86" s="127">
        <f t="shared" si="57"/>
        <v>2</v>
      </c>
      <c r="AK86" s="2">
        <f t="shared" si="58"/>
        <v>1.5748031496062995E-2</v>
      </c>
      <c r="AL86" s="8">
        <f t="shared" si="8"/>
        <v>0.26002064440001432</v>
      </c>
      <c r="AM86" s="138">
        <f>IF(ROUNDUP(AL86/$E$42,0)*$E$42&gt;$E$42,ROUNDUP(AL86/$E$42,0)*$E$42,$E$42)</f>
        <v>0.5</v>
      </c>
      <c r="AN86" s="12">
        <f t="shared" si="9"/>
        <v>21552.907618152618</v>
      </c>
      <c r="AO86" s="138">
        <f t="shared" si="60"/>
        <v>0.5</v>
      </c>
      <c r="AP86" s="116">
        <f t="shared" si="61"/>
        <v>2175570</v>
      </c>
      <c r="AQ86" s="2">
        <f t="shared" si="62"/>
        <v>1.5748031496062995E-2</v>
      </c>
      <c r="AR86" s="8">
        <f t="shared" si="63"/>
        <v>27.735237107999996</v>
      </c>
      <c r="AS86" s="116">
        <f t="shared" si="64"/>
        <v>2610.6840000000002</v>
      </c>
      <c r="AT86" s="217">
        <f t="shared" si="65"/>
        <v>4.2094079477133811E-2</v>
      </c>
      <c r="AU86" s="207">
        <f t="shared" si="66"/>
        <v>4.6154461337720729</v>
      </c>
      <c r="AV86" s="144">
        <f t="shared" si="67"/>
        <v>8051.9810652852284</v>
      </c>
      <c r="AW86" s="138">
        <f t="shared" si="68"/>
        <v>1.5</v>
      </c>
      <c r="AX86" s="116">
        <f t="shared" si="69"/>
        <v>2175570</v>
      </c>
      <c r="AY86" s="2">
        <f t="shared" si="70"/>
        <v>1.5748031496062995E-2</v>
      </c>
      <c r="AZ86" s="8">
        <f t="shared" si="71"/>
        <v>27.735237107999996</v>
      </c>
      <c r="BA86" s="116">
        <f t="shared" si="72"/>
        <v>2610.6840000000002</v>
      </c>
      <c r="BB86" s="217">
        <f t="shared" si="73"/>
        <v>0.12628223843140143</v>
      </c>
      <c r="BC86" s="207">
        <f t="shared" si="74"/>
        <v>3.6416757749227138</v>
      </c>
      <c r="BD86" s="144">
        <f t="shared" si="75"/>
        <v>57178.511420430958</v>
      </c>
      <c r="BE86" s="138">
        <f>IF(BD86&gt;AN86,AW86,ROUNDUP(AW86*AN86/BD86/$E$42,0)*$E$42)</f>
        <v>1.5</v>
      </c>
      <c r="BF86" s="116">
        <f t="shared" si="77"/>
        <v>2175570</v>
      </c>
      <c r="BG86" s="2">
        <f t="shared" si="78"/>
        <v>1.5748031496062995E-2</v>
      </c>
      <c r="BH86" s="8">
        <f t="shared" si="79"/>
        <v>27.735237107999996</v>
      </c>
      <c r="BI86" s="116">
        <f t="shared" si="80"/>
        <v>2610.6840000000002</v>
      </c>
      <c r="BJ86" s="217">
        <f t="shared" si="81"/>
        <v>0.12628223843140143</v>
      </c>
      <c r="BK86" s="207">
        <f t="shared" si="82"/>
        <v>3.6416757749227138</v>
      </c>
      <c r="BL86" s="144">
        <f t="shared" si="83"/>
        <v>57178.511420430958</v>
      </c>
      <c r="BM86" s="216">
        <f>IF(BL86&gt;AN86,BE86,ROUNDUP(BE86*AN86/BL86/$E$42,0)*$E$42)</f>
        <v>1.5</v>
      </c>
      <c r="BN86" s="216">
        <f t="shared" si="85"/>
        <v>2.3622047244094495E-2</v>
      </c>
      <c r="BO86" s="238">
        <f t="shared" si="86"/>
        <v>1.5748031496062995E-2</v>
      </c>
      <c r="BP86" s="216">
        <f t="shared" si="87"/>
        <v>0</v>
      </c>
      <c r="BQ86" s="138">
        <f t="shared" si="88"/>
        <v>1.5</v>
      </c>
      <c r="BR86" s="138">
        <f t="shared" si="89"/>
        <v>0</v>
      </c>
      <c r="BS86" s="238">
        <f t="shared" si="90"/>
        <v>0</v>
      </c>
      <c r="BT86" s="138">
        <f t="shared" si="91"/>
        <v>0</v>
      </c>
      <c r="BU86" s="138">
        <f t="shared" si="92"/>
        <v>2.5</v>
      </c>
      <c r="BV86" s="138">
        <f t="shared" si="93"/>
        <v>0</v>
      </c>
      <c r="BW86" s="238">
        <f t="shared" si="94"/>
        <v>0</v>
      </c>
      <c r="BX86" s="216">
        <f t="shared" si="95"/>
        <v>0</v>
      </c>
      <c r="BY86" s="138">
        <f t="shared" si="96"/>
        <v>2.3622047244094495E-2</v>
      </c>
      <c r="BZ86" s="138">
        <f t="shared" si="97"/>
        <v>0</v>
      </c>
      <c r="CA86" s="238">
        <f t="shared" si="98"/>
        <v>0</v>
      </c>
      <c r="CB86" s="138">
        <f t="shared" si="99"/>
        <v>0</v>
      </c>
      <c r="CC86" s="138">
        <f t="shared" si="100"/>
        <v>2.3622047244094495E-2</v>
      </c>
      <c r="CD86" s="138">
        <f t="shared" si="101"/>
        <v>0</v>
      </c>
      <c r="CE86" s="238">
        <f t="shared" si="102"/>
        <v>0</v>
      </c>
      <c r="CF86" s="216">
        <f t="shared" si="103"/>
        <v>0</v>
      </c>
      <c r="CG86" s="138">
        <f t="shared" si="104"/>
        <v>1.5748031496062995E-2</v>
      </c>
      <c r="CH86" s="138">
        <f t="shared" si="105"/>
        <v>0</v>
      </c>
      <c r="CI86" s="238">
        <f t="shared" si="106"/>
        <v>0</v>
      </c>
      <c r="CJ86" s="138">
        <f t="shared" si="107"/>
        <v>0</v>
      </c>
      <c r="CK86" s="138">
        <f t="shared" si="108"/>
        <v>1.5748031496062995E-2</v>
      </c>
      <c r="CL86" s="138">
        <f t="shared" si="109"/>
        <v>0</v>
      </c>
      <c r="CM86" s="238">
        <f t="shared" si="110"/>
        <v>0</v>
      </c>
      <c r="CN86" s="17">
        <f t="shared" si="111"/>
        <v>2.5</v>
      </c>
      <c r="CO86" s="17">
        <f t="shared" si="112"/>
        <v>2.3622047244094495E-2</v>
      </c>
      <c r="CP86" s="17">
        <f t="shared" si="113"/>
        <v>1.5748031496062995E-2</v>
      </c>
      <c r="CQ86" s="17">
        <f>$U86-IF('Inputs-Imperial'!$E$13,0,2)*($CO86+$CN86+$CP86)</f>
        <v>9.9846853588800002</v>
      </c>
      <c r="CR86" s="116">
        <f t="shared" si="114"/>
        <v>64377.945263827998</v>
      </c>
      <c r="CS86" s="8">
        <f t="shared" si="10"/>
        <v>1.6645106436889296</v>
      </c>
      <c r="CT86" s="8">
        <f t="shared" si="115"/>
        <v>1.2901591544026378</v>
      </c>
      <c r="CU86" s="8">
        <f t="shared" si="11"/>
        <v>1.6645106436889296</v>
      </c>
      <c r="CV86" s="8">
        <f t="shared" si="116"/>
        <v>1.2901591544026378</v>
      </c>
      <c r="CW86" s="216">
        <f t="shared" si="117"/>
        <v>8.6945262044773628</v>
      </c>
      <c r="CX86" s="116">
        <f t="shared" si="118"/>
        <v>73930.828706859989</v>
      </c>
      <c r="CY86" s="8">
        <f t="shared" si="119"/>
        <v>1.9115032450166505</v>
      </c>
      <c r="CZ86" s="8">
        <f t="shared" si="120"/>
        <v>1.3825712441016016</v>
      </c>
      <c r="DA86" s="8">
        <f t="shared" si="121"/>
        <v>1.9115032450166505</v>
      </c>
      <c r="DB86" s="8">
        <f t="shared" si="122"/>
        <v>1.3825712441016016</v>
      </c>
      <c r="DC86" s="216">
        <f t="shared" si="123"/>
        <v>8.6021141147783986</v>
      </c>
      <c r="DD86" s="116">
        <f t="shared" si="124"/>
        <v>74725.063970751638</v>
      </c>
      <c r="DE86" s="8">
        <f t="shared" si="125"/>
        <v>1.9320384305514322</v>
      </c>
      <c r="DF86" s="8">
        <f t="shared" si="126"/>
        <v>1.3899778525399</v>
      </c>
      <c r="DG86" s="8">
        <f t="shared" si="127"/>
        <v>1.9320384305514322</v>
      </c>
      <c r="DH86" s="8">
        <f t="shared" si="128"/>
        <v>1.3899778525399</v>
      </c>
      <c r="DI86" s="216">
        <f t="shared" si="129"/>
        <v>8.5947075063401002</v>
      </c>
      <c r="DJ86" s="116">
        <f t="shared" si="130"/>
        <v>74789.459331379083</v>
      </c>
      <c r="DK86" s="8">
        <f t="shared" si="131"/>
        <v>1.9337033914744517</v>
      </c>
      <c r="DL86" s="8">
        <f t="shared" si="132"/>
        <v>1.390576639913979</v>
      </c>
      <c r="DM86" s="8">
        <f t="shared" si="133"/>
        <v>1.9337033914744517</v>
      </c>
      <c r="DN86" s="8">
        <f t="shared" si="134"/>
        <v>1.390576639913979</v>
      </c>
      <c r="DO86" s="216">
        <f t="shared" si="253"/>
        <v>8.5941087189660195</v>
      </c>
      <c r="DP86" s="116">
        <f t="shared" si="136"/>
        <v>74794.670224727815</v>
      </c>
      <c r="DQ86" s="170">
        <f t="shared" si="137"/>
        <v>1.9338381206492732</v>
      </c>
      <c r="DR86" s="8">
        <f t="shared" si="138"/>
        <v>1.3906250827053541</v>
      </c>
      <c r="DS86" s="8">
        <f t="shared" si="139"/>
        <v>1.9338381206492732</v>
      </c>
      <c r="DT86" s="134">
        <f t="shared" si="140"/>
        <v>1.3906250827053541</v>
      </c>
      <c r="DU86" s="170">
        <f t="shared" si="254"/>
        <v>2.271823534607841</v>
      </c>
      <c r="DV86" s="170">
        <f t="shared" si="255"/>
        <v>1.5072569570606869</v>
      </c>
      <c r="DW86" s="170">
        <f t="shared" si="255"/>
        <v>2.271823534607841</v>
      </c>
      <c r="DX86" s="272">
        <f t="shared" si="255"/>
        <v>1.5072569570606869</v>
      </c>
      <c r="DY86" s="272">
        <f t="shared" si="142"/>
        <v>6.9701714447586269</v>
      </c>
      <c r="DZ86" s="22">
        <f t="shared" si="12"/>
        <v>666.87700817311486</v>
      </c>
      <c r="EA86" s="216">
        <f t="shared" si="13"/>
        <v>4.3691004810658622E-2</v>
      </c>
      <c r="EB86" s="12">
        <f t="shared" si="143"/>
        <v>6</v>
      </c>
      <c r="EC86" s="7">
        <f>ROUND(MAX(DV86,DX86)/'Inputs-Imperial'!$E$21,0)</f>
        <v>13</v>
      </c>
      <c r="ED86" s="12">
        <f t="shared" si="144"/>
        <v>13</v>
      </c>
      <c r="EE86" s="2">
        <f t="shared" si="145"/>
        <v>7</v>
      </c>
      <c r="EF86" s="127">
        <f t="shared" si="146"/>
        <v>7</v>
      </c>
      <c r="EG86" s="2">
        <f t="shared" si="147"/>
        <v>5.5118110236220486E-2</v>
      </c>
      <c r="EH86" s="8">
        <f t="shared" si="14"/>
        <v>0.4597946801342509</v>
      </c>
      <c r="EI86" s="138">
        <f t="shared" si="148"/>
        <v>0.5</v>
      </c>
      <c r="EJ86" s="12">
        <f t="shared" si="15"/>
        <v>10889.148862026716</v>
      </c>
      <c r="EK86" s="138">
        <f t="shared" si="149"/>
        <v>0.5</v>
      </c>
      <c r="EL86" s="116">
        <f t="shared" si="150"/>
        <v>2175570</v>
      </c>
      <c r="EM86" s="2">
        <f t="shared" si="16"/>
        <v>5.5118110236220486E-2</v>
      </c>
      <c r="EN86" s="8">
        <f t="shared" si="151"/>
        <v>9.9846853588800002</v>
      </c>
      <c r="EO86" s="116">
        <f t="shared" si="152"/>
        <v>2610.6840000000002</v>
      </c>
      <c r="EP86" s="217">
        <f t="shared" si="153"/>
        <v>1.1367999858793849</v>
      </c>
      <c r="EQ86" s="207">
        <f t="shared" si="154"/>
        <v>2</v>
      </c>
      <c r="ER86" s="144">
        <f t="shared" si="155"/>
        <v>26922.417347186645</v>
      </c>
      <c r="ES86" s="138">
        <f t="shared" si="17"/>
        <v>0.5</v>
      </c>
      <c r="ET86" s="116">
        <f t="shared" si="156"/>
        <v>2175570</v>
      </c>
      <c r="EU86" s="2">
        <f t="shared" si="18"/>
        <v>5.5118110236220486E-2</v>
      </c>
      <c r="EV86" s="8">
        <f t="shared" si="157"/>
        <v>9.9846853588800002</v>
      </c>
      <c r="EW86" s="116">
        <f t="shared" si="158"/>
        <v>2610.6840000000002</v>
      </c>
      <c r="EX86" s="217">
        <f t="shared" si="159"/>
        <v>1.1367999858793849</v>
      </c>
      <c r="EY86" s="207">
        <f t="shared" si="160"/>
        <v>2</v>
      </c>
      <c r="EZ86" s="144">
        <f t="shared" si="161"/>
        <v>26922.417347186645</v>
      </c>
      <c r="FA86" s="138">
        <f t="shared" si="19"/>
        <v>0.5</v>
      </c>
      <c r="FB86" s="116">
        <f t="shared" si="162"/>
        <v>2175570</v>
      </c>
      <c r="FC86" s="2">
        <f t="shared" si="20"/>
        <v>5.5118110236220486E-2</v>
      </c>
      <c r="FD86" s="8">
        <f t="shared" si="163"/>
        <v>9.9846853588800002</v>
      </c>
      <c r="FE86" s="116">
        <f t="shared" si="164"/>
        <v>2610.6840000000002</v>
      </c>
      <c r="FF86" s="217">
        <f t="shared" si="165"/>
        <v>1.1367999858793849</v>
      </c>
      <c r="FG86" s="207">
        <f t="shared" si="166"/>
        <v>2</v>
      </c>
      <c r="FH86" s="144">
        <f t="shared" si="167"/>
        <v>26922.417347186645</v>
      </c>
      <c r="FI86" s="128">
        <f t="shared" si="168"/>
        <v>0.5</v>
      </c>
      <c r="FJ86" s="2">
        <f t="shared" si="169"/>
        <v>5.5118110236220486E-2</v>
      </c>
      <c r="FK86" s="127">
        <f t="shared" si="170"/>
        <v>5.5118110236220486E-2</v>
      </c>
      <c r="FL86" s="216">
        <f t="shared" si="171"/>
        <v>0</v>
      </c>
      <c r="FM86" s="138">
        <f t="shared" si="172"/>
        <v>0.5</v>
      </c>
      <c r="FN86" s="138">
        <f t="shared" si="173"/>
        <v>0</v>
      </c>
      <c r="FO86" s="238">
        <f t="shared" si="174"/>
        <v>0</v>
      </c>
      <c r="FP86" s="216">
        <f t="shared" si="21"/>
        <v>0</v>
      </c>
      <c r="FQ86" s="138">
        <f t="shared" si="22"/>
        <v>0.5</v>
      </c>
      <c r="FR86" s="138">
        <f t="shared" si="23"/>
        <v>0</v>
      </c>
      <c r="FS86" s="238">
        <f t="shared" si="24"/>
        <v>0</v>
      </c>
      <c r="FT86" s="216">
        <f t="shared" si="175"/>
        <v>0</v>
      </c>
      <c r="FU86" s="138">
        <f t="shared" si="176"/>
        <v>5.5118110236220486E-2</v>
      </c>
      <c r="FV86" s="138">
        <f t="shared" si="177"/>
        <v>0</v>
      </c>
      <c r="FW86" s="238">
        <f t="shared" si="178"/>
        <v>0</v>
      </c>
      <c r="FX86" s="216">
        <f t="shared" si="25"/>
        <v>0</v>
      </c>
      <c r="FY86" s="138">
        <f t="shared" si="26"/>
        <v>5.5118110236220486E-2</v>
      </c>
      <c r="FZ86" s="138">
        <f t="shared" si="27"/>
        <v>0</v>
      </c>
      <c r="GA86" s="238">
        <f t="shared" si="28"/>
        <v>0</v>
      </c>
      <c r="GB86" s="216">
        <f t="shared" si="179"/>
        <v>0</v>
      </c>
      <c r="GC86" s="138">
        <f t="shared" si="180"/>
        <v>5.5118110236220486E-2</v>
      </c>
      <c r="GD86" s="138">
        <f t="shared" si="181"/>
        <v>0</v>
      </c>
      <c r="GE86" s="238">
        <f t="shared" si="182"/>
        <v>0</v>
      </c>
      <c r="GF86" s="216">
        <f t="shared" si="29"/>
        <v>0</v>
      </c>
      <c r="GG86" s="138">
        <f t="shared" si="30"/>
        <v>5.5118110236220486E-2</v>
      </c>
      <c r="GH86" s="138">
        <f t="shared" si="31"/>
        <v>0</v>
      </c>
      <c r="GI86" s="238">
        <f t="shared" si="32"/>
        <v>0</v>
      </c>
      <c r="GJ86" s="216">
        <f t="shared" si="183"/>
        <v>0.5</v>
      </c>
      <c r="GK86" s="216">
        <f t="shared" si="184"/>
        <v>5.5118110236220486E-2</v>
      </c>
      <c r="GL86" s="17">
        <f t="shared" si="185"/>
        <v>5.5118110236220486E-2</v>
      </c>
      <c r="GM86" s="216">
        <f t="shared" si="186"/>
        <v>2.3659320773818951E-2</v>
      </c>
      <c r="GN86" s="2">
        <f t="shared" si="187"/>
        <v>4</v>
      </c>
      <c r="GO86" s="2">
        <f t="shared" si="188"/>
        <v>2</v>
      </c>
      <c r="GP86" s="142">
        <f t="shared" si="189"/>
        <v>2</v>
      </c>
      <c r="GQ86" s="2">
        <f t="shared" si="190"/>
        <v>1.5748031496062995E-2</v>
      </c>
      <c r="GR86" s="8">
        <f t="shared" si="33"/>
        <v>0.24898557207679228</v>
      </c>
      <c r="GS86" s="138">
        <f t="shared" si="191"/>
        <v>0.25</v>
      </c>
      <c r="GT86" s="12">
        <f t="shared" si="34"/>
        <v>20638.219113742376</v>
      </c>
      <c r="GU86" s="138">
        <f t="shared" si="192"/>
        <v>0.25</v>
      </c>
      <c r="GV86" s="116">
        <f t="shared" si="193"/>
        <v>2175570</v>
      </c>
      <c r="GW86" s="2">
        <f t="shared" si="35"/>
        <v>5.5118110236220486E-2</v>
      </c>
      <c r="GX86" s="8">
        <f t="shared" si="36"/>
        <v>4.9923426794400001</v>
      </c>
      <c r="GY86" s="116">
        <f t="shared" si="194"/>
        <v>2610.6840000000002</v>
      </c>
      <c r="GZ86" s="217">
        <f t="shared" si="195"/>
        <v>2.2735999717587698</v>
      </c>
      <c r="HA86" s="207">
        <f t="shared" si="196"/>
        <v>2</v>
      </c>
      <c r="HB86" s="144">
        <f t="shared" si="197"/>
        <v>26922.417347186645</v>
      </c>
      <c r="HC86" s="138">
        <f t="shared" si="37"/>
        <v>0.25</v>
      </c>
      <c r="HD86" s="116">
        <f t="shared" si="198"/>
        <v>2175570</v>
      </c>
      <c r="HE86" s="2">
        <f t="shared" si="38"/>
        <v>5.5118110236220486E-2</v>
      </c>
      <c r="HF86" s="8">
        <f t="shared" si="199"/>
        <v>4.9923426794400001</v>
      </c>
      <c r="HG86" s="116">
        <f t="shared" si="200"/>
        <v>2610.6840000000002</v>
      </c>
      <c r="HH86" s="217">
        <f t="shared" si="201"/>
        <v>2.2735999717587698</v>
      </c>
      <c r="HI86" s="207">
        <f t="shared" si="202"/>
        <v>2</v>
      </c>
      <c r="HJ86" s="144">
        <f t="shared" si="203"/>
        <v>26922.417347186645</v>
      </c>
      <c r="HK86" s="138">
        <f t="shared" si="39"/>
        <v>0.25</v>
      </c>
      <c r="HL86" s="116">
        <f t="shared" si="204"/>
        <v>2175570</v>
      </c>
      <c r="HM86" s="2">
        <f t="shared" si="40"/>
        <v>5.5118110236220486E-2</v>
      </c>
      <c r="HN86" s="8">
        <f t="shared" si="205"/>
        <v>4.9923426794400001</v>
      </c>
      <c r="HO86" s="116">
        <f t="shared" si="206"/>
        <v>2610.6840000000002</v>
      </c>
      <c r="HP86" s="217">
        <f t="shared" si="207"/>
        <v>2.2735999717587698</v>
      </c>
      <c r="HQ86" s="207">
        <f t="shared" si="208"/>
        <v>2</v>
      </c>
      <c r="HR86" s="144">
        <f t="shared" si="209"/>
        <v>26922.417347186645</v>
      </c>
      <c r="HS86" s="128">
        <f t="shared" si="210"/>
        <v>0.25</v>
      </c>
      <c r="HT86" s="2">
        <f t="shared" si="211"/>
        <v>1.5748031496062995E-2</v>
      </c>
      <c r="HU86" s="127">
        <f t="shared" si="212"/>
        <v>1.5748031496062995E-2</v>
      </c>
      <c r="HV86" s="216">
        <f t="shared" si="213"/>
        <v>0</v>
      </c>
      <c r="HW86" s="138">
        <f t="shared" si="214"/>
        <v>0.25</v>
      </c>
      <c r="HX86" s="138">
        <f t="shared" si="215"/>
        <v>0</v>
      </c>
      <c r="HY86" s="238">
        <f t="shared" si="216"/>
        <v>0</v>
      </c>
      <c r="HZ86" s="138">
        <f t="shared" si="217"/>
        <v>0</v>
      </c>
      <c r="IA86" s="138">
        <f t="shared" si="218"/>
        <v>0.5</v>
      </c>
      <c r="IB86" s="138">
        <f t="shared" si="219"/>
        <v>0</v>
      </c>
      <c r="IC86" s="138">
        <f t="shared" si="220"/>
        <v>0</v>
      </c>
      <c r="ID86" s="216">
        <f t="shared" si="221"/>
        <v>0</v>
      </c>
      <c r="IE86" s="138">
        <f t="shared" si="222"/>
        <v>1.5748031496062995E-2</v>
      </c>
      <c r="IF86" s="138">
        <f t="shared" si="223"/>
        <v>0</v>
      </c>
      <c r="IG86" s="238">
        <f t="shared" si="224"/>
        <v>0</v>
      </c>
      <c r="IH86" s="138">
        <f t="shared" si="225"/>
        <v>0</v>
      </c>
      <c r="II86" s="138">
        <f t="shared" si="226"/>
        <v>1.5748031496062995E-2</v>
      </c>
      <c r="IJ86" s="138">
        <f t="shared" si="227"/>
        <v>0</v>
      </c>
      <c r="IK86" s="138">
        <f t="shared" si="228"/>
        <v>0</v>
      </c>
      <c r="IL86" s="216">
        <f t="shared" si="229"/>
        <v>0</v>
      </c>
      <c r="IM86" s="138">
        <f t="shared" si="230"/>
        <v>1.5748031496062995E-2</v>
      </c>
      <c r="IN86" s="138">
        <f t="shared" si="231"/>
        <v>0</v>
      </c>
      <c r="IO86" s="238">
        <f t="shared" si="232"/>
        <v>0</v>
      </c>
      <c r="IP86" s="138">
        <f t="shared" si="233"/>
        <v>0</v>
      </c>
      <c r="IQ86" s="138">
        <f t="shared" si="234"/>
        <v>1.5748031496062995E-2</v>
      </c>
      <c r="IR86" s="138">
        <f t="shared" si="235"/>
        <v>0</v>
      </c>
      <c r="IS86" s="138">
        <f t="shared" si="236"/>
        <v>0</v>
      </c>
      <c r="IT86" s="17">
        <f t="shared" si="237"/>
        <v>0.5</v>
      </c>
      <c r="IU86" s="17">
        <f t="shared" si="238"/>
        <v>1.5748031496062995E-2</v>
      </c>
      <c r="IV86" s="17">
        <f t="shared" si="239"/>
        <v>1.5748031496062995E-2</v>
      </c>
      <c r="IW86" s="253">
        <f t="shared" si="240"/>
        <v>27.735237107999996</v>
      </c>
      <c r="IX86" s="116">
        <f t="shared" si="241"/>
        <v>2317.6060294978092</v>
      </c>
      <c r="IY86" s="8">
        <f t="shared" si="242"/>
        <v>5.9922383172801498E-2</v>
      </c>
      <c r="IZ86" s="8">
        <f t="shared" si="243"/>
        <v>5.9922383172801498E-2</v>
      </c>
      <c r="JA86" s="8">
        <f t="shared" si="244"/>
        <v>2.9961191586400749E-2</v>
      </c>
      <c r="JB86" s="134">
        <f t="shared" si="245"/>
        <v>0.17309301426227677</v>
      </c>
      <c r="JC86" s="170">
        <f t="shared" si="256"/>
        <v>3.485943317074526E-2</v>
      </c>
      <c r="JD86" s="272">
        <f t="shared" si="257"/>
        <v>0.18670681072404741</v>
      </c>
      <c r="JE86" s="8"/>
      <c r="JF86" s="8"/>
    </row>
    <row r="87" spans="1:266" x14ac:dyDescent="0.25">
      <c r="A87" s="186">
        <v>27</v>
      </c>
      <c r="B87" s="187">
        <f>A87/100*'Inputs-Imperial'!$E$5</f>
        <v>6.501968712</v>
      </c>
      <c r="C87" s="188">
        <f>'Inputs-Imperial'!$E$10+('Inputs-Imperial'!$E$9-'Inputs-Imperial'!$E$10)*(100-A87)/100</f>
        <v>4.604740961000001</v>
      </c>
      <c r="D87" s="187">
        <f t="shared" si="248"/>
        <v>0.24081365600000026</v>
      </c>
      <c r="E87" s="188">
        <f t="shared" si="249"/>
        <v>1.111027573542712</v>
      </c>
      <c r="F87" s="423">
        <f>Loads!P47</f>
        <v>654.55667074563019</v>
      </c>
      <c r="G87" s="423">
        <f>Loads!M47</f>
        <v>6545.5667074563016</v>
      </c>
      <c r="H87" s="423">
        <f>Loads!N47</f>
        <v>51962.655813684811</v>
      </c>
      <c r="I87" s="423">
        <f>Loads!V47</f>
        <v>-14424.074634337911</v>
      </c>
      <c r="J87" s="423">
        <f>Loads!Q47</f>
        <v>5196.2655813684833</v>
      </c>
      <c r="K87" s="2">
        <v>27</v>
      </c>
      <c r="L87" s="12">
        <f t="shared" si="41"/>
        <v>78.023624544</v>
      </c>
      <c r="M87" s="11">
        <f t="shared" si="42"/>
        <v>55.256891532000012</v>
      </c>
      <c r="N87" s="11">
        <f t="shared" si="43"/>
        <v>2.8897638720000032</v>
      </c>
      <c r="O87" s="152">
        <f t="shared" si="44"/>
        <v>159.98797059015052</v>
      </c>
      <c r="P87" s="151">
        <f t="shared" si="45"/>
        <v>654.55667074563019</v>
      </c>
      <c r="Q87" s="12">
        <f t="shared" si="46"/>
        <v>6545.5667074563016</v>
      </c>
      <c r="R87" s="12">
        <f t="shared" si="47"/>
        <v>623551.86976421776</v>
      </c>
      <c r="S87" s="12">
        <f t="shared" si="48"/>
        <v>-173088.89561205491</v>
      </c>
      <c r="T87" s="152">
        <f t="shared" si="49"/>
        <v>62355.186976421799</v>
      </c>
      <c r="U87" s="8">
        <f t="shared" si="0"/>
        <v>9.9462404757600016</v>
      </c>
      <c r="V87" s="8">
        <f t="shared" si="1"/>
        <v>9.9462404757600016</v>
      </c>
      <c r="W87" s="134">
        <f t="shared" si="2"/>
        <v>4.9731202378800008</v>
      </c>
      <c r="X87" s="311">
        <f t="shared" si="3"/>
        <v>13.814222883000003</v>
      </c>
      <c r="Y87" s="11">
        <f t="shared" si="4"/>
        <v>41.442668649000012</v>
      </c>
      <c r="Z87" s="11">
        <f t="shared" si="5"/>
        <v>27.628445766000009</v>
      </c>
      <c r="AA87" s="316">
        <f t="shared" si="50"/>
        <v>41.442668649000012</v>
      </c>
      <c r="AB87" s="170">
        <f t="shared" si="51"/>
        <v>7.4596803568200016</v>
      </c>
      <c r="AC87" s="11">
        <f t="shared" si="52"/>
        <v>41.442668649000012</v>
      </c>
      <c r="AD87" s="152">
        <f t="shared" si="53"/>
        <v>242.80510492583653</v>
      </c>
      <c r="AE87" s="151">
        <f t="shared" si="6"/>
        <v>15.794269338430363</v>
      </c>
      <c r="AF87" s="12">
        <f t="shared" si="54"/>
        <v>356.43586584582715</v>
      </c>
      <c r="AG87" s="216">
        <f t="shared" si="7"/>
        <v>2.4386968552956557E-2</v>
      </c>
      <c r="AH87" s="2">
        <f t="shared" si="55"/>
        <v>4</v>
      </c>
      <c r="AI87" s="2">
        <f t="shared" si="56"/>
        <v>3</v>
      </c>
      <c r="AJ87" s="127">
        <f t="shared" si="57"/>
        <v>2</v>
      </c>
      <c r="AK87" s="2">
        <f t="shared" si="58"/>
        <v>1.5748031496062995E-2</v>
      </c>
      <c r="AL87" s="8">
        <f t="shared" si="8"/>
        <v>0.25664317984545948</v>
      </c>
      <c r="AM87" s="138">
        <f t="shared" si="59"/>
        <v>0.5</v>
      </c>
      <c r="AN87" s="12">
        <f t="shared" si="9"/>
        <v>21272.952225780315</v>
      </c>
      <c r="AO87" s="138">
        <f t="shared" si="60"/>
        <v>0.5</v>
      </c>
      <c r="AP87" s="116">
        <f t="shared" si="61"/>
        <v>2175570</v>
      </c>
      <c r="AQ87" s="2">
        <f t="shared" si="62"/>
        <v>1.5748031496062995E-2</v>
      </c>
      <c r="AR87" s="8">
        <f t="shared" si="63"/>
        <v>27.628445766000009</v>
      </c>
      <c r="AS87" s="116">
        <f t="shared" si="64"/>
        <v>2610.6840000000002</v>
      </c>
      <c r="AT87" s="217">
        <f t="shared" si="65"/>
        <v>4.2420118155715773E-2</v>
      </c>
      <c r="AU87" s="207">
        <f t="shared" si="66"/>
        <v>4.6107230424330812</v>
      </c>
      <c r="AV87" s="144">
        <f t="shared" si="67"/>
        <v>8106.0438937297995</v>
      </c>
      <c r="AW87" s="138">
        <f t="shared" si="68"/>
        <v>1.5</v>
      </c>
      <c r="AX87" s="116">
        <f t="shared" si="69"/>
        <v>2175570</v>
      </c>
      <c r="AY87" s="2">
        <f t="shared" si="70"/>
        <v>1.5748031496062995E-2</v>
      </c>
      <c r="AZ87" s="8">
        <f t="shared" si="71"/>
        <v>27.628445766000009</v>
      </c>
      <c r="BA87" s="116">
        <f t="shared" si="72"/>
        <v>2610.6840000000002</v>
      </c>
      <c r="BB87" s="217">
        <f t="shared" si="73"/>
        <v>0.12726035446714731</v>
      </c>
      <c r="BC87" s="207">
        <f t="shared" si="74"/>
        <v>3.6329021131946373</v>
      </c>
      <c r="BD87" s="144">
        <f t="shared" si="75"/>
        <v>57482.562600584126</v>
      </c>
      <c r="BE87" s="138">
        <f t="shared" si="76"/>
        <v>1.5</v>
      </c>
      <c r="BF87" s="116">
        <f t="shared" si="77"/>
        <v>2175570</v>
      </c>
      <c r="BG87" s="2">
        <f t="shared" si="78"/>
        <v>1.5748031496062995E-2</v>
      </c>
      <c r="BH87" s="8">
        <f t="shared" si="79"/>
        <v>27.628445766000009</v>
      </c>
      <c r="BI87" s="116">
        <f t="shared" si="80"/>
        <v>2610.6840000000002</v>
      </c>
      <c r="BJ87" s="217">
        <f t="shared" si="81"/>
        <v>0.12726035446714731</v>
      </c>
      <c r="BK87" s="207">
        <f t="shared" si="82"/>
        <v>3.6329021131946373</v>
      </c>
      <c r="BL87" s="144">
        <f t="shared" si="83"/>
        <v>57482.562600584126</v>
      </c>
      <c r="BM87" s="216">
        <f t="shared" si="84"/>
        <v>1.5</v>
      </c>
      <c r="BN87" s="216">
        <f t="shared" si="85"/>
        <v>2.3622047244094495E-2</v>
      </c>
      <c r="BO87" s="238">
        <f t="shared" si="86"/>
        <v>1.5748031496062995E-2</v>
      </c>
      <c r="BP87" s="216">
        <f t="shared" si="87"/>
        <v>0</v>
      </c>
      <c r="BQ87" s="138">
        <f t="shared" si="88"/>
        <v>1.5</v>
      </c>
      <c r="BR87" s="138">
        <f t="shared" si="89"/>
        <v>0</v>
      </c>
      <c r="BS87" s="238">
        <f t="shared" si="90"/>
        <v>0</v>
      </c>
      <c r="BT87" s="138">
        <f t="shared" si="91"/>
        <v>0</v>
      </c>
      <c r="BU87" s="138">
        <f t="shared" si="92"/>
        <v>2.5</v>
      </c>
      <c r="BV87" s="138">
        <f t="shared" si="93"/>
        <v>0</v>
      </c>
      <c r="BW87" s="238">
        <f t="shared" si="94"/>
        <v>0</v>
      </c>
      <c r="BX87" s="216">
        <f t="shared" si="95"/>
        <v>0</v>
      </c>
      <c r="BY87" s="138">
        <f t="shared" si="96"/>
        <v>2.3622047244094495E-2</v>
      </c>
      <c r="BZ87" s="138">
        <f t="shared" si="97"/>
        <v>0</v>
      </c>
      <c r="CA87" s="238">
        <f t="shared" si="98"/>
        <v>0</v>
      </c>
      <c r="CB87" s="138">
        <f t="shared" si="99"/>
        <v>0</v>
      </c>
      <c r="CC87" s="138">
        <f t="shared" si="100"/>
        <v>2.3622047244094495E-2</v>
      </c>
      <c r="CD87" s="138">
        <f t="shared" si="101"/>
        <v>0</v>
      </c>
      <c r="CE87" s="238">
        <f t="shared" si="102"/>
        <v>0</v>
      </c>
      <c r="CF87" s="216">
        <f t="shared" si="103"/>
        <v>0</v>
      </c>
      <c r="CG87" s="138">
        <f t="shared" si="104"/>
        <v>1.5748031496062995E-2</v>
      </c>
      <c r="CH87" s="138">
        <f t="shared" si="105"/>
        <v>0</v>
      </c>
      <c r="CI87" s="238">
        <f t="shared" si="106"/>
        <v>0</v>
      </c>
      <c r="CJ87" s="138">
        <f t="shared" si="107"/>
        <v>0</v>
      </c>
      <c r="CK87" s="138">
        <f t="shared" si="108"/>
        <v>1.5748031496062995E-2</v>
      </c>
      <c r="CL87" s="138">
        <f t="shared" si="109"/>
        <v>0</v>
      </c>
      <c r="CM87" s="238">
        <f t="shared" si="110"/>
        <v>0</v>
      </c>
      <c r="CN87" s="17">
        <f t="shared" si="111"/>
        <v>2.5</v>
      </c>
      <c r="CO87" s="17">
        <f t="shared" si="112"/>
        <v>2.3622047244094495E-2</v>
      </c>
      <c r="CP87" s="17">
        <f t="shared" si="113"/>
        <v>1.5748031496062995E-2</v>
      </c>
      <c r="CQ87" s="17">
        <f>$U87-IF('Inputs-Imperial'!$E$13,0,2)*($CO87+$CN87+$CP87)</f>
        <v>9.9462404757600016</v>
      </c>
      <c r="CR87" s="116">
        <f t="shared" si="114"/>
        <v>62692.217354273409</v>
      </c>
      <c r="CS87" s="8">
        <f t="shared" si="10"/>
        <v>1.6209256545079584</v>
      </c>
      <c r="CT87" s="8">
        <f t="shared" si="115"/>
        <v>1.2731557856397457</v>
      </c>
      <c r="CU87" s="8">
        <f t="shared" si="11"/>
        <v>1.6209256545079584</v>
      </c>
      <c r="CV87" s="8">
        <f t="shared" si="116"/>
        <v>1.2731557856397457</v>
      </c>
      <c r="CW87" s="216">
        <f t="shared" si="117"/>
        <v>8.6730846901202572</v>
      </c>
      <c r="CX87" s="116">
        <f t="shared" si="118"/>
        <v>71895.051419770214</v>
      </c>
      <c r="CY87" s="8">
        <f t="shared" si="119"/>
        <v>1.8588676265815738</v>
      </c>
      <c r="CZ87" s="8">
        <f t="shared" si="120"/>
        <v>1.3634029582561327</v>
      </c>
      <c r="DA87" s="8">
        <f t="shared" si="121"/>
        <v>1.8588676265815738</v>
      </c>
      <c r="DB87" s="8">
        <f t="shared" si="122"/>
        <v>1.3634029582561327</v>
      </c>
      <c r="DC87" s="216">
        <f t="shared" si="123"/>
        <v>8.5828375175038705</v>
      </c>
      <c r="DD87" s="116">
        <f t="shared" si="124"/>
        <v>72651.016460761821</v>
      </c>
      <c r="DE87" s="8">
        <f t="shared" si="125"/>
        <v>1.8784133242864409</v>
      </c>
      <c r="DF87" s="8">
        <f t="shared" si="126"/>
        <v>1.3705521968485699</v>
      </c>
      <c r="DG87" s="8">
        <f t="shared" si="127"/>
        <v>1.8784133242864409</v>
      </c>
      <c r="DH87" s="8">
        <f t="shared" si="128"/>
        <v>1.3705521968485699</v>
      </c>
      <c r="DI87" s="216">
        <f t="shared" si="129"/>
        <v>8.5756882789114304</v>
      </c>
      <c r="DJ87" s="116">
        <f t="shared" si="130"/>
        <v>72711.582963853885</v>
      </c>
      <c r="DK87" s="8">
        <f t="shared" si="131"/>
        <v>1.8799792889756619</v>
      </c>
      <c r="DL87" s="8">
        <f t="shared" si="132"/>
        <v>1.3711233675259356</v>
      </c>
      <c r="DM87" s="8">
        <f t="shared" si="133"/>
        <v>1.8799792889756619</v>
      </c>
      <c r="DN87" s="8">
        <f t="shared" si="134"/>
        <v>1.3711233675259356</v>
      </c>
      <c r="DO87" s="216">
        <f t="shared" si="253"/>
        <v>8.5751171082340658</v>
      </c>
      <c r="DP87" s="116">
        <f t="shared" si="136"/>
        <v>72716.426130841515</v>
      </c>
      <c r="DQ87" s="170">
        <f t="shared" si="137"/>
        <v>1.8801045104776379</v>
      </c>
      <c r="DR87" s="8">
        <f t="shared" si="138"/>
        <v>1.371169030600399</v>
      </c>
      <c r="DS87" s="8">
        <f t="shared" si="139"/>
        <v>1.8801045104776379</v>
      </c>
      <c r="DT87" s="134">
        <f t="shared" si="140"/>
        <v>1.371169030600399</v>
      </c>
      <c r="DU87" s="170">
        <f t="shared" si="254"/>
        <v>2.271823534607841</v>
      </c>
      <c r="DV87" s="170">
        <f t="shared" si="255"/>
        <v>1.5072569570606869</v>
      </c>
      <c r="DW87" s="170">
        <f t="shared" si="255"/>
        <v>2.271823534607841</v>
      </c>
      <c r="DX87" s="272">
        <f t="shared" si="255"/>
        <v>1.5072569570606869</v>
      </c>
      <c r="DY87" s="272">
        <f t="shared" si="142"/>
        <v>6.9317265616386283</v>
      </c>
      <c r="DZ87" s="22">
        <f t="shared" si="12"/>
        <v>658.09455576793187</v>
      </c>
      <c r="EA87" s="216">
        <f t="shared" si="13"/>
        <v>4.3115615097740791E-2</v>
      </c>
      <c r="EB87" s="12">
        <f t="shared" si="143"/>
        <v>6</v>
      </c>
      <c r="EC87" s="7">
        <f>ROUND(MAX(DV87,DX87)/'Inputs-Imperial'!$E$21,0)</f>
        <v>13</v>
      </c>
      <c r="ED87" s="12">
        <f t="shared" si="144"/>
        <v>13</v>
      </c>
      <c r="EE87" s="2">
        <f t="shared" si="145"/>
        <v>7</v>
      </c>
      <c r="EF87" s="127">
        <f t="shared" si="146"/>
        <v>7</v>
      </c>
      <c r="EG87" s="2">
        <f t="shared" si="147"/>
        <v>5.5118110236220486E-2</v>
      </c>
      <c r="EH87" s="8">
        <f t="shared" si="14"/>
        <v>0.45373940330667262</v>
      </c>
      <c r="EI87" s="138">
        <f t="shared" si="148"/>
        <v>0.5</v>
      </c>
      <c r="EJ87" s="12">
        <f t="shared" si="15"/>
        <v>10745.743960610656</v>
      </c>
      <c r="EK87" s="138">
        <f t="shared" si="149"/>
        <v>0.5</v>
      </c>
      <c r="EL87" s="116">
        <f t="shared" si="150"/>
        <v>2175570</v>
      </c>
      <c r="EM87" s="2">
        <f t="shared" si="16"/>
        <v>5.5118110236220486E-2</v>
      </c>
      <c r="EN87" s="8">
        <f t="shared" si="151"/>
        <v>9.9462404757600016</v>
      </c>
      <c r="EO87" s="116">
        <f t="shared" si="152"/>
        <v>2610.6840000000002</v>
      </c>
      <c r="EP87" s="217">
        <f t="shared" si="153"/>
        <v>1.1456050427855342</v>
      </c>
      <c r="EQ87" s="207">
        <f t="shared" si="154"/>
        <v>2</v>
      </c>
      <c r="ER87" s="144">
        <f t="shared" si="155"/>
        <v>27130.944282212691</v>
      </c>
      <c r="ES87" s="138">
        <f t="shared" si="17"/>
        <v>0.5</v>
      </c>
      <c r="ET87" s="116">
        <f t="shared" si="156"/>
        <v>2175570</v>
      </c>
      <c r="EU87" s="2">
        <f t="shared" si="18"/>
        <v>5.5118110236220486E-2</v>
      </c>
      <c r="EV87" s="8">
        <f t="shared" si="157"/>
        <v>9.9462404757600016</v>
      </c>
      <c r="EW87" s="116">
        <f t="shared" si="158"/>
        <v>2610.6840000000002</v>
      </c>
      <c r="EX87" s="217">
        <f t="shared" si="159"/>
        <v>1.1456050427855342</v>
      </c>
      <c r="EY87" s="207">
        <f t="shared" si="160"/>
        <v>2</v>
      </c>
      <c r="EZ87" s="144">
        <f t="shared" si="161"/>
        <v>27130.944282212691</v>
      </c>
      <c r="FA87" s="138">
        <f t="shared" si="19"/>
        <v>0.5</v>
      </c>
      <c r="FB87" s="116">
        <f t="shared" si="162"/>
        <v>2175570</v>
      </c>
      <c r="FC87" s="2">
        <f t="shared" si="20"/>
        <v>5.5118110236220486E-2</v>
      </c>
      <c r="FD87" s="8">
        <f t="shared" si="163"/>
        <v>9.9462404757600016</v>
      </c>
      <c r="FE87" s="116">
        <f t="shared" si="164"/>
        <v>2610.6840000000002</v>
      </c>
      <c r="FF87" s="217">
        <f t="shared" si="165"/>
        <v>1.1456050427855342</v>
      </c>
      <c r="FG87" s="207">
        <f t="shared" si="166"/>
        <v>2</v>
      </c>
      <c r="FH87" s="144">
        <f t="shared" si="167"/>
        <v>27130.944282212691</v>
      </c>
      <c r="FI87" s="128">
        <f t="shared" si="168"/>
        <v>0.5</v>
      </c>
      <c r="FJ87" s="2">
        <f t="shared" si="169"/>
        <v>5.5118110236220486E-2</v>
      </c>
      <c r="FK87" s="127">
        <f t="shared" si="170"/>
        <v>5.5118110236220486E-2</v>
      </c>
      <c r="FL87" s="216">
        <f t="shared" si="171"/>
        <v>0</v>
      </c>
      <c r="FM87" s="138">
        <f t="shared" si="172"/>
        <v>0.5</v>
      </c>
      <c r="FN87" s="138">
        <f t="shared" si="173"/>
        <v>0</v>
      </c>
      <c r="FO87" s="238">
        <f t="shared" si="174"/>
        <v>0</v>
      </c>
      <c r="FP87" s="216">
        <f t="shared" si="21"/>
        <v>0</v>
      </c>
      <c r="FQ87" s="138">
        <f t="shared" si="22"/>
        <v>0.5</v>
      </c>
      <c r="FR87" s="138">
        <f t="shared" si="23"/>
        <v>0</v>
      </c>
      <c r="FS87" s="238">
        <f t="shared" si="24"/>
        <v>0</v>
      </c>
      <c r="FT87" s="216">
        <f t="shared" si="175"/>
        <v>0</v>
      </c>
      <c r="FU87" s="138">
        <f t="shared" si="176"/>
        <v>5.5118110236220486E-2</v>
      </c>
      <c r="FV87" s="138">
        <f t="shared" si="177"/>
        <v>0</v>
      </c>
      <c r="FW87" s="238">
        <f t="shared" si="178"/>
        <v>0</v>
      </c>
      <c r="FX87" s="216">
        <f t="shared" si="25"/>
        <v>0</v>
      </c>
      <c r="FY87" s="138">
        <f t="shared" si="26"/>
        <v>5.5118110236220486E-2</v>
      </c>
      <c r="FZ87" s="138">
        <f t="shared" si="27"/>
        <v>0</v>
      </c>
      <c r="GA87" s="238">
        <f t="shared" si="28"/>
        <v>0</v>
      </c>
      <c r="GB87" s="216">
        <f t="shared" si="179"/>
        <v>0</v>
      </c>
      <c r="GC87" s="138">
        <f t="shared" si="180"/>
        <v>5.5118110236220486E-2</v>
      </c>
      <c r="GD87" s="138">
        <f t="shared" si="181"/>
        <v>0</v>
      </c>
      <c r="GE87" s="238">
        <f t="shared" si="182"/>
        <v>0</v>
      </c>
      <c r="GF87" s="216">
        <f t="shared" si="29"/>
        <v>0</v>
      </c>
      <c r="GG87" s="138">
        <f t="shared" si="30"/>
        <v>5.5118110236220486E-2</v>
      </c>
      <c r="GH87" s="138">
        <f t="shared" si="31"/>
        <v>0</v>
      </c>
      <c r="GI87" s="238">
        <f t="shared" si="32"/>
        <v>0</v>
      </c>
      <c r="GJ87" s="216">
        <f t="shared" si="183"/>
        <v>0.5</v>
      </c>
      <c r="GK87" s="216">
        <f t="shared" si="184"/>
        <v>5.5118110236220486E-2</v>
      </c>
      <c r="GL87" s="17">
        <f t="shared" si="185"/>
        <v>5.5118110236220486E-2</v>
      </c>
      <c r="GM87" s="216">
        <f t="shared" si="186"/>
        <v>2.3352193790610778E-2</v>
      </c>
      <c r="GN87" s="2">
        <f t="shared" si="187"/>
        <v>3</v>
      </c>
      <c r="GO87" s="2">
        <f t="shared" si="188"/>
        <v>2</v>
      </c>
      <c r="GP87" s="142">
        <f t="shared" si="189"/>
        <v>2</v>
      </c>
      <c r="GQ87" s="2">
        <f t="shared" si="190"/>
        <v>1.5748031496062995E-2</v>
      </c>
      <c r="GR87" s="8">
        <f t="shared" si="33"/>
        <v>0.24575343416609932</v>
      </c>
      <c r="GS87" s="138">
        <f t="shared" si="191"/>
        <v>0.25</v>
      </c>
      <c r="GT87" s="12">
        <f t="shared" si="34"/>
        <v>20370.30973308902</v>
      </c>
      <c r="GU87" s="138">
        <f t="shared" si="192"/>
        <v>0.25</v>
      </c>
      <c r="GV87" s="116">
        <f t="shared" si="193"/>
        <v>2175570</v>
      </c>
      <c r="GW87" s="2">
        <f t="shared" si="35"/>
        <v>5.5118110236220486E-2</v>
      </c>
      <c r="GX87" s="8">
        <f t="shared" si="36"/>
        <v>4.9731202378800008</v>
      </c>
      <c r="GY87" s="116">
        <f t="shared" si="194"/>
        <v>2610.6840000000002</v>
      </c>
      <c r="GZ87" s="217">
        <f t="shared" si="195"/>
        <v>2.2912100855710684</v>
      </c>
      <c r="HA87" s="207">
        <f t="shared" si="196"/>
        <v>2</v>
      </c>
      <c r="HB87" s="144">
        <f t="shared" si="197"/>
        <v>27130.944282212691</v>
      </c>
      <c r="HC87" s="138">
        <f t="shared" si="37"/>
        <v>0.25</v>
      </c>
      <c r="HD87" s="116">
        <f t="shared" si="198"/>
        <v>2175570</v>
      </c>
      <c r="HE87" s="2">
        <f t="shared" si="38"/>
        <v>5.5118110236220486E-2</v>
      </c>
      <c r="HF87" s="8">
        <f t="shared" si="199"/>
        <v>4.9731202378800008</v>
      </c>
      <c r="HG87" s="116">
        <f t="shared" si="200"/>
        <v>2610.6840000000002</v>
      </c>
      <c r="HH87" s="217">
        <f t="shared" si="201"/>
        <v>2.2912100855710684</v>
      </c>
      <c r="HI87" s="207">
        <f t="shared" si="202"/>
        <v>2</v>
      </c>
      <c r="HJ87" s="144">
        <f t="shared" si="203"/>
        <v>27130.944282212691</v>
      </c>
      <c r="HK87" s="138">
        <f t="shared" si="39"/>
        <v>0.25</v>
      </c>
      <c r="HL87" s="116">
        <f t="shared" si="204"/>
        <v>2175570</v>
      </c>
      <c r="HM87" s="2">
        <f t="shared" si="40"/>
        <v>5.5118110236220486E-2</v>
      </c>
      <c r="HN87" s="8">
        <f t="shared" si="205"/>
        <v>4.9731202378800008</v>
      </c>
      <c r="HO87" s="116">
        <f t="shared" si="206"/>
        <v>2610.6840000000002</v>
      </c>
      <c r="HP87" s="217">
        <f t="shared" si="207"/>
        <v>2.2912100855710684</v>
      </c>
      <c r="HQ87" s="207">
        <f t="shared" si="208"/>
        <v>2</v>
      </c>
      <c r="HR87" s="144">
        <f t="shared" si="209"/>
        <v>27130.944282212691</v>
      </c>
      <c r="HS87" s="128">
        <f t="shared" si="210"/>
        <v>0.25</v>
      </c>
      <c r="HT87" s="2">
        <f t="shared" si="211"/>
        <v>1.5748031496062995E-2</v>
      </c>
      <c r="HU87" s="127">
        <f t="shared" si="212"/>
        <v>1.5748031496062995E-2</v>
      </c>
      <c r="HV87" s="216">
        <f t="shared" si="213"/>
        <v>0</v>
      </c>
      <c r="HW87" s="138">
        <f t="shared" si="214"/>
        <v>0.25</v>
      </c>
      <c r="HX87" s="138">
        <f t="shared" si="215"/>
        <v>0</v>
      </c>
      <c r="HY87" s="238">
        <f t="shared" si="216"/>
        <v>0</v>
      </c>
      <c r="HZ87" s="138">
        <f t="shared" si="217"/>
        <v>0</v>
      </c>
      <c r="IA87" s="138">
        <f t="shared" si="218"/>
        <v>0.5</v>
      </c>
      <c r="IB87" s="138">
        <f t="shared" si="219"/>
        <v>0</v>
      </c>
      <c r="IC87" s="138">
        <f t="shared" si="220"/>
        <v>0</v>
      </c>
      <c r="ID87" s="216">
        <f t="shared" si="221"/>
        <v>0</v>
      </c>
      <c r="IE87" s="138">
        <f t="shared" si="222"/>
        <v>1.5748031496062995E-2</v>
      </c>
      <c r="IF87" s="138">
        <f t="shared" si="223"/>
        <v>0</v>
      </c>
      <c r="IG87" s="238">
        <f t="shared" si="224"/>
        <v>0</v>
      </c>
      <c r="IH87" s="138">
        <f t="shared" si="225"/>
        <v>0</v>
      </c>
      <c r="II87" s="138">
        <f t="shared" si="226"/>
        <v>1.5748031496062995E-2</v>
      </c>
      <c r="IJ87" s="138">
        <f t="shared" si="227"/>
        <v>0</v>
      </c>
      <c r="IK87" s="138">
        <f t="shared" si="228"/>
        <v>0</v>
      </c>
      <c r="IL87" s="216">
        <f t="shared" si="229"/>
        <v>0</v>
      </c>
      <c r="IM87" s="138">
        <f t="shared" si="230"/>
        <v>1.5748031496062995E-2</v>
      </c>
      <c r="IN87" s="138">
        <f t="shared" si="231"/>
        <v>0</v>
      </c>
      <c r="IO87" s="238">
        <f t="shared" si="232"/>
        <v>0</v>
      </c>
      <c r="IP87" s="138">
        <f t="shared" si="233"/>
        <v>0</v>
      </c>
      <c r="IQ87" s="138">
        <f t="shared" si="234"/>
        <v>1.5748031496062995E-2</v>
      </c>
      <c r="IR87" s="138">
        <f t="shared" si="235"/>
        <v>0</v>
      </c>
      <c r="IS87" s="138">
        <f t="shared" si="236"/>
        <v>0</v>
      </c>
      <c r="IT87" s="17">
        <f t="shared" si="237"/>
        <v>0.5</v>
      </c>
      <c r="IU87" s="17">
        <f t="shared" si="238"/>
        <v>1.5748031496062995E-2</v>
      </c>
      <c r="IV87" s="17">
        <f t="shared" si="239"/>
        <v>1.5748031496062995E-2</v>
      </c>
      <c r="IW87" s="253">
        <f t="shared" si="240"/>
        <v>27.628445766000009</v>
      </c>
      <c r="IX87" s="116">
        <f t="shared" si="241"/>
        <v>2256.9198247538429</v>
      </c>
      <c r="IY87" s="8">
        <f t="shared" si="242"/>
        <v>5.8353323562286508E-2</v>
      </c>
      <c r="IZ87" s="8">
        <f t="shared" si="243"/>
        <v>5.8353323562286508E-2</v>
      </c>
      <c r="JA87" s="8">
        <f t="shared" si="244"/>
        <v>2.9176661781143254E-2</v>
      </c>
      <c r="JB87" s="134">
        <f t="shared" si="245"/>
        <v>0.17081177295825734</v>
      </c>
      <c r="JC87" s="170">
        <f t="shared" si="256"/>
        <v>3.485943317074526E-2</v>
      </c>
      <c r="JD87" s="272">
        <f t="shared" si="257"/>
        <v>0.18670681072404741</v>
      </c>
      <c r="JE87" s="8"/>
      <c r="JF87" s="8"/>
    </row>
    <row r="88" spans="1:266" x14ac:dyDescent="0.25">
      <c r="A88" s="186">
        <v>28</v>
      </c>
      <c r="B88" s="187">
        <f>A88/100*'Inputs-Imperial'!$E$5</f>
        <v>6.7427823680000003</v>
      </c>
      <c r="C88" s="188">
        <f>'Inputs-Imperial'!$E$10+('Inputs-Imperial'!$E$9-'Inputs-Imperial'!$E$10)*(100-A88)/100</f>
        <v>4.5869424040000002</v>
      </c>
      <c r="D88" s="187">
        <f t="shared" si="248"/>
        <v>0.24081365600000026</v>
      </c>
      <c r="E88" s="188">
        <f t="shared" si="249"/>
        <v>1.1067414379600176</v>
      </c>
      <c r="F88" s="423">
        <f>Loads!P48</f>
        <v>643.29556193091526</v>
      </c>
      <c r="G88" s="423">
        <f>Loads!M48</f>
        <v>6432.9556193091521</v>
      </c>
      <c r="H88" s="423">
        <f>Loads!N48</f>
        <v>50386.393964270377</v>
      </c>
      <c r="I88" s="423">
        <f>Loads!V48</f>
        <v>-14123.220344847368</v>
      </c>
      <c r="J88" s="423">
        <f>Loads!Q48</f>
        <v>5038.6393964270401</v>
      </c>
      <c r="K88" s="2">
        <v>28</v>
      </c>
      <c r="L88" s="12">
        <f t="shared" si="41"/>
        <v>80.913388416000004</v>
      </c>
      <c r="M88" s="11">
        <f t="shared" si="42"/>
        <v>55.043308848000002</v>
      </c>
      <c r="N88" s="11">
        <f t="shared" si="43"/>
        <v>2.8897638720000032</v>
      </c>
      <c r="O88" s="152">
        <f t="shared" si="44"/>
        <v>159.37076706624254</v>
      </c>
      <c r="P88" s="151">
        <f t="shared" si="45"/>
        <v>643.29556193091526</v>
      </c>
      <c r="Q88" s="12">
        <f t="shared" si="46"/>
        <v>6432.9556193091521</v>
      </c>
      <c r="R88" s="12">
        <f t="shared" si="47"/>
        <v>604636.72757124458</v>
      </c>
      <c r="S88" s="12">
        <f t="shared" si="48"/>
        <v>-169478.64413816843</v>
      </c>
      <c r="T88" s="152">
        <f t="shared" si="49"/>
        <v>60463.672757124485</v>
      </c>
      <c r="U88" s="8">
        <f t="shared" si="0"/>
        <v>9.9077955926399994</v>
      </c>
      <c r="V88" s="8">
        <f t="shared" si="1"/>
        <v>9.9077955926399994</v>
      </c>
      <c r="W88" s="134">
        <f t="shared" si="2"/>
        <v>4.9538977963199997</v>
      </c>
      <c r="X88" s="311">
        <f t="shared" si="3"/>
        <v>13.760827212000001</v>
      </c>
      <c r="Y88" s="11">
        <f t="shared" si="4"/>
        <v>41.282481636</v>
      </c>
      <c r="Z88" s="11">
        <f t="shared" si="5"/>
        <v>27.521654423999998</v>
      </c>
      <c r="AA88" s="316">
        <f t="shared" si="50"/>
        <v>41.282481636</v>
      </c>
      <c r="AB88" s="170">
        <f t="shared" si="51"/>
        <v>7.4308466944799996</v>
      </c>
      <c r="AC88" s="11">
        <f t="shared" si="52"/>
        <v>41.282481636</v>
      </c>
      <c r="AD88" s="152">
        <f t="shared" si="53"/>
        <v>240.93171899448788</v>
      </c>
      <c r="AE88" s="151">
        <f t="shared" si="6"/>
        <v>15.582773526142271</v>
      </c>
      <c r="AF88" s="12">
        <f t="shared" si="54"/>
        <v>351.71509348265977</v>
      </c>
      <c r="AG88" s="216">
        <f t="shared" si="7"/>
        <v>2.4063826879244299E-2</v>
      </c>
      <c r="AH88" s="2">
        <f t="shared" si="55"/>
        <v>4</v>
      </c>
      <c r="AI88" s="2">
        <f t="shared" si="56"/>
        <v>3</v>
      </c>
      <c r="AJ88" s="127">
        <f t="shared" si="57"/>
        <v>2</v>
      </c>
      <c r="AK88" s="2">
        <f t="shared" si="58"/>
        <v>1.5748031496062995E-2</v>
      </c>
      <c r="AL88" s="8">
        <f t="shared" si="8"/>
        <v>0.25324250679739241</v>
      </c>
      <c r="AM88" s="138">
        <f t="shared" si="59"/>
        <v>0.5</v>
      </c>
      <c r="AN88" s="12">
        <f t="shared" si="9"/>
        <v>20991.073099553032</v>
      </c>
      <c r="AO88" s="138">
        <f t="shared" si="60"/>
        <v>0.5</v>
      </c>
      <c r="AP88" s="116">
        <f t="shared" si="61"/>
        <v>2175570</v>
      </c>
      <c r="AQ88" s="2">
        <f t="shared" si="62"/>
        <v>1.5748031496062995E-2</v>
      </c>
      <c r="AR88" s="8">
        <f t="shared" si="63"/>
        <v>27.521654423999998</v>
      </c>
      <c r="AS88" s="116">
        <f t="shared" si="64"/>
        <v>2610.6840000000002</v>
      </c>
      <c r="AT88" s="217">
        <f t="shared" si="65"/>
        <v>4.2749959543519456E-2</v>
      </c>
      <c r="AU88" s="207">
        <f t="shared" si="66"/>
        <v>4.6059533173198401</v>
      </c>
      <c r="AV88" s="144">
        <f t="shared" si="67"/>
        <v>8160.6223704235381</v>
      </c>
      <c r="AW88" s="138">
        <f t="shared" si="68"/>
        <v>1.5</v>
      </c>
      <c r="AX88" s="116">
        <f t="shared" si="69"/>
        <v>2175570</v>
      </c>
      <c r="AY88" s="2">
        <f t="shared" si="70"/>
        <v>1.5748031496062995E-2</v>
      </c>
      <c r="AZ88" s="8">
        <f t="shared" si="71"/>
        <v>27.521654423999998</v>
      </c>
      <c r="BA88" s="116">
        <f t="shared" si="72"/>
        <v>2610.6840000000002</v>
      </c>
      <c r="BB88" s="217">
        <f t="shared" si="73"/>
        <v>0.12824987863055834</v>
      </c>
      <c r="BC88" s="207">
        <f t="shared" si="74"/>
        <v>3.6240769296604922</v>
      </c>
      <c r="BD88" s="144">
        <f t="shared" si="75"/>
        <v>57788.79876572275</v>
      </c>
      <c r="BE88" s="138">
        <f t="shared" si="76"/>
        <v>1.5</v>
      </c>
      <c r="BF88" s="116">
        <f t="shared" si="77"/>
        <v>2175570</v>
      </c>
      <c r="BG88" s="2">
        <f t="shared" si="78"/>
        <v>1.5748031496062995E-2</v>
      </c>
      <c r="BH88" s="8">
        <f t="shared" si="79"/>
        <v>27.521654423999998</v>
      </c>
      <c r="BI88" s="116">
        <f t="shared" si="80"/>
        <v>2610.6840000000002</v>
      </c>
      <c r="BJ88" s="217">
        <f t="shared" si="81"/>
        <v>0.12824987863055834</v>
      </c>
      <c r="BK88" s="207">
        <f t="shared" si="82"/>
        <v>3.6240769296604922</v>
      </c>
      <c r="BL88" s="144">
        <f t="shared" si="83"/>
        <v>57788.79876572275</v>
      </c>
      <c r="BM88" s="216">
        <f t="shared" si="84"/>
        <v>1.5</v>
      </c>
      <c r="BN88" s="216">
        <f t="shared" si="85"/>
        <v>2.3622047244094495E-2</v>
      </c>
      <c r="BO88" s="238">
        <f t="shared" si="86"/>
        <v>1.5748031496062995E-2</v>
      </c>
      <c r="BP88" s="216">
        <f t="shared" si="87"/>
        <v>0</v>
      </c>
      <c r="BQ88" s="138">
        <f t="shared" si="88"/>
        <v>1.5</v>
      </c>
      <c r="BR88" s="138">
        <f t="shared" si="89"/>
        <v>0</v>
      </c>
      <c r="BS88" s="238">
        <f t="shared" si="90"/>
        <v>0</v>
      </c>
      <c r="BT88" s="138">
        <f t="shared" si="91"/>
        <v>0</v>
      </c>
      <c r="BU88" s="138">
        <f t="shared" si="92"/>
        <v>2.5</v>
      </c>
      <c r="BV88" s="138">
        <f t="shared" si="93"/>
        <v>0</v>
      </c>
      <c r="BW88" s="238">
        <f t="shared" si="94"/>
        <v>0</v>
      </c>
      <c r="BX88" s="216">
        <f t="shared" si="95"/>
        <v>0</v>
      </c>
      <c r="BY88" s="138">
        <f t="shared" si="96"/>
        <v>2.3622047244094495E-2</v>
      </c>
      <c r="BZ88" s="138">
        <f t="shared" si="97"/>
        <v>0</v>
      </c>
      <c r="CA88" s="238">
        <f t="shared" si="98"/>
        <v>0</v>
      </c>
      <c r="CB88" s="138">
        <f t="shared" si="99"/>
        <v>0</v>
      </c>
      <c r="CC88" s="138">
        <f t="shared" si="100"/>
        <v>2.3622047244094495E-2</v>
      </c>
      <c r="CD88" s="138">
        <f t="shared" si="101"/>
        <v>0</v>
      </c>
      <c r="CE88" s="238">
        <f t="shared" si="102"/>
        <v>0</v>
      </c>
      <c r="CF88" s="216">
        <f t="shared" si="103"/>
        <v>0</v>
      </c>
      <c r="CG88" s="138">
        <f t="shared" si="104"/>
        <v>1.5748031496062995E-2</v>
      </c>
      <c r="CH88" s="138">
        <f t="shared" si="105"/>
        <v>0</v>
      </c>
      <c r="CI88" s="238">
        <f t="shared" si="106"/>
        <v>0</v>
      </c>
      <c r="CJ88" s="138">
        <f t="shared" si="107"/>
        <v>0</v>
      </c>
      <c r="CK88" s="138">
        <f t="shared" si="108"/>
        <v>1.5748031496062995E-2</v>
      </c>
      <c r="CL88" s="138">
        <f t="shared" si="109"/>
        <v>0</v>
      </c>
      <c r="CM88" s="238">
        <f t="shared" si="110"/>
        <v>0</v>
      </c>
      <c r="CN88" s="17">
        <f t="shared" si="111"/>
        <v>2.5</v>
      </c>
      <c r="CO88" s="17">
        <f t="shared" si="112"/>
        <v>2.3622047244094495E-2</v>
      </c>
      <c r="CP88" s="17">
        <f t="shared" si="113"/>
        <v>1.5748031496062995E-2</v>
      </c>
      <c r="CQ88" s="17">
        <f>$U88-IF('Inputs-Imperial'!$E$13,0,2)*($CO88+$CN88+$CP88)</f>
        <v>9.9077955926399994</v>
      </c>
      <c r="CR88" s="116">
        <f t="shared" si="114"/>
        <v>61026.362717898483</v>
      </c>
      <c r="CS88" s="8">
        <f t="shared" si="10"/>
        <v>1.5778544946298163</v>
      </c>
      <c r="CT88" s="8">
        <f t="shared" si="115"/>
        <v>1.2561267828646185</v>
      </c>
      <c r="CU88" s="8">
        <f t="shared" si="11"/>
        <v>1.5778544946298163</v>
      </c>
      <c r="CV88" s="8">
        <f t="shared" si="116"/>
        <v>1.2561267828646185</v>
      </c>
      <c r="CW88" s="216">
        <f t="shared" si="117"/>
        <v>8.65166880977538</v>
      </c>
      <c r="CX88" s="116">
        <f t="shared" si="118"/>
        <v>69886.7167555091</v>
      </c>
      <c r="CY88" s="8">
        <f t="shared" si="119"/>
        <v>1.8069415452030442</v>
      </c>
      <c r="CZ88" s="8">
        <f t="shared" si="120"/>
        <v>1.3442252583562935</v>
      </c>
      <c r="DA88" s="8">
        <f t="shared" si="121"/>
        <v>1.8069415452030442</v>
      </c>
      <c r="DB88" s="8">
        <f t="shared" si="122"/>
        <v>1.3442252583562935</v>
      </c>
      <c r="DC88" s="216">
        <f t="shared" si="123"/>
        <v>8.5635703342837068</v>
      </c>
      <c r="DD88" s="116">
        <f t="shared" si="124"/>
        <v>70605.682439556796</v>
      </c>
      <c r="DE88" s="8">
        <f t="shared" si="125"/>
        <v>1.8255306136897775</v>
      </c>
      <c r="DF88" s="8">
        <f t="shared" si="126"/>
        <v>1.351121983275299</v>
      </c>
      <c r="DG88" s="8">
        <f t="shared" si="127"/>
        <v>1.8255306136897775</v>
      </c>
      <c r="DH88" s="8">
        <f t="shared" si="128"/>
        <v>1.351121983275299</v>
      </c>
      <c r="DI88" s="216">
        <f t="shared" si="129"/>
        <v>8.5566736093647009</v>
      </c>
      <c r="DJ88" s="116">
        <f t="shared" si="130"/>
        <v>70662.590999089938</v>
      </c>
      <c r="DK88" s="8">
        <f t="shared" si="131"/>
        <v>1.8270020011761556</v>
      </c>
      <c r="DL88" s="8">
        <f t="shared" si="132"/>
        <v>1.3516663793910668</v>
      </c>
      <c r="DM88" s="8">
        <f t="shared" si="133"/>
        <v>1.8270020011761556</v>
      </c>
      <c r="DN88" s="8">
        <f t="shared" si="134"/>
        <v>1.3516663793910668</v>
      </c>
      <c r="DO88" s="216">
        <f t="shared" si="253"/>
        <v>8.5561292132489335</v>
      </c>
      <c r="DP88" s="116">
        <f t="shared" si="136"/>
        <v>70667.087008805465</v>
      </c>
      <c r="DQ88" s="170">
        <f t="shared" si="137"/>
        <v>1.8271182468251113</v>
      </c>
      <c r="DR88" s="8">
        <f t="shared" si="138"/>
        <v>1.3517093795728101</v>
      </c>
      <c r="DS88" s="8">
        <f t="shared" si="139"/>
        <v>1.8271182468251113</v>
      </c>
      <c r="DT88" s="134">
        <f t="shared" si="140"/>
        <v>1.3517093795728101</v>
      </c>
      <c r="DU88" s="170">
        <f t="shared" si="254"/>
        <v>2.271823534607841</v>
      </c>
      <c r="DV88" s="170">
        <f t="shared" si="255"/>
        <v>1.5072569570606869</v>
      </c>
      <c r="DW88" s="170">
        <f t="shared" si="255"/>
        <v>2.271823534607841</v>
      </c>
      <c r="DX88" s="272">
        <f t="shared" si="255"/>
        <v>1.5072569570606869</v>
      </c>
      <c r="DY88" s="272">
        <f t="shared" si="142"/>
        <v>6.8932816785186262</v>
      </c>
      <c r="DZ88" s="22">
        <f t="shared" si="12"/>
        <v>649.28223025592797</v>
      </c>
      <c r="EA88" s="216">
        <f t="shared" si="13"/>
        <v>4.25382682232507E-2</v>
      </c>
      <c r="EB88" s="12">
        <f t="shared" si="143"/>
        <v>6</v>
      </c>
      <c r="EC88" s="7">
        <f>ROUND(MAX(DV88,DX88)/'Inputs-Imperial'!$E$21,0)</f>
        <v>13</v>
      </c>
      <c r="ED88" s="12">
        <f t="shared" si="144"/>
        <v>13</v>
      </c>
      <c r="EE88" s="2">
        <f t="shared" si="145"/>
        <v>7</v>
      </c>
      <c r="EF88" s="127">
        <f t="shared" si="146"/>
        <v>7</v>
      </c>
      <c r="EG88" s="2">
        <f t="shared" si="147"/>
        <v>5.5118110236220486E-2</v>
      </c>
      <c r="EH88" s="8">
        <f t="shared" si="14"/>
        <v>0.44766352973422691</v>
      </c>
      <c r="EI88" s="138">
        <f t="shared" si="148"/>
        <v>0.5</v>
      </c>
      <c r="EJ88" s="12">
        <f t="shared" si="15"/>
        <v>10601.85127403608</v>
      </c>
      <c r="EK88" s="138">
        <f t="shared" si="149"/>
        <v>0.5</v>
      </c>
      <c r="EL88" s="116">
        <f t="shared" si="150"/>
        <v>2175570</v>
      </c>
      <c r="EM88" s="2">
        <f t="shared" si="16"/>
        <v>5.5118110236220486E-2</v>
      </c>
      <c r="EN88" s="8">
        <f t="shared" si="151"/>
        <v>9.9077955926399994</v>
      </c>
      <c r="EO88" s="116">
        <f t="shared" si="152"/>
        <v>2610.6840000000002</v>
      </c>
      <c r="EP88" s="217">
        <f t="shared" si="153"/>
        <v>1.1545127963141824</v>
      </c>
      <c r="EQ88" s="207">
        <f t="shared" si="154"/>
        <v>2</v>
      </c>
      <c r="ER88" s="144">
        <f t="shared" si="155"/>
        <v>27341.903343703732</v>
      </c>
      <c r="ES88" s="138">
        <f t="shared" si="17"/>
        <v>0.5</v>
      </c>
      <c r="ET88" s="116">
        <f t="shared" si="156"/>
        <v>2175570</v>
      </c>
      <c r="EU88" s="2">
        <f t="shared" si="18"/>
        <v>5.5118110236220486E-2</v>
      </c>
      <c r="EV88" s="8">
        <f t="shared" si="157"/>
        <v>9.9077955926399994</v>
      </c>
      <c r="EW88" s="116">
        <f t="shared" si="158"/>
        <v>2610.6840000000002</v>
      </c>
      <c r="EX88" s="217">
        <f t="shared" si="159"/>
        <v>1.1545127963141824</v>
      </c>
      <c r="EY88" s="207">
        <f t="shared" si="160"/>
        <v>2</v>
      </c>
      <c r="EZ88" s="144">
        <f t="shared" si="161"/>
        <v>27341.903343703732</v>
      </c>
      <c r="FA88" s="138">
        <f t="shared" si="19"/>
        <v>0.5</v>
      </c>
      <c r="FB88" s="116">
        <f t="shared" si="162"/>
        <v>2175570</v>
      </c>
      <c r="FC88" s="2">
        <f t="shared" si="20"/>
        <v>5.5118110236220486E-2</v>
      </c>
      <c r="FD88" s="8">
        <f t="shared" si="163"/>
        <v>9.9077955926399994</v>
      </c>
      <c r="FE88" s="116">
        <f t="shared" si="164"/>
        <v>2610.6840000000002</v>
      </c>
      <c r="FF88" s="217">
        <f t="shared" si="165"/>
        <v>1.1545127963141824</v>
      </c>
      <c r="FG88" s="207">
        <f t="shared" si="166"/>
        <v>2</v>
      </c>
      <c r="FH88" s="144">
        <f t="shared" si="167"/>
        <v>27341.903343703732</v>
      </c>
      <c r="FI88" s="128">
        <f t="shared" si="168"/>
        <v>0.5</v>
      </c>
      <c r="FJ88" s="2">
        <f t="shared" si="169"/>
        <v>5.5118110236220486E-2</v>
      </c>
      <c r="FK88" s="127">
        <f t="shared" si="170"/>
        <v>5.5118110236220486E-2</v>
      </c>
      <c r="FL88" s="216">
        <f t="shared" si="171"/>
        <v>0</v>
      </c>
      <c r="FM88" s="138">
        <f t="shared" si="172"/>
        <v>0.5</v>
      </c>
      <c r="FN88" s="138">
        <f t="shared" si="173"/>
        <v>0</v>
      </c>
      <c r="FO88" s="238">
        <f t="shared" si="174"/>
        <v>0</v>
      </c>
      <c r="FP88" s="216">
        <f t="shared" si="21"/>
        <v>0</v>
      </c>
      <c r="FQ88" s="138">
        <f t="shared" si="22"/>
        <v>0.5</v>
      </c>
      <c r="FR88" s="138">
        <f t="shared" si="23"/>
        <v>0</v>
      </c>
      <c r="FS88" s="238">
        <f t="shared" si="24"/>
        <v>0</v>
      </c>
      <c r="FT88" s="216">
        <f t="shared" si="175"/>
        <v>0</v>
      </c>
      <c r="FU88" s="138">
        <f t="shared" si="176"/>
        <v>5.5118110236220486E-2</v>
      </c>
      <c r="FV88" s="138">
        <f t="shared" si="177"/>
        <v>0</v>
      </c>
      <c r="FW88" s="238">
        <f t="shared" si="178"/>
        <v>0</v>
      </c>
      <c r="FX88" s="216">
        <f t="shared" si="25"/>
        <v>0</v>
      </c>
      <c r="FY88" s="138">
        <f t="shared" si="26"/>
        <v>5.5118110236220486E-2</v>
      </c>
      <c r="FZ88" s="138">
        <f t="shared" si="27"/>
        <v>0</v>
      </c>
      <c r="GA88" s="238">
        <f t="shared" si="28"/>
        <v>0</v>
      </c>
      <c r="GB88" s="216">
        <f t="shared" si="179"/>
        <v>0</v>
      </c>
      <c r="GC88" s="138">
        <f t="shared" si="180"/>
        <v>5.5118110236220486E-2</v>
      </c>
      <c r="GD88" s="138">
        <f t="shared" si="181"/>
        <v>0</v>
      </c>
      <c r="GE88" s="238">
        <f t="shared" si="182"/>
        <v>0</v>
      </c>
      <c r="GF88" s="216">
        <f t="shared" si="29"/>
        <v>0</v>
      </c>
      <c r="GG88" s="138">
        <f t="shared" si="30"/>
        <v>5.5118110236220486E-2</v>
      </c>
      <c r="GH88" s="138">
        <f t="shared" si="31"/>
        <v>0</v>
      </c>
      <c r="GI88" s="238">
        <f t="shared" si="32"/>
        <v>0</v>
      </c>
      <c r="GJ88" s="216">
        <f t="shared" si="183"/>
        <v>0.5</v>
      </c>
      <c r="GK88" s="216">
        <f t="shared" si="184"/>
        <v>5.5118110236220486E-2</v>
      </c>
      <c r="GL88" s="17">
        <f t="shared" si="185"/>
        <v>5.5118110236220486E-2</v>
      </c>
      <c r="GM88" s="216">
        <f t="shared" si="186"/>
        <v>2.3042908441886282E-2</v>
      </c>
      <c r="GN88" s="2">
        <f t="shared" si="187"/>
        <v>3</v>
      </c>
      <c r="GO88" s="2">
        <f t="shared" si="188"/>
        <v>2</v>
      </c>
      <c r="GP88" s="142">
        <f t="shared" si="189"/>
        <v>2</v>
      </c>
      <c r="GQ88" s="2">
        <f t="shared" si="190"/>
        <v>1.5748031496062995E-2</v>
      </c>
      <c r="GR88" s="8">
        <f t="shared" si="33"/>
        <v>0.24249858208377101</v>
      </c>
      <c r="GS88" s="138">
        <f t="shared" si="191"/>
        <v>0.25</v>
      </c>
      <c r="GT88" s="12">
        <f t="shared" si="34"/>
        <v>20100.517592534005</v>
      </c>
      <c r="GU88" s="138">
        <f t="shared" si="192"/>
        <v>0.25</v>
      </c>
      <c r="GV88" s="116">
        <f t="shared" si="193"/>
        <v>2175570</v>
      </c>
      <c r="GW88" s="2">
        <f t="shared" si="35"/>
        <v>5.5118110236220486E-2</v>
      </c>
      <c r="GX88" s="8">
        <f t="shared" si="36"/>
        <v>4.9538977963199997</v>
      </c>
      <c r="GY88" s="116">
        <f t="shared" si="194"/>
        <v>2610.6840000000002</v>
      </c>
      <c r="GZ88" s="217">
        <f t="shared" si="195"/>
        <v>2.3090255926283647</v>
      </c>
      <c r="HA88" s="207">
        <f t="shared" si="196"/>
        <v>2</v>
      </c>
      <c r="HB88" s="144">
        <f t="shared" si="197"/>
        <v>27341.903343703732</v>
      </c>
      <c r="HC88" s="138">
        <f t="shared" si="37"/>
        <v>0.25</v>
      </c>
      <c r="HD88" s="116">
        <f t="shared" si="198"/>
        <v>2175570</v>
      </c>
      <c r="HE88" s="2">
        <f t="shared" si="38"/>
        <v>5.5118110236220486E-2</v>
      </c>
      <c r="HF88" s="8">
        <f t="shared" si="199"/>
        <v>4.9538977963199997</v>
      </c>
      <c r="HG88" s="116">
        <f t="shared" si="200"/>
        <v>2610.6840000000002</v>
      </c>
      <c r="HH88" s="217">
        <f t="shared" si="201"/>
        <v>2.3090255926283647</v>
      </c>
      <c r="HI88" s="207">
        <f t="shared" si="202"/>
        <v>2</v>
      </c>
      <c r="HJ88" s="144">
        <f t="shared" si="203"/>
        <v>27341.903343703732</v>
      </c>
      <c r="HK88" s="138">
        <f t="shared" si="39"/>
        <v>0.25</v>
      </c>
      <c r="HL88" s="116">
        <f t="shared" si="204"/>
        <v>2175570</v>
      </c>
      <c r="HM88" s="2">
        <f t="shared" si="40"/>
        <v>5.5118110236220486E-2</v>
      </c>
      <c r="HN88" s="8">
        <f t="shared" si="205"/>
        <v>4.9538977963199997</v>
      </c>
      <c r="HO88" s="116">
        <f t="shared" si="206"/>
        <v>2610.6840000000002</v>
      </c>
      <c r="HP88" s="217">
        <f t="shared" si="207"/>
        <v>2.3090255926283647</v>
      </c>
      <c r="HQ88" s="207">
        <f t="shared" si="208"/>
        <v>2</v>
      </c>
      <c r="HR88" s="144">
        <f t="shared" si="209"/>
        <v>27341.903343703732</v>
      </c>
      <c r="HS88" s="128">
        <f t="shared" si="210"/>
        <v>0.25</v>
      </c>
      <c r="HT88" s="2">
        <f t="shared" si="211"/>
        <v>1.5748031496062995E-2</v>
      </c>
      <c r="HU88" s="127">
        <f t="shared" si="212"/>
        <v>1.5748031496062995E-2</v>
      </c>
      <c r="HV88" s="216">
        <f t="shared" si="213"/>
        <v>0</v>
      </c>
      <c r="HW88" s="138">
        <f t="shared" si="214"/>
        <v>0.25</v>
      </c>
      <c r="HX88" s="138">
        <f t="shared" si="215"/>
        <v>0</v>
      </c>
      <c r="HY88" s="238">
        <f t="shared" si="216"/>
        <v>0</v>
      </c>
      <c r="HZ88" s="138">
        <f t="shared" si="217"/>
        <v>0</v>
      </c>
      <c r="IA88" s="138">
        <f t="shared" si="218"/>
        <v>0.5</v>
      </c>
      <c r="IB88" s="138">
        <f t="shared" si="219"/>
        <v>0</v>
      </c>
      <c r="IC88" s="138">
        <f t="shared" si="220"/>
        <v>0</v>
      </c>
      <c r="ID88" s="216">
        <f t="shared" si="221"/>
        <v>0</v>
      </c>
      <c r="IE88" s="138">
        <f t="shared" si="222"/>
        <v>1.5748031496062995E-2</v>
      </c>
      <c r="IF88" s="138">
        <f t="shared" si="223"/>
        <v>0</v>
      </c>
      <c r="IG88" s="238">
        <f t="shared" si="224"/>
        <v>0</v>
      </c>
      <c r="IH88" s="138">
        <f t="shared" si="225"/>
        <v>0</v>
      </c>
      <c r="II88" s="138">
        <f t="shared" si="226"/>
        <v>1.5748031496062995E-2</v>
      </c>
      <c r="IJ88" s="138">
        <f t="shared" si="227"/>
        <v>0</v>
      </c>
      <c r="IK88" s="138">
        <f t="shared" si="228"/>
        <v>0</v>
      </c>
      <c r="IL88" s="216">
        <f t="shared" si="229"/>
        <v>0</v>
      </c>
      <c r="IM88" s="138">
        <f t="shared" si="230"/>
        <v>1.5748031496062995E-2</v>
      </c>
      <c r="IN88" s="138">
        <f t="shared" si="231"/>
        <v>0</v>
      </c>
      <c r="IO88" s="238">
        <f t="shared" si="232"/>
        <v>0</v>
      </c>
      <c r="IP88" s="138">
        <f t="shared" si="233"/>
        <v>0</v>
      </c>
      <c r="IQ88" s="138">
        <f t="shared" si="234"/>
        <v>1.5748031496062995E-2</v>
      </c>
      <c r="IR88" s="138">
        <f t="shared" si="235"/>
        <v>0</v>
      </c>
      <c r="IS88" s="138">
        <f t="shared" si="236"/>
        <v>0</v>
      </c>
      <c r="IT88" s="17">
        <f t="shared" si="237"/>
        <v>0.5</v>
      </c>
      <c r="IU88" s="17">
        <f t="shared" si="238"/>
        <v>1.5748031496062995E-2</v>
      </c>
      <c r="IV88" s="17">
        <f t="shared" si="239"/>
        <v>1.5748031496062995E-2</v>
      </c>
      <c r="IW88" s="253">
        <f t="shared" si="240"/>
        <v>27.521654423999998</v>
      </c>
      <c r="IX88" s="116">
        <f t="shared" si="241"/>
        <v>2196.9490578443465</v>
      </c>
      <c r="IY88" s="8">
        <f t="shared" si="242"/>
        <v>5.6802761806673416E-2</v>
      </c>
      <c r="IZ88" s="8">
        <f t="shared" si="243"/>
        <v>5.6802761806673416E-2</v>
      </c>
      <c r="JA88" s="8">
        <f t="shared" si="244"/>
        <v>2.8401380903336708E-2</v>
      </c>
      <c r="JB88" s="134">
        <f t="shared" si="245"/>
        <v>0.16852709249060432</v>
      </c>
      <c r="JC88" s="170">
        <f t="shared" si="256"/>
        <v>3.485943317074526E-2</v>
      </c>
      <c r="JD88" s="272">
        <f t="shared" si="257"/>
        <v>0.18670681072404741</v>
      </c>
      <c r="JE88" s="8"/>
      <c r="JF88" s="8"/>
    </row>
    <row r="89" spans="1:266" x14ac:dyDescent="0.25">
      <c r="A89" s="186">
        <v>29</v>
      </c>
      <c r="B89" s="187">
        <f>A89/100*'Inputs-Imperial'!$E$5</f>
        <v>6.9835960239999988</v>
      </c>
      <c r="C89" s="188">
        <f>'Inputs-Imperial'!$E$10+('Inputs-Imperial'!$E$9-'Inputs-Imperial'!$E$10)*(100-A89)/100</f>
        <v>4.5691438470000003</v>
      </c>
      <c r="D89" s="187">
        <f t="shared" si="248"/>
        <v>0.24081365599999849</v>
      </c>
      <c r="E89" s="188">
        <f t="shared" si="249"/>
        <v>1.1024553023773151</v>
      </c>
      <c r="F89" s="423">
        <f>Loads!P49</f>
        <v>632.07307910849147</v>
      </c>
      <c r="G89" s="423">
        <f>Loads!M49</f>
        <v>6320.730791084914</v>
      </c>
      <c r="H89" s="423">
        <f>Loads!N49</f>
        <v>48837.250402698803</v>
      </c>
      <c r="I89" s="423">
        <f>Loads!V49</f>
        <v>-13824.437464716792</v>
      </c>
      <c r="J89" s="423">
        <f>Loads!Q49</f>
        <v>4883.7250402698828</v>
      </c>
      <c r="K89" s="2">
        <v>29</v>
      </c>
      <c r="L89" s="12">
        <f t="shared" si="41"/>
        <v>83.803152287999978</v>
      </c>
      <c r="M89" s="11">
        <f t="shared" si="42"/>
        <v>54.829726164000007</v>
      </c>
      <c r="N89" s="11">
        <f t="shared" si="43"/>
        <v>2.8897638719999819</v>
      </c>
      <c r="O89" s="152">
        <f t="shared" si="44"/>
        <v>158.75356354233338</v>
      </c>
      <c r="P89" s="151">
        <f t="shared" si="45"/>
        <v>632.07307910849147</v>
      </c>
      <c r="Q89" s="12">
        <f t="shared" si="46"/>
        <v>6320.730791084914</v>
      </c>
      <c r="R89" s="12">
        <f t="shared" si="47"/>
        <v>586047.00483238557</v>
      </c>
      <c r="S89" s="12">
        <f t="shared" si="48"/>
        <v>-165893.24957660149</v>
      </c>
      <c r="T89" s="152">
        <f t="shared" si="49"/>
        <v>58604.700483238594</v>
      </c>
      <c r="U89" s="8">
        <f t="shared" si="0"/>
        <v>9.8693507095200008</v>
      </c>
      <c r="V89" s="8">
        <f t="shared" si="1"/>
        <v>9.8693507095200008</v>
      </c>
      <c r="W89" s="134">
        <f t="shared" si="2"/>
        <v>4.9346753547600004</v>
      </c>
      <c r="X89" s="311">
        <f t="shared" si="3"/>
        <v>13.707431541000002</v>
      </c>
      <c r="Y89" s="11">
        <f t="shared" si="4"/>
        <v>41.122294623000002</v>
      </c>
      <c r="Z89" s="11">
        <f t="shared" si="5"/>
        <v>27.414863082</v>
      </c>
      <c r="AA89" s="316">
        <f t="shared" si="50"/>
        <v>41.122294623000002</v>
      </c>
      <c r="AB89" s="170">
        <f t="shared" si="51"/>
        <v>7.4020130321400011</v>
      </c>
      <c r="AC89" s="11">
        <f t="shared" si="52"/>
        <v>41.122294623000002</v>
      </c>
      <c r="AD89" s="152">
        <f t="shared" si="53"/>
        <v>239.0655882230395</v>
      </c>
      <c r="AE89" s="151">
        <f t="shared" si="6"/>
        <v>15.370569295881859</v>
      </c>
      <c r="AF89" s="12">
        <f t="shared" si="54"/>
        <v>346.9617915520094</v>
      </c>
      <c r="AG89" s="216">
        <f t="shared" si="7"/>
        <v>2.3738507591122449E-2</v>
      </c>
      <c r="AH89" s="2">
        <f t="shared" si="55"/>
        <v>4</v>
      </c>
      <c r="AI89" s="2">
        <f t="shared" si="56"/>
        <v>3</v>
      </c>
      <c r="AJ89" s="127">
        <f t="shared" si="57"/>
        <v>2</v>
      </c>
      <c r="AK89" s="2">
        <f t="shared" si="58"/>
        <v>1.5748031496062995E-2</v>
      </c>
      <c r="AL89" s="8">
        <f t="shared" si="8"/>
        <v>0.24981891700650263</v>
      </c>
      <c r="AM89" s="138">
        <f t="shared" si="59"/>
        <v>0.25</v>
      </c>
      <c r="AN89" s="12">
        <f t="shared" si="9"/>
        <v>20707.294422456984</v>
      </c>
      <c r="AO89" s="138">
        <f t="shared" si="60"/>
        <v>0.25</v>
      </c>
      <c r="AP89" s="116">
        <f t="shared" si="61"/>
        <v>2175570</v>
      </c>
      <c r="AQ89" s="2">
        <f t="shared" si="62"/>
        <v>1.5748031496062995E-2</v>
      </c>
      <c r="AR89" s="8">
        <f t="shared" si="63"/>
        <v>27.414863082</v>
      </c>
      <c r="AS89" s="116">
        <f t="shared" si="64"/>
        <v>2610.6840000000002</v>
      </c>
      <c r="AT89" s="217">
        <f t="shared" si="65"/>
        <v>2.1541831503904263E-2</v>
      </c>
      <c r="AU89" s="207">
        <f t="shared" si="66"/>
        <v>4.9304030455487595</v>
      </c>
      <c r="AV89" s="144">
        <f t="shared" si="67"/>
        <v>2200.9141036504375</v>
      </c>
      <c r="AW89" s="138">
        <f t="shared" si="68"/>
        <v>2.5</v>
      </c>
      <c r="AX89" s="116">
        <f t="shared" si="69"/>
        <v>2175570</v>
      </c>
      <c r="AY89" s="2">
        <f t="shared" si="70"/>
        <v>1.5748031496062995E-2</v>
      </c>
      <c r="AZ89" s="8">
        <f t="shared" si="71"/>
        <v>27.414863082</v>
      </c>
      <c r="BA89" s="116">
        <f t="shared" si="72"/>
        <v>2610.6840000000002</v>
      </c>
      <c r="BB89" s="217">
        <f t="shared" si="73"/>
        <v>0.21541831503904263</v>
      </c>
      <c r="BC89" s="207">
        <f t="shared" si="74"/>
        <v>3.0122582768859081</v>
      </c>
      <c r="BD89" s="144">
        <f t="shared" si="75"/>
        <v>134466.12100853233</v>
      </c>
      <c r="BE89" s="138">
        <f t="shared" si="76"/>
        <v>2.5</v>
      </c>
      <c r="BF89" s="116">
        <f t="shared" si="77"/>
        <v>2175570</v>
      </c>
      <c r="BG89" s="2">
        <f t="shared" si="78"/>
        <v>1.5748031496062995E-2</v>
      </c>
      <c r="BH89" s="8">
        <f t="shared" si="79"/>
        <v>27.414863082</v>
      </c>
      <c r="BI89" s="116">
        <f t="shared" si="80"/>
        <v>2610.6840000000002</v>
      </c>
      <c r="BJ89" s="217">
        <f t="shared" si="81"/>
        <v>0.21541831503904263</v>
      </c>
      <c r="BK89" s="207">
        <f t="shared" si="82"/>
        <v>3.0122582768859081</v>
      </c>
      <c r="BL89" s="144">
        <f t="shared" si="83"/>
        <v>134466.12100853233</v>
      </c>
      <c r="BM89" s="216">
        <f t="shared" si="84"/>
        <v>2.5</v>
      </c>
      <c r="BN89" s="216">
        <f t="shared" si="85"/>
        <v>2.3622047244094495E-2</v>
      </c>
      <c r="BO89" s="238">
        <f t="shared" si="86"/>
        <v>1.5748031496062995E-2</v>
      </c>
      <c r="BP89" s="216">
        <f t="shared" si="87"/>
        <v>0</v>
      </c>
      <c r="BQ89" s="138">
        <f t="shared" si="88"/>
        <v>2.5</v>
      </c>
      <c r="BR89" s="138">
        <f t="shared" si="89"/>
        <v>0</v>
      </c>
      <c r="BS89" s="238">
        <f t="shared" si="90"/>
        <v>0</v>
      </c>
      <c r="BT89" s="138">
        <f t="shared" si="91"/>
        <v>0</v>
      </c>
      <c r="BU89" s="138">
        <f t="shared" si="92"/>
        <v>2.5</v>
      </c>
      <c r="BV89" s="138">
        <f t="shared" si="93"/>
        <v>0</v>
      </c>
      <c r="BW89" s="238">
        <f t="shared" si="94"/>
        <v>0</v>
      </c>
      <c r="BX89" s="216">
        <f t="shared" si="95"/>
        <v>0</v>
      </c>
      <c r="BY89" s="138">
        <f t="shared" si="96"/>
        <v>2.3622047244094495E-2</v>
      </c>
      <c r="BZ89" s="138">
        <f t="shared" si="97"/>
        <v>0</v>
      </c>
      <c r="CA89" s="238">
        <f t="shared" si="98"/>
        <v>0</v>
      </c>
      <c r="CB89" s="138">
        <f t="shared" si="99"/>
        <v>0</v>
      </c>
      <c r="CC89" s="138">
        <f t="shared" si="100"/>
        <v>2.3622047244094495E-2</v>
      </c>
      <c r="CD89" s="138">
        <f t="shared" si="101"/>
        <v>0</v>
      </c>
      <c r="CE89" s="238">
        <f t="shared" si="102"/>
        <v>0</v>
      </c>
      <c r="CF89" s="216">
        <f t="shared" si="103"/>
        <v>0</v>
      </c>
      <c r="CG89" s="138">
        <f t="shared" si="104"/>
        <v>1.5748031496062995E-2</v>
      </c>
      <c r="CH89" s="138">
        <f t="shared" si="105"/>
        <v>0</v>
      </c>
      <c r="CI89" s="238">
        <f t="shared" si="106"/>
        <v>0</v>
      </c>
      <c r="CJ89" s="138">
        <f t="shared" si="107"/>
        <v>0</v>
      </c>
      <c r="CK89" s="138">
        <f t="shared" si="108"/>
        <v>1.5748031496062995E-2</v>
      </c>
      <c r="CL89" s="138">
        <f t="shared" si="109"/>
        <v>0</v>
      </c>
      <c r="CM89" s="238">
        <f t="shared" si="110"/>
        <v>0</v>
      </c>
      <c r="CN89" s="17">
        <f t="shared" si="111"/>
        <v>2.5</v>
      </c>
      <c r="CO89" s="17">
        <f t="shared" si="112"/>
        <v>2.3622047244094495E-2</v>
      </c>
      <c r="CP89" s="17">
        <f t="shared" si="113"/>
        <v>1.5748031496062995E-2</v>
      </c>
      <c r="CQ89" s="17">
        <f>$U89-IF('Inputs-Imperial'!$E$13,0,2)*($CO89+$CN89+$CP89)</f>
        <v>9.8693507095200008</v>
      </c>
      <c r="CR89" s="116">
        <f t="shared" si="114"/>
        <v>59380.502535702086</v>
      </c>
      <c r="CS89" s="8">
        <f t="shared" si="10"/>
        <v>1.5353002972247467</v>
      </c>
      <c r="CT89" s="8">
        <f t="shared" si="115"/>
        <v>1.239072353506746</v>
      </c>
      <c r="CU89" s="8">
        <f t="shared" si="11"/>
        <v>1.5353002972247467</v>
      </c>
      <c r="CV89" s="8">
        <f t="shared" si="116"/>
        <v>1.239072353506746</v>
      </c>
      <c r="CW89" s="216">
        <f t="shared" si="117"/>
        <v>8.630278356013255</v>
      </c>
      <c r="CX89" s="116">
        <f t="shared" si="118"/>
        <v>67905.921530798587</v>
      </c>
      <c r="CY89" s="8">
        <f t="shared" si="119"/>
        <v>1.7557275041057838</v>
      </c>
      <c r="CZ89" s="8">
        <f t="shared" si="120"/>
        <v>1.3250386802300467</v>
      </c>
      <c r="DA89" s="8">
        <f t="shared" si="121"/>
        <v>1.7557275041057838</v>
      </c>
      <c r="DB89" s="8">
        <f t="shared" si="122"/>
        <v>1.3250386802300467</v>
      </c>
      <c r="DC89" s="216">
        <f t="shared" si="123"/>
        <v>8.5443120292899533</v>
      </c>
      <c r="DD89" s="116">
        <f t="shared" si="124"/>
        <v>68589.138929314955</v>
      </c>
      <c r="DE89" s="8">
        <f t="shared" si="125"/>
        <v>1.7733922901924397</v>
      </c>
      <c r="DF89" s="8">
        <f t="shared" si="126"/>
        <v>1.3316877600220105</v>
      </c>
      <c r="DG89" s="8">
        <f t="shared" si="127"/>
        <v>1.7733922901924397</v>
      </c>
      <c r="DH89" s="8">
        <f t="shared" si="128"/>
        <v>1.3316877600220105</v>
      </c>
      <c r="DI89" s="216">
        <f t="shared" si="129"/>
        <v>8.5376629494979905</v>
      </c>
      <c r="DJ89" s="116">
        <f t="shared" si="130"/>
        <v>68642.555732051333</v>
      </c>
      <c r="DK89" s="8">
        <f t="shared" si="131"/>
        <v>1.7747733972834188</v>
      </c>
      <c r="DL89" s="8">
        <f t="shared" si="132"/>
        <v>1.3322062142489122</v>
      </c>
      <c r="DM89" s="8">
        <f t="shared" si="133"/>
        <v>1.7747733972834188</v>
      </c>
      <c r="DN89" s="8">
        <f t="shared" si="134"/>
        <v>1.3322062142489122</v>
      </c>
      <c r="DO89" s="216">
        <f>$CQ89-DL89/2-DN89/2</f>
        <v>8.5371444952710878</v>
      </c>
      <c r="DP89" s="116">
        <f t="shared" si="136"/>
        <v>68646.724341729234</v>
      </c>
      <c r="DQ89" s="170">
        <f t="shared" si="137"/>
        <v>1.7748811779084419</v>
      </c>
      <c r="DR89" s="8">
        <f t="shared" si="138"/>
        <v>1.3322466655647676</v>
      </c>
      <c r="DS89" s="8">
        <f t="shared" si="139"/>
        <v>1.7748811779084419</v>
      </c>
      <c r="DT89" s="134">
        <f t="shared" si="140"/>
        <v>1.3322466655647676</v>
      </c>
      <c r="DU89" s="170">
        <f t="shared" si="254"/>
        <v>2.271823534607841</v>
      </c>
      <c r="DV89" s="170">
        <f t="shared" si="255"/>
        <v>1.5072569570606869</v>
      </c>
      <c r="DW89" s="170">
        <f t="shared" si="255"/>
        <v>2.271823534607841</v>
      </c>
      <c r="DX89" s="272">
        <f t="shared" si="255"/>
        <v>1.5072569570606869</v>
      </c>
      <c r="DY89" s="272">
        <f t="shared" si="142"/>
        <v>6.8548367953986276</v>
      </c>
      <c r="DZ89" s="22">
        <f t="shared" si="12"/>
        <v>640.44038732841068</v>
      </c>
      <c r="EA89" s="216">
        <f t="shared" si="13"/>
        <v>4.1958987490601778E-2</v>
      </c>
      <c r="EB89" s="12">
        <f t="shared" si="143"/>
        <v>6</v>
      </c>
      <c r="EC89" s="7">
        <f>ROUND(MAX(DV89,DX89)/'Inputs-Imperial'!$E$21,0)</f>
        <v>13</v>
      </c>
      <c r="ED89" s="12">
        <f t="shared" si="144"/>
        <v>13</v>
      </c>
      <c r="EE89" s="2">
        <f t="shared" si="145"/>
        <v>7</v>
      </c>
      <c r="EF89" s="127">
        <f t="shared" si="146"/>
        <v>7</v>
      </c>
      <c r="EG89" s="2">
        <f t="shared" si="147"/>
        <v>5.5118110236220486E-2</v>
      </c>
      <c r="EH89" s="8">
        <f t="shared" si="14"/>
        <v>0.44156730465699379</v>
      </c>
      <c r="EI89" s="138">
        <f t="shared" si="148"/>
        <v>0.5</v>
      </c>
      <c r="EJ89" s="12">
        <f t="shared" si="15"/>
        <v>10457.476610233904</v>
      </c>
      <c r="EK89" s="138">
        <f t="shared" si="149"/>
        <v>0.5</v>
      </c>
      <c r="EL89" s="116">
        <f t="shared" si="150"/>
        <v>2175570</v>
      </c>
      <c r="EM89" s="2">
        <f t="shared" si="16"/>
        <v>5.5118110236220486E-2</v>
      </c>
      <c r="EN89" s="8">
        <f t="shared" si="151"/>
        <v>9.8693507095200008</v>
      </c>
      <c r="EO89" s="116">
        <f t="shared" si="152"/>
        <v>2610.6840000000002</v>
      </c>
      <c r="EP89" s="217">
        <f t="shared" si="153"/>
        <v>1.1635248497479151</v>
      </c>
      <c r="EQ89" s="207">
        <f t="shared" si="154"/>
        <v>2</v>
      </c>
      <c r="ER89" s="144">
        <f t="shared" si="155"/>
        <v>27555.332501613524</v>
      </c>
      <c r="ES89" s="138">
        <f t="shared" si="17"/>
        <v>0.5</v>
      </c>
      <c r="ET89" s="116">
        <f t="shared" si="156"/>
        <v>2175570</v>
      </c>
      <c r="EU89" s="2">
        <f t="shared" si="18"/>
        <v>5.5118110236220486E-2</v>
      </c>
      <c r="EV89" s="8">
        <f t="shared" si="157"/>
        <v>9.8693507095200008</v>
      </c>
      <c r="EW89" s="116">
        <f t="shared" si="158"/>
        <v>2610.6840000000002</v>
      </c>
      <c r="EX89" s="217">
        <f t="shared" si="159"/>
        <v>1.1635248497479151</v>
      </c>
      <c r="EY89" s="207">
        <f t="shared" si="160"/>
        <v>2</v>
      </c>
      <c r="EZ89" s="144">
        <f t="shared" si="161"/>
        <v>27555.332501613524</v>
      </c>
      <c r="FA89" s="138">
        <f t="shared" si="19"/>
        <v>0.5</v>
      </c>
      <c r="FB89" s="116">
        <f t="shared" si="162"/>
        <v>2175570</v>
      </c>
      <c r="FC89" s="2">
        <f t="shared" si="20"/>
        <v>5.5118110236220486E-2</v>
      </c>
      <c r="FD89" s="8">
        <f t="shared" si="163"/>
        <v>9.8693507095200008</v>
      </c>
      <c r="FE89" s="116">
        <f t="shared" si="164"/>
        <v>2610.6840000000002</v>
      </c>
      <c r="FF89" s="217">
        <f t="shared" si="165"/>
        <v>1.1635248497479151</v>
      </c>
      <c r="FG89" s="207">
        <f t="shared" si="166"/>
        <v>2</v>
      </c>
      <c r="FH89" s="144">
        <f t="shared" si="167"/>
        <v>27555.332501613524</v>
      </c>
      <c r="FI89" s="128">
        <f t="shared" si="168"/>
        <v>0.5</v>
      </c>
      <c r="FJ89" s="2">
        <f t="shared" si="169"/>
        <v>5.5118110236220486E-2</v>
      </c>
      <c r="FK89" s="127">
        <f t="shared" si="170"/>
        <v>5.5118110236220486E-2</v>
      </c>
      <c r="FL89" s="216">
        <f t="shared" si="171"/>
        <v>0</v>
      </c>
      <c r="FM89" s="138">
        <f t="shared" si="172"/>
        <v>0.5</v>
      </c>
      <c r="FN89" s="138">
        <f t="shared" si="173"/>
        <v>0</v>
      </c>
      <c r="FO89" s="238">
        <f t="shared" si="174"/>
        <v>0</v>
      </c>
      <c r="FP89" s="216">
        <f t="shared" si="21"/>
        <v>0</v>
      </c>
      <c r="FQ89" s="138">
        <f t="shared" si="22"/>
        <v>0.5</v>
      </c>
      <c r="FR89" s="138">
        <f t="shared" si="23"/>
        <v>0</v>
      </c>
      <c r="FS89" s="238">
        <f t="shared" si="24"/>
        <v>0</v>
      </c>
      <c r="FT89" s="216">
        <f t="shared" si="175"/>
        <v>0</v>
      </c>
      <c r="FU89" s="138">
        <f t="shared" si="176"/>
        <v>5.5118110236220486E-2</v>
      </c>
      <c r="FV89" s="138">
        <f t="shared" si="177"/>
        <v>0</v>
      </c>
      <c r="FW89" s="238">
        <f t="shared" si="178"/>
        <v>0</v>
      </c>
      <c r="FX89" s="216">
        <f t="shared" si="25"/>
        <v>0</v>
      </c>
      <c r="FY89" s="138">
        <f t="shared" si="26"/>
        <v>5.5118110236220486E-2</v>
      </c>
      <c r="FZ89" s="138">
        <f t="shared" si="27"/>
        <v>0</v>
      </c>
      <c r="GA89" s="238">
        <f t="shared" si="28"/>
        <v>0</v>
      </c>
      <c r="GB89" s="216">
        <f t="shared" si="179"/>
        <v>0</v>
      </c>
      <c r="GC89" s="138">
        <f t="shared" si="180"/>
        <v>5.5118110236220486E-2</v>
      </c>
      <c r="GD89" s="138">
        <f t="shared" si="181"/>
        <v>0</v>
      </c>
      <c r="GE89" s="238">
        <f t="shared" si="182"/>
        <v>0</v>
      </c>
      <c r="GF89" s="216">
        <f t="shared" si="29"/>
        <v>0</v>
      </c>
      <c r="GG89" s="138">
        <f t="shared" si="30"/>
        <v>5.5118110236220486E-2</v>
      </c>
      <c r="GH89" s="138">
        <f t="shared" si="31"/>
        <v>0</v>
      </c>
      <c r="GI89" s="238">
        <f t="shared" si="32"/>
        <v>0</v>
      </c>
      <c r="GJ89" s="216">
        <f t="shared" si="183"/>
        <v>0.5</v>
      </c>
      <c r="GK89" s="216">
        <f t="shared" si="184"/>
        <v>5.5118110236220486E-2</v>
      </c>
      <c r="GL89" s="17">
        <f t="shared" si="185"/>
        <v>5.5118110236220486E-2</v>
      </c>
      <c r="GM89" s="216">
        <f t="shared" si="186"/>
        <v>2.2731491891348005E-2</v>
      </c>
      <c r="GN89" s="2">
        <f t="shared" si="187"/>
        <v>3</v>
      </c>
      <c r="GO89" s="2">
        <f t="shared" si="188"/>
        <v>2</v>
      </c>
      <c r="GP89" s="142">
        <f t="shared" si="189"/>
        <v>2</v>
      </c>
      <c r="GQ89" s="2">
        <f t="shared" si="190"/>
        <v>1.5748031496062995E-2</v>
      </c>
      <c r="GR89" s="8">
        <f t="shared" si="33"/>
        <v>0.23922130169473477</v>
      </c>
      <c r="GS89" s="138">
        <f t="shared" si="191"/>
        <v>0.25</v>
      </c>
      <c r="GT89" s="12">
        <f t="shared" si="34"/>
        <v>19828.866387197333</v>
      </c>
      <c r="GU89" s="138">
        <f t="shared" si="192"/>
        <v>0.25</v>
      </c>
      <c r="GV89" s="116">
        <f t="shared" si="193"/>
        <v>2175570</v>
      </c>
      <c r="GW89" s="2">
        <f t="shared" si="35"/>
        <v>5.5118110236220486E-2</v>
      </c>
      <c r="GX89" s="8">
        <f t="shared" si="36"/>
        <v>4.9346753547600004</v>
      </c>
      <c r="GY89" s="116">
        <f t="shared" si="194"/>
        <v>2610.6840000000002</v>
      </c>
      <c r="GZ89" s="217">
        <f t="shared" si="195"/>
        <v>2.3270496994958303</v>
      </c>
      <c r="HA89" s="207">
        <f t="shared" si="196"/>
        <v>2</v>
      </c>
      <c r="HB89" s="144">
        <f t="shared" si="197"/>
        <v>27555.332501613524</v>
      </c>
      <c r="HC89" s="138">
        <f t="shared" si="37"/>
        <v>0.25</v>
      </c>
      <c r="HD89" s="116">
        <f t="shared" si="198"/>
        <v>2175570</v>
      </c>
      <c r="HE89" s="2">
        <f t="shared" si="38"/>
        <v>5.5118110236220486E-2</v>
      </c>
      <c r="HF89" s="8">
        <f t="shared" si="199"/>
        <v>4.9346753547600004</v>
      </c>
      <c r="HG89" s="116">
        <f t="shared" si="200"/>
        <v>2610.6840000000002</v>
      </c>
      <c r="HH89" s="217">
        <f t="shared" si="201"/>
        <v>2.3270496994958303</v>
      </c>
      <c r="HI89" s="207">
        <f t="shared" si="202"/>
        <v>2</v>
      </c>
      <c r="HJ89" s="144">
        <f t="shared" si="203"/>
        <v>27555.332501613524</v>
      </c>
      <c r="HK89" s="138">
        <f t="shared" si="39"/>
        <v>0.25</v>
      </c>
      <c r="HL89" s="116">
        <f t="shared" si="204"/>
        <v>2175570</v>
      </c>
      <c r="HM89" s="2">
        <f t="shared" si="40"/>
        <v>5.5118110236220486E-2</v>
      </c>
      <c r="HN89" s="8">
        <f t="shared" si="205"/>
        <v>4.9346753547600004</v>
      </c>
      <c r="HO89" s="116">
        <f t="shared" si="206"/>
        <v>2610.6840000000002</v>
      </c>
      <c r="HP89" s="217">
        <f t="shared" si="207"/>
        <v>2.3270496994958303</v>
      </c>
      <c r="HQ89" s="207">
        <f t="shared" si="208"/>
        <v>2</v>
      </c>
      <c r="HR89" s="144">
        <f t="shared" si="209"/>
        <v>27555.332501613524</v>
      </c>
      <c r="HS89" s="128">
        <f t="shared" si="210"/>
        <v>0.25</v>
      </c>
      <c r="HT89" s="2">
        <f t="shared" si="211"/>
        <v>1.5748031496062995E-2</v>
      </c>
      <c r="HU89" s="127">
        <f t="shared" si="212"/>
        <v>1.5748031496062995E-2</v>
      </c>
      <c r="HV89" s="216">
        <f t="shared" si="213"/>
        <v>0</v>
      </c>
      <c r="HW89" s="138">
        <f t="shared" si="214"/>
        <v>0.25</v>
      </c>
      <c r="HX89" s="138">
        <f t="shared" si="215"/>
        <v>0</v>
      </c>
      <c r="HY89" s="238">
        <f t="shared" si="216"/>
        <v>0</v>
      </c>
      <c r="HZ89" s="138">
        <f t="shared" si="217"/>
        <v>0</v>
      </c>
      <c r="IA89" s="138">
        <f t="shared" si="218"/>
        <v>0.5</v>
      </c>
      <c r="IB89" s="138">
        <f t="shared" si="219"/>
        <v>0</v>
      </c>
      <c r="IC89" s="138">
        <f t="shared" si="220"/>
        <v>0</v>
      </c>
      <c r="ID89" s="216">
        <f t="shared" si="221"/>
        <v>0</v>
      </c>
      <c r="IE89" s="138">
        <f t="shared" si="222"/>
        <v>1.5748031496062995E-2</v>
      </c>
      <c r="IF89" s="138">
        <f t="shared" si="223"/>
        <v>0</v>
      </c>
      <c r="IG89" s="238">
        <f t="shared" si="224"/>
        <v>0</v>
      </c>
      <c r="IH89" s="138">
        <f t="shared" si="225"/>
        <v>0</v>
      </c>
      <c r="II89" s="138">
        <f t="shared" si="226"/>
        <v>1.5748031496062995E-2</v>
      </c>
      <c r="IJ89" s="138">
        <f t="shared" si="227"/>
        <v>0</v>
      </c>
      <c r="IK89" s="138">
        <f t="shared" si="228"/>
        <v>0</v>
      </c>
      <c r="IL89" s="216">
        <f t="shared" si="229"/>
        <v>0</v>
      </c>
      <c r="IM89" s="138">
        <f t="shared" si="230"/>
        <v>1.5748031496062995E-2</v>
      </c>
      <c r="IN89" s="138">
        <f t="shared" si="231"/>
        <v>0</v>
      </c>
      <c r="IO89" s="238">
        <f t="shared" si="232"/>
        <v>0</v>
      </c>
      <c r="IP89" s="138">
        <f t="shared" si="233"/>
        <v>0</v>
      </c>
      <c r="IQ89" s="138">
        <f t="shared" si="234"/>
        <v>1.5748031496062995E-2</v>
      </c>
      <c r="IR89" s="138">
        <f t="shared" si="235"/>
        <v>0</v>
      </c>
      <c r="IS89" s="138">
        <f t="shared" si="236"/>
        <v>0</v>
      </c>
      <c r="IT89" s="17">
        <f t="shared" si="237"/>
        <v>0.5</v>
      </c>
      <c r="IU89" s="17">
        <f t="shared" si="238"/>
        <v>1.5748031496062995E-2</v>
      </c>
      <c r="IV89" s="17">
        <f t="shared" si="239"/>
        <v>1.5748031496062995E-2</v>
      </c>
      <c r="IW89" s="253">
        <f t="shared" si="240"/>
        <v>27.414863082</v>
      </c>
      <c r="IX89" s="116">
        <f t="shared" si="241"/>
        <v>2137.6980912852764</v>
      </c>
      <c r="IY89" s="8">
        <f t="shared" si="242"/>
        <v>5.5270810700090912E-2</v>
      </c>
      <c r="IZ89" s="8">
        <f t="shared" si="243"/>
        <v>5.5270810700090912E-2</v>
      </c>
      <c r="JA89" s="8">
        <f t="shared" si="244"/>
        <v>2.7635405350045456E-2</v>
      </c>
      <c r="JB89" s="134">
        <f t="shared" si="245"/>
        <v>0.1662390006889041</v>
      </c>
      <c r="JC89" s="170">
        <f t="shared" si="256"/>
        <v>3.485943317074526E-2</v>
      </c>
      <c r="JD89" s="272">
        <f t="shared" si="257"/>
        <v>0.18670681072404741</v>
      </c>
      <c r="JE89" s="8"/>
      <c r="JF89" s="8"/>
    </row>
    <row r="90" spans="1:266" x14ac:dyDescent="0.25">
      <c r="A90" s="186">
        <v>30</v>
      </c>
      <c r="B90" s="187">
        <f>A90/100*'Inputs-Imperial'!$E$5</f>
        <v>7.2244096799999991</v>
      </c>
      <c r="C90" s="188">
        <f>'Inputs-Imperial'!$E$10+('Inputs-Imperial'!$E$9-'Inputs-Imperial'!$E$10)*(100-A90)/100</f>
        <v>4.5513452900000004</v>
      </c>
      <c r="D90" s="187">
        <f t="shared" si="248"/>
        <v>0.24081365600000026</v>
      </c>
      <c r="E90" s="188">
        <f t="shared" si="249"/>
        <v>1.0981691667946287</v>
      </c>
      <c r="F90" s="423">
        <f>Loads!P50</f>
        <v>620.88992423413617</v>
      </c>
      <c r="G90" s="423">
        <f>Loads!M50</f>
        <v>6208.8992423413611</v>
      </c>
      <c r="H90" s="423">
        <f>Loads!N50</f>
        <v>47315.132112305873</v>
      </c>
      <c r="I90" s="423">
        <f>Loads!V50</f>
        <v>-13527.756204454248</v>
      </c>
      <c r="J90" s="423">
        <f>Loads!Q50</f>
        <v>4731.5132112305891</v>
      </c>
      <c r="K90" s="2">
        <v>30</v>
      </c>
      <c r="L90" s="12">
        <f t="shared" si="41"/>
        <v>86.692916159999982</v>
      </c>
      <c r="M90" s="11">
        <f t="shared" si="42"/>
        <v>54.616143480000005</v>
      </c>
      <c r="N90" s="11">
        <f t="shared" si="43"/>
        <v>2.8897638720000032</v>
      </c>
      <c r="O90" s="152">
        <f t="shared" si="44"/>
        <v>158.13636001842653</v>
      </c>
      <c r="P90" s="151">
        <f t="shared" si="45"/>
        <v>620.88992423413617</v>
      </c>
      <c r="Q90" s="12">
        <f t="shared" si="46"/>
        <v>6208.8992423413611</v>
      </c>
      <c r="R90" s="12">
        <f t="shared" si="47"/>
        <v>567781.58534767048</v>
      </c>
      <c r="S90" s="12">
        <f t="shared" si="48"/>
        <v>-162333.07445345097</v>
      </c>
      <c r="T90" s="152">
        <f t="shared" si="49"/>
        <v>56778.15853476707</v>
      </c>
      <c r="U90" s="8">
        <f t="shared" si="0"/>
        <v>9.8309058264000004</v>
      </c>
      <c r="V90" s="8">
        <f t="shared" si="1"/>
        <v>9.8309058264000004</v>
      </c>
      <c r="W90" s="134">
        <f t="shared" si="2"/>
        <v>4.9154529132000002</v>
      </c>
      <c r="X90" s="311">
        <f t="shared" si="3"/>
        <v>13.654035870000001</v>
      </c>
      <c r="Y90" s="11">
        <f t="shared" si="4"/>
        <v>40.962107610000004</v>
      </c>
      <c r="Z90" s="11">
        <f t="shared" si="5"/>
        <v>27.308071740000003</v>
      </c>
      <c r="AA90" s="316">
        <f t="shared" si="50"/>
        <v>40.962107610000004</v>
      </c>
      <c r="AB90" s="170">
        <f t="shared" si="51"/>
        <v>7.3731793698000008</v>
      </c>
      <c r="AC90" s="11">
        <f t="shared" si="52"/>
        <v>40.962107610000004</v>
      </c>
      <c r="AD90" s="152">
        <f t="shared" si="53"/>
        <v>237.20671261149118</v>
      </c>
      <c r="AE90" s="151">
        <f t="shared" si="6"/>
        <v>15.15766547331074</v>
      </c>
      <c r="AF90" s="12">
        <f t="shared" si="54"/>
        <v>342.17639262032196</v>
      </c>
      <c r="AG90" s="216">
        <f t="shared" si="7"/>
        <v>2.3411039606764002E-2</v>
      </c>
      <c r="AH90" s="2">
        <f t="shared" si="55"/>
        <v>3</v>
      </c>
      <c r="AI90" s="2">
        <f t="shared" si="56"/>
        <v>3</v>
      </c>
      <c r="AJ90" s="127">
        <f t="shared" si="57"/>
        <v>2</v>
      </c>
      <c r="AK90" s="2">
        <f t="shared" si="58"/>
        <v>1.5748031496062995E-2</v>
      </c>
      <c r="AL90" s="8">
        <f t="shared" si="8"/>
        <v>0.24637271480138492</v>
      </c>
      <c r="AM90" s="138">
        <f t="shared" si="59"/>
        <v>0.25</v>
      </c>
      <c r="AN90" s="12">
        <f t="shared" si="9"/>
        <v>20421.641420051103</v>
      </c>
      <c r="AO90" s="138">
        <f t="shared" si="60"/>
        <v>0.25</v>
      </c>
      <c r="AP90" s="116">
        <f t="shared" si="61"/>
        <v>2175570</v>
      </c>
      <c r="AQ90" s="2">
        <f t="shared" si="62"/>
        <v>1.5748031496062995E-2</v>
      </c>
      <c r="AR90" s="8">
        <f t="shared" si="63"/>
        <v>27.308071740000003</v>
      </c>
      <c r="AS90" s="116">
        <f t="shared" si="64"/>
        <v>2610.6840000000002</v>
      </c>
      <c r="AT90" s="217">
        <f t="shared" si="65"/>
        <v>2.1710644539462309E-2</v>
      </c>
      <c r="AU90" s="207">
        <f t="shared" si="66"/>
        <v>4.9276742247815113</v>
      </c>
      <c r="AV90" s="144">
        <f t="shared" si="67"/>
        <v>2216.9339336701296</v>
      </c>
      <c r="AW90" s="138">
        <f t="shared" si="68"/>
        <v>2.5</v>
      </c>
      <c r="AX90" s="116">
        <f t="shared" si="69"/>
        <v>2175570</v>
      </c>
      <c r="AY90" s="2">
        <f t="shared" si="70"/>
        <v>1.5748031496062995E-2</v>
      </c>
      <c r="AZ90" s="8">
        <f t="shared" si="71"/>
        <v>27.308071740000003</v>
      </c>
      <c r="BA90" s="116">
        <f t="shared" si="72"/>
        <v>2610.6840000000002</v>
      </c>
      <c r="BB90" s="217">
        <f t="shared" si="73"/>
        <v>0.21710644539462309</v>
      </c>
      <c r="BC90" s="207">
        <f t="shared" si="74"/>
        <v>3.0029548809423545</v>
      </c>
      <c r="BD90" s="144">
        <f t="shared" si="75"/>
        <v>135101.31297562856</v>
      </c>
      <c r="BE90" s="138">
        <f t="shared" si="76"/>
        <v>2.5</v>
      </c>
      <c r="BF90" s="116">
        <f t="shared" si="77"/>
        <v>2175570</v>
      </c>
      <c r="BG90" s="2">
        <f t="shared" si="78"/>
        <v>1.5748031496062995E-2</v>
      </c>
      <c r="BH90" s="8">
        <f t="shared" si="79"/>
        <v>27.308071740000003</v>
      </c>
      <c r="BI90" s="116">
        <f t="shared" si="80"/>
        <v>2610.6840000000002</v>
      </c>
      <c r="BJ90" s="217">
        <f t="shared" si="81"/>
        <v>0.21710644539462309</v>
      </c>
      <c r="BK90" s="207">
        <f t="shared" si="82"/>
        <v>3.0029548809423545</v>
      </c>
      <c r="BL90" s="144">
        <f t="shared" si="83"/>
        <v>135101.31297562856</v>
      </c>
      <c r="BM90" s="216">
        <f t="shared" si="84"/>
        <v>2.5</v>
      </c>
      <c r="BN90" s="216">
        <f t="shared" si="85"/>
        <v>2.3622047244094495E-2</v>
      </c>
      <c r="BO90" s="238">
        <f t="shared" si="86"/>
        <v>1.5748031496062995E-2</v>
      </c>
      <c r="BP90" s="216">
        <f t="shared" si="87"/>
        <v>0</v>
      </c>
      <c r="BQ90" s="138">
        <f t="shared" si="88"/>
        <v>2.5</v>
      </c>
      <c r="BR90" s="138">
        <f t="shared" si="89"/>
        <v>0</v>
      </c>
      <c r="BS90" s="238">
        <f t="shared" si="90"/>
        <v>0</v>
      </c>
      <c r="BT90" s="138">
        <f t="shared" si="91"/>
        <v>0</v>
      </c>
      <c r="BU90" s="138">
        <f t="shared" si="92"/>
        <v>2.5</v>
      </c>
      <c r="BV90" s="138">
        <f t="shared" si="93"/>
        <v>0</v>
      </c>
      <c r="BW90" s="238">
        <f t="shared" si="94"/>
        <v>0</v>
      </c>
      <c r="BX90" s="216">
        <f t="shared" si="95"/>
        <v>0</v>
      </c>
      <c r="BY90" s="138">
        <f t="shared" si="96"/>
        <v>2.3622047244094495E-2</v>
      </c>
      <c r="BZ90" s="138">
        <f t="shared" si="97"/>
        <v>0</v>
      </c>
      <c r="CA90" s="238">
        <f t="shared" si="98"/>
        <v>0</v>
      </c>
      <c r="CB90" s="138">
        <f t="shared" si="99"/>
        <v>0</v>
      </c>
      <c r="CC90" s="138">
        <f t="shared" si="100"/>
        <v>2.3622047244094495E-2</v>
      </c>
      <c r="CD90" s="138">
        <f t="shared" si="101"/>
        <v>0</v>
      </c>
      <c r="CE90" s="238">
        <f t="shared" si="102"/>
        <v>0</v>
      </c>
      <c r="CF90" s="216">
        <f t="shared" si="103"/>
        <v>0</v>
      </c>
      <c r="CG90" s="138">
        <f t="shared" si="104"/>
        <v>1.5748031496062995E-2</v>
      </c>
      <c r="CH90" s="138">
        <f t="shared" si="105"/>
        <v>0</v>
      </c>
      <c r="CI90" s="238">
        <f t="shared" si="106"/>
        <v>0</v>
      </c>
      <c r="CJ90" s="138">
        <f t="shared" si="107"/>
        <v>0</v>
      </c>
      <c r="CK90" s="138">
        <f t="shared" si="108"/>
        <v>1.5748031496062995E-2</v>
      </c>
      <c r="CL90" s="138">
        <f t="shared" si="109"/>
        <v>0</v>
      </c>
      <c r="CM90" s="238">
        <f t="shared" si="110"/>
        <v>0</v>
      </c>
      <c r="CN90" s="17">
        <f t="shared" si="111"/>
        <v>2.5</v>
      </c>
      <c r="CO90" s="17">
        <f t="shared" si="112"/>
        <v>2.3622047244094495E-2</v>
      </c>
      <c r="CP90" s="17">
        <f t="shared" si="113"/>
        <v>1.5748031496062995E-2</v>
      </c>
      <c r="CQ90" s="17">
        <f>$U90-IF('Inputs-Imperial'!$E$13,0,2)*($CO90+$CN90+$CP90)</f>
        <v>9.8309058264000004</v>
      </c>
      <c r="CR90" s="116">
        <f t="shared" si="114"/>
        <v>57754.757839602615</v>
      </c>
      <c r="CS90" s="8">
        <f t="shared" si="10"/>
        <v>1.4932661916084735</v>
      </c>
      <c r="CT90" s="8">
        <f t="shared" si="115"/>
        <v>1.2219927134023645</v>
      </c>
      <c r="CU90" s="8">
        <f t="shared" si="11"/>
        <v>1.4932661916084735</v>
      </c>
      <c r="CV90" s="8">
        <f t="shared" si="116"/>
        <v>1.2219927134023645</v>
      </c>
      <c r="CW90" s="216">
        <f t="shared" si="117"/>
        <v>8.6089131129976355</v>
      </c>
      <c r="CX90" s="116">
        <f t="shared" si="118"/>
        <v>65952.760574437736</v>
      </c>
      <c r="CY90" s="8">
        <f t="shared" si="119"/>
        <v>1.7052279551161866</v>
      </c>
      <c r="CZ90" s="8">
        <f t="shared" si="120"/>
        <v>1.3058437713280202</v>
      </c>
      <c r="DA90" s="8">
        <f t="shared" si="121"/>
        <v>1.7052279551161866</v>
      </c>
      <c r="DB90" s="8">
        <f t="shared" si="122"/>
        <v>1.3058437713280202</v>
      </c>
      <c r="DC90" s="216">
        <f t="shared" si="123"/>
        <v>8.5250620550719791</v>
      </c>
      <c r="DD90" s="116">
        <f t="shared" si="124"/>
        <v>66601.460690819164</v>
      </c>
      <c r="DE90" s="8">
        <f t="shared" si="125"/>
        <v>1.7220002867563799</v>
      </c>
      <c r="DF90" s="8">
        <f t="shared" si="126"/>
        <v>1.3122500854472747</v>
      </c>
      <c r="DG90" s="8">
        <f t="shared" si="127"/>
        <v>1.7220002867563799</v>
      </c>
      <c r="DH90" s="8">
        <f t="shared" si="128"/>
        <v>1.3122500854472747</v>
      </c>
      <c r="DI90" s="216">
        <f t="shared" si="129"/>
        <v>8.5186557409527257</v>
      </c>
      <c r="DJ90" s="116">
        <f t="shared" si="130"/>
        <v>66651.547217492072</v>
      </c>
      <c r="DK90" s="8">
        <f t="shared" si="131"/>
        <v>1.7232952885836488</v>
      </c>
      <c r="DL90" s="8">
        <f t="shared" si="132"/>
        <v>1.3127434206971478</v>
      </c>
      <c r="DM90" s="8">
        <f t="shared" si="133"/>
        <v>1.7232952885836488</v>
      </c>
      <c r="DN90" s="8">
        <f t="shared" si="134"/>
        <v>1.3127434206971478</v>
      </c>
      <c r="DO90" s="216">
        <f t="shared" si="135"/>
        <v>8.5181624057028511</v>
      </c>
      <c r="DP90" s="116">
        <f t="shared" si="136"/>
        <v>66655.407387812258</v>
      </c>
      <c r="DQ90" s="170">
        <f t="shared" si="137"/>
        <v>1.7233950944186762</v>
      </c>
      <c r="DR90" s="8">
        <f t="shared" si="138"/>
        <v>1.3127814343669995</v>
      </c>
      <c r="DS90" s="8">
        <f t="shared" si="139"/>
        <v>1.7233950944186762</v>
      </c>
      <c r="DT90" s="134">
        <f t="shared" si="140"/>
        <v>1.3127814343669995</v>
      </c>
      <c r="DU90" s="170">
        <f>MAX(DQ$90:DQ$99)</f>
        <v>1.7233950944186762</v>
      </c>
      <c r="DV90" s="170">
        <f>MAX(DR$90:DR$99)</f>
        <v>1.3127814343669995</v>
      </c>
      <c r="DW90" s="170">
        <f>MAX(DS$90:DS$99)</f>
        <v>1.7233950944186762</v>
      </c>
      <c r="DX90" s="272">
        <f>MAX(DT$90:DT$99)</f>
        <v>1.3127814343669995</v>
      </c>
      <c r="DY90" s="272">
        <f t="shared" si="142"/>
        <v>7.2053429576660024</v>
      </c>
      <c r="DZ90" s="22">
        <f t="shared" si="12"/>
        <v>631.56939472128079</v>
      </c>
      <c r="EA90" s="216">
        <f t="shared" si="13"/>
        <v>4.1377796992319041E-2</v>
      </c>
      <c r="EB90" s="12">
        <f t="shared" si="143"/>
        <v>6</v>
      </c>
      <c r="EC90" s="7">
        <f>ROUND(MAX(DV90,DX90)/'Inputs-Imperial'!$E$21,0)</f>
        <v>11</v>
      </c>
      <c r="ED90" s="12">
        <f t="shared" si="144"/>
        <v>11</v>
      </c>
      <c r="EE90" s="2">
        <f t="shared" si="145"/>
        <v>6</v>
      </c>
      <c r="EF90" s="127">
        <f t="shared" si="146"/>
        <v>6</v>
      </c>
      <c r="EG90" s="2">
        <f t="shared" si="147"/>
        <v>4.724409448818899E-2</v>
      </c>
      <c r="EH90" s="8">
        <f t="shared" si="14"/>
        <v>0.4354509816194933</v>
      </c>
      <c r="EI90" s="138">
        <f t="shared" si="148"/>
        <v>0.5</v>
      </c>
      <c r="EJ90" s="12">
        <f t="shared" si="15"/>
        <v>12031.396969440395</v>
      </c>
      <c r="EK90" s="138">
        <f t="shared" si="149"/>
        <v>0.5</v>
      </c>
      <c r="EL90" s="116">
        <f t="shared" si="150"/>
        <v>2175570</v>
      </c>
      <c r="EM90" s="2">
        <f t="shared" si="16"/>
        <v>4.724409448818899E-2</v>
      </c>
      <c r="EN90" s="8">
        <f t="shared" si="151"/>
        <v>9.8309058264000004</v>
      </c>
      <c r="EO90" s="116">
        <f t="shared" si="152"/>
        <v>2610.6840000000002</v>
      </c>
      <c r="EP90" s="217">
        <f t="shared" si="153"/>
        <v>1.0051224323825143</v>
      </c>
      <c r="EQ90" s="207">
        <f t="shared" si="154"/>
        <v>2</v>
      </c>
      <c r="ER90" s="144">
        <f t="shared" si="155"/>
        <v>27771.270469774012</v>
      </c>
      <c r="ES90" s="138">
        <f t="shared" si="17"/>
        <v>0.5</v>
      </c>
      <c r="ET90" s="116">
        <f t="shared" si="156"/>
        <v>2175570</v>
      </c>
      <c r="EU90" s="2">
        <f t="shared" si="18"/>
        <v>4.724409448818899E-2</v>
      </c>
      <c r="EV90" s="8">
        <f t="shared" si="157"/>
        <v>9.8309058264000004</v>
      </c>
      <c r="EW90" s="116">
        <f t="shared" si="158"/>
        <v>2610.6840000000002</v>
      </c>
      <c r="EX90" s="217">
        <f t="shared" si="159"/>
        <v>1.0051224323825143</v>
      </c>
      <c r="EY90" s="207">
        <f t="shared" si="160"/>
        <v>2</v>
      </c>
      <c r="EZ90" s="144">
        <f t="shared" si="161"/>
        <v>27771.270469774012</v>
      </c>
      <c r="FA90" s="138">
        <f t="shared" si="19"/>
        <v>0.5</v>
      </c>
      <c r="FB90" s="116">
        <f t="shared" si="162"/>
        <v>2175570</v>
      </c>
      <c r="FC90" s="2">
        <f t="shared" si="20"/>
        <v>4.724409448818899E-2</v>
      </c>
      <c r="FD90" s="8">
        <f t="shared" si="163"/>
        <v>9.8309058264000004</v>
      </c>
      <c r="FE90" s="116">
        <f t="shared" si="164"/>
        <v>2610.6840000000002</v>
      </c>
      <c r="FF90" s="217">
        <f t="shared" si="165"/>
        <v>1.0051224323825143</v>
      </c>
      <c r="FG90" s="207">
        <f t="shared" si="166"/>
        <v>2</v>
      </c>
      <c r="FH90" s="144">
        <f t="shared" si="167"/>
        <v>27771.270469774012</v>
      </c>
      <c r="FI90" s="128">
        <f t="shared" si="168"/>
        <v>0.5</v>
      </c>
      <c r="FJ90" s="2">
        <f t="shared" si="169"/>
        <v>4.724409448818899E-2</v>
      </c>
      <c r="FK90" s="127">
        <f t="shared" si="170"/>
        <v>4.724409448818899E-2</v>
      </c>
      <c r="FL90" s="216">
        <f t="shared" si="171"/>
        <v>0</v>
      </c>
      <c r="FM90" s="138">
        <f t="shared" si="172"/>
        <v>0.5</v>
      </c>
      <c r="FN90" s="138">
        <f t="shared" si="173"/>
        <v>0</v>
      </c>
      <c r="FO90" s="238">
        <f t="shared" si="174"/>
        <v>0</v>
      </c>
      <c r="FP90" s="216">
        <f t="shared" si="21"/>
        <v>0</v>
      </c>
      <c r="FQ90" s="138">
        <f t="shared" si="22"/>
        <v>0.5</v>
      </c>
      <c r="FR90" s="138">
        <f t="shared" si="23"/>
        <v>0</v>
      </c>
      <c r="FS90" s="238">
        <f t="shared" si="24"/>
        <v>0</v>
      </c>
      <c r="FT90" s="216">
        <f t="shared" si="175"/>
        <v>0</v>
      </c>
      <c r="FU90" s="138">
        <f t="shared" si="176"/>
        <v>4.724409448818899E-2</v>
      </c>
      <c r="FV90" s="138">
        <f t="shared" si="177"/>
        <v>0</v>
      </c>
      <c r="FW90" s="238">
        <f t="shared" si="178"/>
        <v>0</v>
      </c>
      <c r="FX90" s="216">
        <f t="shared" si="25"/>
        <v>0</v>
      </c>
      <c r="FY90" s="138">
        <f t="shared" si="26"/>
        <v>5.5118110236220486E-2</v>
      </c>
      <c r="FZ90" s="138">
        <f t="shared" si="27"/>
        <v>0</v>
      </c>
      <c r="GA90" s="238">
        <f t="shared" si="28"/>
        <v>0</v>
      </c>
      <c r="GB90" s="216">
        <f t="shared" si="179"/>
        <v>0</v>
      </c>
      <c r="GC90" s="138">
        <f t="shared" si="180"/>
        <v>4.724409448818899E-2</v>
      </c>
      <c r="GD90" s="138">
        <f t="shared" si="181"/>
        <v>0</v>
      </c>
      <c r="GE90" s="238">
        <f t="shared" si="182"/>
        <v>0</v>
      </c>
      <c r="GF90" s="216">
        <f t="shared" si="29"/>
        <v>0</v>
      </c>
      <c r="GG90" s="138">
        <f t="shared" si="30"/>
        <v>5.5118110236220486E-2</v>
      </c>
      <c r="GH90" s="138">
        <f t="shared" si="31"/>
        <v>0</v>
      </c>
      <c r="GI90" s="238">
        <f t="shared" si="32"/>
        <v>0</v>
      </c>
      <c r="GJ90" s="216">
        <f t="shared" si="183"/>
        <v>0.5</v>
      </c>
      <c r="GK90" s="216">
        <f t="shared" si="184"/>
        <v>5.5118110236220486E-2</v>
      </c>
      <c r="GL90" s="17">
        <f t="shared" si="185"/>
        <v>5.5118110236220486E-2</v>
      </c>
      <c r="GM90" s="216">
        <f t="shared" si="186"/>
        <v>2.2417972478948348E-2</v>
      </c>
      <c r="GN90" s="2">
        <f t="shared" si="187"/>
        <v>3</v>
      </c>
      <c r="GO90" s="2">
        <f t="shared" si="188"/>
        <v>2</v>
      </c>
      <c r="GP90" s="142">
        <f t="shared" si="189"/>
        <v>2</v>
      </c>
      <c r="GQ90" s="2">
        <f t="shared" si="190"/>
        <v>1.5748031496062995E-2</v>
      </c>
      <c r="GR90" s="8">
        <f t="shared" si="33"/>
        <v>0.23592189124251708</v>
      </c>
      <c r="GS90" s="138">
        <f t="shared" si="191"/>
        <v>0.25</v>
      </c>
      <c r="GT90" s="12">
        <f t="shared" si="34"/>
        <v>19555.380838251396</v>
      </c>
      <c r="GU90" s="138">
        <f t="shared" si="192"/>
        <v>0.25</v>
      </c>
      <c r="GV90" s="116">
        <f t="shared" si="193"/>
        <v>2175570</v>
      </c>
      <c r="GW90" s="2">
        <f t="shared" si="35"/>
        <v>4.724409448818899E-2</v>
      </c>
      <c r="GX90" s="8">
        <f t="shared" si="36"/>
        <v>4.9154529132000002</v>
      </c>
      <c r="GY90" s="116">
        <f t="shared" si="194"/>
        <v>2610.6840000000002</v>
      </c>
      <c r="GZ90" s="217">
        <f t="shared" si="195"/>
        <v>2.0102448647650286</v>
      </c>
      <c r="HA90" s="207">
        <f t="shared" si="196"/>
        <v>2</v>
      </c>
      <c r="HB90" s="144">
        <f t="shared" si="197"/>
        <v>27771.270469774012</v>
      </c>
      <c r="HC90" s="138">
        <f t="shared" si="37"/>
        <v>0.25</v>
      </c>
      <c r="HD90" s="116">
        <f t="shared" si="198"/>
        <v>2175570</v>
      </c>
      <c r="HE90" s="2">
        <f t="shared" si="38"/>
        <v>4.724409448818899E-2</v>
      </c>
      <c r="HF90" s="8">
        <f t="shared" si="199"/>
        <v>4.9154529132000002</v>
      </c>
      <c r="HG90" s="116">
        <f t="shared" si="200"/>
        <v>2610.6840000000002</v>
      </c>
      <c r="HH90" s="217">
        <f t="shared" si="201"/>
        <v>2.0102448647650286</v>
      </c>
      <c r="HI90" s="207">
        <f t="shared" si="202"/>
        <v>2</v>
      </c>
      <c r="HJ90" s="144">
        <f t="shared" si="203"/>
        <v>27771.270469774012</v>
      </c>
      <c r="HK90" s="138">
        <f t="shared" si="39"/>
        <v>0.25</v>
      </c>
      <c r="HL90" s="116">
        <f t="shared" si="204"/>
        <v>2175570</v>
      </c>
      <c r="HM90" s="2">
        <f t="shared" si="40"/>
        <v>4.724409448818899E-2</v>
      </c>
      <c r="HN90" s="8">
        <f t="shared" si="205"/>
        <v>4.9154529132000002</v>
      </c>
      <c r="HO90" s="116">
        <f t="shared" si="206"/>
        <v>2610.6840000000002</v>
      </c>
      <c r="HP90" s="217">
        <f t="shared" si="207"/>
        <v>2.0102448647650286</v>
      </c>
      <c r="HQ90" s="207">
        <f t="shared" si="208"/>
        <v>2</v>
      </c>
      <c r="HR90" s="144">
        <f t="shared" si="209"/>
        <v>27771.270469774012</v>
      </c>
      <c r="HS90" s="128">
        <f t="shared" si="210"/>
        <v>0.25</v>
      </c>
      <c r="HT90" s="2">
        <f t="shared" si="211"/>
        <v>1.5748031496062995E-2</v>
      </c>
      <c r="HU90" s="127">
        <f t="shared" si="212"/>
        <v>1.5748031496062995E-2</v>
      </c>
      <c r="HV90" s="216">
        <f t="shared" si="213"/>
        <v>0</v>
      </c>
      <c r="HW90" s="138">
        <f t="shared" si="214"/>
        <v>0.25</v>
      </c>
      <c r="HX90" s="138">
        <f t="shared" si="215"/>
        <v>0</v>
      </c>
      <c r="HY90" s="238">
        <f t="shared" si="216"/>
        <v>0</v>
      </c>
      <c r="HZ90" s="138">
        <f t="shared" si="217"/>
        <v>0</v>
      </c>
      <c r="IA90" s="138">
        <f t="shared" si="218"/>
        <v>0.5</v>
      </c>
      <c r="IB90" s="138">
        <f t="shared" si="219"/>
        <v>0</v>
      </c>
      <c r="IC90" s="138">
        <f t="shared" si="220"/>
        <v>0</v>
      </c>
      <c r="ID90" s="216">
        <f t="shared" si="221"/>
        <v>0</v>
      </c>
      <c r="IE90" s="138">
        <f t="shared" si="222"/>
        <v>1.5748031496062995E-2</v>
      </c>
      <c r="IF90" s="138">
        <f t="shared" si="223"/>
        <v>0</v>
      </c>
      <c r="IG90" s="238">
        <f t="shared" si="224"/>
        <v>0</v>
      </c>
      <c r="IH90" s="138">
        <f t="shared" si="225"/>
        <v>0</v>
      </c>
      <c r="II90" s="138">
        <f t="shared" si="226"/>
        <v>1.5748031496062995E-2</v>
      </c>
      <c r="IJ90" s="138">
        <f t="shared" si="227"/>
        <v>0</v>
      </c>
      <c r="IK90" s="138">
        <f t="shared" si="228"/>
        <v>0</v>
      </c>
      <c r="IL90" s="216">
        <f t="shared" si="229"/>
        <v>0</v>
      </c>
      <c r="IM90" s="138">
        <f t="shared" si="230"/>
        <v>1.5748031496062995E-2</v>
      </c>
      <c r="IN90" s="138">
        <f t="shared" si="231"/>
        <v>0</v>
      </c>
      <c r="IO90" s="238">
        <f t="shared" si="232"/>
        <v>0</v>
      </c>
      <c r="IP90" s="138">
        <f t="shared" si="233"/>
        <v>0</v>
      </c>
      <c r="IQ90" s="138">
        <f t="shared" si="234"/>
        <v>1.5748031496062995E-2</v>
      </c>
      <c r="IR90" s="138">
        <f t="shared" si="235"/>
        <v>0</v>
      </c>
      <c r="IS90" s="138">
        <f t="shared" si="236"/>
        <v>0</v>
      </c>
      <c r="IT90" s="17">
        <f t="shared" si="237"/>
        <v>0.5</v>
      </c>
      <c r="IU90" s="17">
        <f t="shared" si="238"/>
        <v>1.5748031496062995E-2</v>
      </c>
      <c r="IV90" s="17">
        <f t="shared" si="239"/>
        <v>1.5748031496062995E-2</v>
      </c>
      <c r="IW90" s="253">
        <f t="shared" si="240"/>
        <v>27.308071740000003</v>
      </c>
      <c r="IX90" s="116">
        <f t="shared" si="241"/>
        <v>2079.171282225695</v>
      </c>
      <c r="IY90" s="8">
        <f t="shared" si="242"/>
        <v>5.3757582897905068E-2</v>
      </c>
      <c r="IZ90" s="8">
        <f t="shared" si="243"/>
        <v>5.3757582897905068E-2</v>
      </c>
      <c r="JA90" s="8">
        <f t="shared" si="244"/>
        <v>2.6878791448952534E-2</v>
      </c>
      <c r="JB90" s="134">
        <f t="shared" si="245"/>
        <v>0.16394752651062636</v>
      </c>
      <c r="JC90" s="170">
        <f>MAX(JA$90:JA$99)</f>
        <v>2.6878791448952534E-2</v>
      </c>
      <c r="JD90" s="272">
        <f>MAX(JB$90:JB$99)</f>
        <v>0.16394752651062636</v>
      </c>
      <c r="JE90" s="8"/>
      <c r="JF90" s="8"/>
    </row>
    <row r="91" spans="1:266" x14ac:dyDescent="0.25">
      <c r="A91" s="186">
        <v>31</v>
      </c>
      <c r="B91" s="187">
        <f>A91/100*'Inputs-Imperial'!$E$5</f>
        <v>7.4652233359999993</v>
      </c>
      <c r="C91" s="188">
        <f>'Inputs-Imperial'!$E$10+('Inputs-Imperial'!$E$9-'Inputs-Imperial'!$E$10)*(100-A91)/100</f>
        <v>4.5335467330000006</v>
      </c>
      <c r="D91" s="187">
        <f t="shared" si="248"/>
        <v>0.24081365600000026</v>
      </c>
      <c r="E91" s="188">
        <f t="shared" si="249"/>
        <v>1.0938830312119345</v>
      </c>
      <c r="F91" s="423">
        <f>Loads!P51</f>
        <v>609.74680596549661</v>
      </c>
      <c r="G91" s="423">
        <f>Loads!M51</f>
        <v>6097.4680596549661</v>
      </c>
      <c r="H91" s="423">
        <f>Loads!N51</f>
        <v>45819.94438602202</v>
      </c>
      <c r="I91" s="423">
        <f>Loads!V51</f>
        <v>-13233.20673734266</v>
      </c>
      <c r="J91" s="423">
        <f>Loads!Q51</f>
        <v>4581.9944386022034</v>
      </c>
      <c r="K91" s="2">
        <v>31</v>
      </c>
      <c r="L91" s="12">
        <f t="shared" si="41"/>
        <v>89.582680031999985</v>
      </c>
      <c r="M91" s="11">
        <f t="shared" si="42"/>
        <v>54.402560796000003</v>
      </c>
      <c r="N91" s="11">
        <f t="shared" si="43"/>
        <v>2.8897638720000032</v>
      </c>
      <c r="O91" s="152">
        <f t="shared" si="44"/>
        <v>157.5191564945186</v>
      </c>
      <c r="P91" s="151">
        <f t="shared" si="45"/>
        <v>609.74680596549661</v>
      </c>
      <c r="Q91" s="12">
        <f t="shared" si="46"/>
        <v>6097.4680596549661</v>
      </c>
      <c r="R91" s="12">
        <f t="shared" si="47"/>
        <v>549839.33263226424</v>
      </c>
      <c r="S91" s="12">
        <f t="shared" si="48"/>
        <v>-158798.48084811191</v>
      </c>
      <c r="T91" s="152">
        <f t="shared" si="49"/>
        <v>54983.933263226441</v>
      </c>
      <c r="U91" s="8">
        <f t="shared" si="0"/>
        <v>9.7924609432800001</v>
      </c>
      <c r="V91" s="8">
        <f t="shared" si="1"/>
        <v>9.7924609432800001</v>
      </c>
      <c r="W91" s="134">
        <f t="shared" si="2"/>
        <v>4.89623047164</v>
      </c>
      <c r="X91" s="311">
        <f t="shared" si="3"/>
        <v>13.600640199000001</v>
      </c>
      <c r="Y91" s="11">
        <f t="shared" si="4"/>
        <v>40.801920597000006</v>
      </c>
      <c r="Z91" s="11">
        <f t="shared" si="5"/>
        <v>27.201280398000005</v>
      </c>
      <c r="AA91" s="316">
        <f t="shared" si="50"/>
        <v>40.801920597000006</v>
      </c>
      <c r="AB91" s="170">
        <f t="shared" si="51"/>
        <v>7.3443457074600005</v>
      </c>
      <c r="AC91" s="11">
        <f t="shared" si="52"/>
        <v>40.801920597000006</v>
      </c>
      <c r="AD91" s="152">
        <f t="shared" si="53"/>
        <v>235.35509215984303</v>
      </c>
      <c r="AE91" s="151">
        <f t="shared" si="6"/>
        <v>14.944071186941351</v>
      </c>
      <c r="AF91" s="12">
        <f t="shared" si="54"/>
        <v>337.35934793427549</v>
      </c>
      <c r="AG91" s="216">
        <f t="shared" si="7"/>
        <v>2.3081453088034526E-2</v>
      </c>
      <c r="AH91" s="2">
        <f t="shared" si="55"/>
        <v>3</v>
      </c>
      <c r="AI91" s="2">
        <f t="shared" si="56"/>
        <v>3</v>
      </c>
      <c r="AJ91" s="127">
        <f t="shared" si="57"/>
        <v>2</v>
      </c>
      <c r="AK91" s="2">
        <f t="shared" si="58"/>
        <v>1.5748031496062995E-2</v>
      </c>
      <c r="AL91" s="8">
        <f t="shared" si="8"/>
        <v>0.24290421759898567</v>
      </c>
      <c r="AM91" s="138">
        <f t="shared" si="59"/>
        <v>0.25</v>
      </c>
      <c r="AN91" s="12">
        <f t="shared" si="9"/>
        <v>20134.140402777539</v>
      </c>
      <c r="AO91" s="138">
        <f t="shared" si="60"/>
        <v>0.25</v>
      </c>
      <c r="AP91" s="116">
        <f t="shared" si="61"/>
        <v>2175570</v>
      </c>
      <c r="AQ91" s="2">
        <f t="shared" si="62"/>
        <v>1.5748031496062995E-2</v>
      </c>
      <c r="AR91" s="8">
        <f t="shared" si="63"/>
        <v>27.201280398000005</v>
      </c>
      <c r="AS91" s="116">
        <f t="shared" si="64"/>
        <v>2610.6840000000002</v>
      </c>
      <c r="AT91" s="217">
        <f t="shared" si="65"/>
        <v>2.1881449738868953E-2</v>
      </c>
      <c r="AU91" s="207">
        <f t="shared" si="66"/>
        <v>4.9249156516650885</v>
      </c>
      <c r="AV91" s="144">
        <f t="shared" si="67"/>
        <v>2233.1244937727706</v>
      </c>
      <c r="AW91" s="138">
        <f t="shared" si="68"/>
        <v>2.5</v>
      </c>
      <c r="AX91" s="116">
        <f t="shared" si="69"/>
        <v>2175570</v>
      </c>
      <c r="AY91" s="2">
        <f t="shared" si="70"/>
        <v>1.5748031496062995E-2</v>
      </c>
      <c r="AZ91" s="8">
        <f t="shared" si="71"/>
        <v>27.201280398000005</v>
      </c>
      <c r="BA91" s="116">
        <f t="shared" si="72"/>
        <v>2610.6840000000002</v>
      </c>
      <c r="BB91" s="217">
        <f t="shared" si="73"/>
        <v>0.21881449738868952</v>
      </c>
      <c r="BC91" s="207">
        <f t="shared" si="74"/>
        <v>2.9936133358646204</v>
      </c>
      <c r="BD91" s="144">
        <f t="shared" si="75"/>
        <v>135740.62457179127</v>
      </c>
      <c r="BE91" s="138">
        <f t="shared" si="76"/>
        <v>2.5</v>
      </c>
      <c r="BF91" s="116">
        <f t="shared" si="77"/>
        <v>2175570</v>
      </c>
      <c r="BG91" s="2">
        <f t="shared" si="78"/>
        <v>1.5748031496062995E-2</v>
      </c>
      <c r="BH91" s="8">
        <f t="shared" si="79"/>
        <v>27.201280398000005</v>
      </c>
      <c r="BI91" s="116">
        <f t="shared" si="80"/>
        <v>2610.6840000000002</v>
      </c>
      <c r="BJ91" s="217">
        <f t="shared" si="81"/>
        <v>0.21881449738868952</v>
      </c>
      <c r="BK91" s="207">
        <f t="shared" si="82"/>
        <v>2.9936133358646204</v>
      </c>
      <c r="BL91" s="144">
        <f t="shared" si="83"/>
        <v>135740.62457179127</v>
      </c>
      <c r="BM91" s="216">
        <f t="shared" si="84"/>
        <v>2.5</v>
      </c>
      <c r="BN91" s="216">
        <f t="shared" si="85"/>
        <v>2.3622047244094495E-2</v>
      </c>
      <c r="BO91" s="238">
        <f t="shared" si="86"/>
        <v>1.5748031496062995E-2</v>
      </c>
      <c r="BP91" s="216">
        <f t="shared" si="87"/>
        <v>0</v>
      </c>
      <c r="BQ91" s="138">
        <f t="shared" si="88"/>
        <v>2.5</v>
      </c>
      <c r="BR91" s="138">
        <f t="shared" si="89"/>
        <v>0</v>
      </c>
      <c r="BS91" s="238">
        <f t="shared" si="90"/>
        <v>0</v>
      </c>
      <c r="BT91" s="138">
        <f t="shared" si="91"/>
        <v>0</v>
      </c>
      <c r="BU91" s="138">
        <f t="shared" si="92"/>
        <v>2.5</v>
      </c>
      <c r="BV91" s="138">
        <f t="shared" si="93"/>
        <v>0</v>
      </c>
      <c r="BW91" s="238">
        <f t="shared" si="94"/>
        <v>0</v>
      </c>
      <c r="BX91" s="216">
        <f t="shared" si="95"/>
        <v>0</v>
      </c>
      <c r="BY91" s="138">
        <f t="shared" si="96"/>
        <v>2.3622047244094495E-2</v>
      </c>
      <c r="BZ91" s="138">
        <f t="shared" si="97"/>
        <v>0</v>
      </c>
      <c r="CA91" s="238">
        <f t="shared" si="98"/>
        <v>0</v>
      </c>
      <c r="CB91" s="138">
        <f t="shared" si="99"/>
        <v>0</v>
      </c>
      <c r="CC91" s="138">
        <f t="shared" si="100"/>
        <v>2.3622047244094495E-2</v>
      </c>
      <c r="CD91" s="138">
        <f t="shared" si="101"/>
        <v>0</v>
      </c>
      <c r="CE91" s="238">
        <f t="shared" si="102"/>
        <v>0</v>
      </c>
      <c r="CF91" s="216">
        <f t="shared" si="103"/>
        <v>0</v>
      </c>
      <c r="CG91" s="138">
        <f t="shared" si="104"/>
        <v>1.5748031496062995E-2</v>
      </c>
      <c r="CH91" s="138">
        <f t="shared" si="105"/>
        <v>0</v>
      </c>
      <c r="CI91" s="238">
        <f t="shared" si="106"/>
        <v>0</v>
      </c>
      <c r="CJ91" s="138">
        <f t="shared" si="107"/>
        <v>0</v>
      </c>
      <c r="CK91" s="138">
        <f t="shared" si="108"/>
        <v>1.5748031496062995E-2</v>
      </c>
      <c r="CL91" s="138">
        <f t="shared" si="109"/>
        <v>0</v>
      </c>
      <c r="CM91" s="238">
        <f t="shared" si="110"/>
        <v>0</v>
      </c>
      <c r="CN91" s="17">
        <f t="shared" si="111"/>
        <v>2.5</v>
      </c>
      <c r="CO91" s="17">
        <f t="shared" si="112"/>
        <v>2.3622047244094495E-2</v>
      </c>
      <c r="CP91" s="17">
        <f t="shared" si="113"/>
        <v>1.5748031496062995E-2</v>
      </c>
      <c r="CQ91" s="17">
        <f>$U91-IF('Inputs-Imperial'!$E$13,0,2)*($CO91+$CN91+$CP91)</f>
        <v>9.7924609432800001</v>
      </c>
      <c r="CR91" s="116">
        <f t="shared" si="114"/>
        <v>56149.249490710215</v>
      </c>
      <c r="CS91" s="8">
        <f t="shared" si="10"/>
        <v>1.4517553026804237</v>
      </c>
      <c r="CT91" s="8">
        <f t="shared" si="115"/>
        <v>1.2048880872016388</v>
      </c>
      <c r="CU91" s="8">
        <f t="shared" si="11"/>
        <v>1.4517553026804237</v>
      </c>
      <c r="CV91" s="8">
        <f t="shared" si="116"/>
        <v>1.2048880872016388</v>
      </c>
      <c r="CW91" s="216">
        <f t="shared" si="117"/>
        <v>8.5875728560783617</v>
      </c>
      <c r="CX91" s="116">
        <f t="shared" si="118"/>
        <v>64027.32667858334</v>
      </c>
      <c r="CY91" s="8">
        <f t="shared" si="119"/>
        <v>1.6554452974026634</v>
      </c>
      <c r="CZ91" s="8">
        <f t="shared" si="120"/>
        <v>1.2866410911371762</v>
      </c>
      <c r="DA91" s="8">
        <f t="shared" si="121"/>
        <v>1.6554452974026634</v>
      </c>
      <c r="DB91" s="8">
        <f t="shared" si="122"/>
        <v>1.2866410911371762</v>
      </c>
      <c r="DC91" s="216">
        <f t="shared" si="123"/>
        <v>8.5058198521428228</v>
      </c>
      <c r="DD91" s="116">
        <f t="shared" si="124"/>
        <v>64642.720183374957</v>
      </c>
      <c r="DE91" s="8">
        <f t="shared" si="125"/>
        <v>1.6713564768381808</v>
      </c>
      <c r="DF91" s="8">
        <f t="shared" si="126"/>
        <v>1.292809528444999</v>
      </c>
      <c r="DG91" s="8">
        <f t="shared" si="127"/>
        <v>1.6713564768381808</v>
      </c>
      <c r="DH91" s="8">
        <f t="shared" si="128"/>
        <v>1.292809528444999</v>
      </c>
      <c r="DI91" s="216">
        <f t="shared" si="129"/>
        <v>8.499651414835002</v>
      </c>
      <c r="DJ91" s="116">
        <f t="shared" si="130"/>
        <v>64689.633232792745</v>
      </c>
      <c r="DK91" s="8">
        <f t="shared" si="131"/>
        <v>1.6725694274808862</v>
      </c>
      <c r="DL91" s="8">
        <f t="shared" si="132"/>
        <v>1.2932785575740775</v>
      </c>
      <c r="DM91" s="8">
        <f t="shared" si="133"/>
        <v>1.6725694274808862</v>
      </c>
      <c r="DN91" s="8">
        <f t="shared" si="134"/>
        <v>1.2932785575740775</v>
      </c>
      <c r="DO91" s="216">
        <f t="shared" si="135"/>
        <v>8.4991823857059234</v>
      </c>
      <c r="DP91" s="116">
        <f t="shared" si="136"/>
        <v>64693.203143515762</v>
      </c>
      <c r="DQ91" s="170">
        <f t="shared" si="137"/>
        <v>1.6726617285689549</v>
      </c>
      <c r="DR91" s="8">
        <f t="shared" si="138"/>
        <v>1.2933142420034487</v>
      </c>
      <c r="DS91" s="8">
        <f t="shared" si="139"/>
        <v>1.6726617285689549</v>
      </c>
      <c r="DT91" s="134">
        <f t="shared" si="140"/>
        <v>1.2933142420034487</v>
      </c>
      <c r="DU91" s="170">
        <f t="shared" ref="DU91:DX99" si="258">MAX(DQ$90:DQ$99)</f>
        <v>1.7233950944186762</v>
      </c>
      <c r="DV91" s="170">
        <f t="shared" si="258"/>
        <v>1.3127814343669995</v>
      </c>
      <c r="DW91" s="170">
        <f t="shared" si="258"/>
        <v>1.7233950944186762</v>
      </c>
      <c r="DX91" s="272">
        <f t="shared" si="258"/>
        <v>1.3127814343669995</v>
      </c>
      <c r="DY91" s="272">
        <f t="shared" si="142"/>
        <v>7.166898074546002</v>
      </c>
      <c r="DZ91" s="22">
        <f t="shared" si="12"/>
        <v>622.66963278922299</v>
      </c>
      <c r="EA91" s="216">
        <f t="shared" si="13"/>
        <v>4.0794721647657718E-2</v>
      </c>
      <c r="EB91" s="12">
        <f t="shared" si="143"/>
        <v>6</v>
      </c>
      <c r="EC91" s="7">
        <f>ROUND(MAX(DV91,DX91)/'Inputs-Imperial'!$E$21,0)</f>
        <v>11</v>
      </c>
      <c r="ED91" s="12">
        <f t="shared" si="144"/>
        <v>11</v>
      </c>
      <c r="EE91" s="2">
        <f t="shared" si="145"/>
        <v>6</v>
      </c>
      <c r="EF91" s="127">
        <f t="shared" si="146"/>
        <v>6</v>
      </c>
      <c r="EG91" s="2">
        <f t="shared" si="147"/>
        <v>4.724409448818899E-2</v>
      </c>
      <c r="EH91" s="8">
        <f t="shared" si="14"/>
        <v>0.42931482286657496</v>
      </c>
      <c r="EI91" s="138">
        <f t="shared" si="148"/>
        <v>0.5</v>
      </c>
      <c r="EJ91" s="12">
        <f t="shared" si="15"/>
        <v>11861.856504634696</v>
      </c>
      <c r="EK91" s="138">
        <f t="shared" si="149"/>
        <v>0.5</v>
      </c>
      <c r="EL91" s="116">
        <f t="shared" si="150"/>
        <v>2175570</v>
      </c>
      <c r="EM91" s="2">
        <f t="shared" si="16"/>
        <v>4.724409448818899E-2</v>
      </c>
      <c r="EN91" s="8">
        <f t="shared" si="151"/>
        <v>9.7924609432800001</v>
      </c>
      <c r="EO91" s="116">
        <f t="shared" si="152"/>
        <v>2610.6840000000002</v>
      </c>
      <c r="EP91" s="217">
        <f t="shared" si="153"/>
        <v>1.0130300805031924</v>
      </c>
      <c r="EQ91" s="207">
        <f t="shared" si="154"/>
        <v>2</v>
      </c>
      <c r="ER91" s="144">
        <f t="shared" si="155"/>
        <v>27989.756723452196</v>
      </c>
      <c r="ES91" s="138">
        <f t="shared" si="17"/>
        <v>0.5</v>
      </c>
      <c r="ET91" s="116">
        <f t="shared" si="156"/>
        <v>2175570</v>
      </c>
      <c r="EU91" s="2">
        <f t="shared" si="18"/>
        <v>4.724409448818899E-2</v>
      </c>
      <c r="EV91" s="8">
        <f t="shared" si="157"/>
        <v>9.7924609432800001</v>
      </c>
      <c r="EW91" s="116">
        <f t="shared" si="158"/>
        <v>2610.6840000000002</v>
      </c>
      <c r="EX91" s="217">
        <f t="shared" si="159"/>
        <v>1.0130300805031924</v>
      </c>
      <c r="EY91" s="207">
        <f t="shared" si="160"/>
        <v>2</v>
      </c>
      <c r="EZ91" s="144">
        <f t="shared" si="161"/>
        <v>27989.756723452196</v>
      </c>
      <c r="FA91" s="138">
        <f t="shared" si="19"/>
        <v>0.5</v>
      </c>
      <c r="FB91" s="116">
        <f t="shared" si="162"/>
        <v>2175570</v>
      </c>
      <c r="FC91" s="2">
        <f t="shared" si="20"/>
        <v>4.724409448818899E-2</v>
      </c>
      <c r="FD91" s="8">
        <f t="shared" si="163"/>
        <v>9.7924609432800001</v>
      </c>
      <c r="FE91" s="116">
        <f t="shared" si="164"/>
        <v>2610.6840000000002</v>
      </c>
      <c r="FF91" s="217">
        <f t="shared" si="165"/>
        <v>1.0130300805031924</v>
      </c>
      <c r="FG91" s="207">
        <f t="shared" si="166"/>
        <v>2</v>
      </c>
      <c r="FH91" s="144">
        <f t="shared" si="167"/>
        <v>27989.756723452196</v>
      </c>
      <c r="FI91" s="128">
        <f t="shared" si="168"/>
        <v>0.5</v>
      </c>
      <c r="FJ91" s="2">
        <f t="shared" si="169"/>
        <v>4.724409448818899E-2</v>
      </c>
      <c r="FK91" s="127">
        <f t="shared" si="170"/>
        <v>4.724409448818899E-2</v>
      </c>
      <c r="FL91" s="216">
        <f t="shared" si="171"/>
        <v>0</v>
      </c>
      <c r="FM91" s="138">
        <f t="shared" si="172"/>
        <v>0.5</v>
      </c>
      <c r="FN91" s="138">
        <f t="shared" si="173"/>
        <v>0</v>
      </c>
      <c r="FO91" s="238">
        <f t="shared" si="174"/>
        <v>0</v>
      </c>
      <c r="FP91" s="216">
        <f t="shared" si="21"/>
        <v>0</v>
      </c>
      <c r="FQ91" s="138">
        <f t="shared" si="22"/>
        <v>0.5</v>
      </c>
      <c r="FR91" s="138">
        <f t="shared" si="23"/>
        <v>0</v>
      </c>
      <c r="FS91" s="238">
        <f t="shared" si="24"/>
        <v>0</v>
      </c>
      <c r="FT91" s="216">
        <f t="shared" si="175"/>
        <v>0</v>
      </c>
      <c r="FU91" s="138">
        <f t="shared" si="176"/>
        <v>4.724409448818899E-2</v>
      </c>
      <c r="FV91" s="138">
        <f t="shared" si="177"/>
        <v>0</v>
      </c>
      <c r="FW91" s="238">
        <f t="shared" si="178"/>
        <v>0</v>
      </c>
      <c r="FX91" s="216">
        <f t="shared" si="25"/>
        <v>0</v>
      </c>
      <c r="FY91" s="138">
        <f t="shared" si="26"/>
        <v>5.5118110236220486E-2</v>
      </c>
      <c r="FZ91" s="138">
        <f t="shared" si="27"/>
        <v>0</v>
      </c>
      <c r="GA91" s="238">
        <f t="shared" si="28"/>
        <v>0</v>
      </c>
      <c r="GB91" s="216">
        <f t="shared" si="179"/>
        <v>0</v>
      </c>
      <c r="GC91" s="138">
        <f t="shared" si="180"/>
        <v>4.724409448818899E-2</v>
      </c>
      <c r="GD91" s="138">
        <f t="shared" si="181"/>
        <v>0</v>
      </c>
      <c r="GE91" s="238">
        <f t="shared" si="182"/>
        <v>0</v>
      </c>
      <c r="GF91" s="216">
        <f t="shared" si="29"/>
        <v>0</v>
      </c>
      <c r="GG91" s="138">
        <f t="shared" si="30"/>
        <v>5.5118110236220486E-2</v>
      </c>
      <c r="GH91" s="138">
        <f t="shared" si="31"/>
        <v>0</v>
      </c>
      <c r="GI91" s="238">
        <f t="shared" si="32"/>
        <v>0</v>
      </c>
      <c r="GJ91" s="216">
        <f t="shared" si="183"/>
        <v>0.5</v>
      </c>
      <c r="GK91" s="216">
        <f t="shared" si="184"/>
        <v>5.5118110236220486E-2</v>
      </c>
      <c r="GL91" s="17">
        <f t="shared" si="185"/>
        <v>5.5118110236220486E-2</v>
      </c>
      <c r="GM91" s="216">
        <f t="shared" si="186"/>
        <v>2.2102379768490738E-2</v>
      </c>
      <c r="GN91" s="2">
        <f t="shared" si="187"/>
        <v>3</v>
      </c>
      <c r="GO91" s="2">
        <f t="shared" si="188"/>
        <v>2</v>
      </c>
      <c r="GP91" s="142">
        <f t="shared" si="189"/>
        <v>2</v>
      </c>
      <c r="GQ91" s="2">
        <f t="shared" si="190"/>
        <v>1.5748031496062995E-2</v>
      </c>
      <c r="GR91" s="8">
        <f t="shared" si="33"/>
        <v>0.23260066185018788</v>
      </c>
      <c r="GS91" s="138">
        <f t="shared" si="191"/>
        <v>0.25</v>
      </c>
      <c r="GT91" s="12">
        <f t="shared" si="34"/>
        <v>19280.086734443841</v>
      </c>
      <c r="GU91" s="138">
        <f t="shared" si="192"/>
        <v>0.25</v>
      </c>
      <c r="GV91" s="116">
        <f t="shared" si="193"/>
        <v>2175570</v>
      </c>
      <c r="GW91" s="2">
        <f t="shared" si="35"/>
        <v>4.724409448818899E-2</v>
      </c>
      <c r="GX91" s="8">
        <f t="shared" si="36"/>
        <v>4.89623047164</v>
      </c>
      <c r="GY91" s="116">
        <f t="shared" si="194"/>
        <v>2610.6840000000002</v>
      </c>
      <c r="GZ91" s="217">
        <f t="shared" si="195"/>
        <v>2.0260601610063849</v>
      </c>
      <c r="HA91" s="207">
        <f t="shared" si="196"/>
        <v>2</v>
      </c>
      <c r="HB91" s="144">
        <f t="shared" si="197"/>
        <v>27989.756723452196</v>
      </c>
      <c r="HC91" s="138">
        <f t="shared" si="37"/>
        <v>0.25</v>
      </c>
      <c r="HD91" s="116">
        <f t="shared" si="198"/>
        <v>2175570</v>
      </c>
      <c r="HE91" s="2">
        <f t="shared" si="38"/>
        <v>4.724409448818899E-2</v>
      </c>
      <c r="HF91" s="8">
        <f t="shared" si="199"/>
        <v>4.89623047164</v>
      </c>
      <c r="HG91" s="116">
        <f t="shared" si="200"/>
        <v>2610.6840000000002</v>
      </c>
      <c r="HH91" s="217">
        <f t="shared" si="201"/>
        <v>2.0260601610063849</v>
      </c>
      <c r="HI91" s="207">
        <f t="shared" si="202"/>
        <v>2</v>
      </c>
      <c r="HJ91" s="144">
        <f t="shared" si="203"/>
        <v>27989.756723452196</v>
      </c>
      <c r="HK91" s="138">
        <f t="shared" si="39"/>
        <v>0.25</v>
      </c>
      <c r="HL91" s="116">
        <f t="shared" si="204"/>
        <v>2175570</v>
      </c>
      <c r="HM91" s="2">
        <f t="shared" si="40"/>
        <v>4.724409448818899E-2</v>
      </c>
      <c r="HN91" s="8">
        <f t="shared" si="205"/>
        <v>4.89623047164</v>
      </c>
      <c r="HO91" s="116">
        <f t="shared" si="206"/>
        <v>2610.6840000000002</v>
      </c>
      <c r="HP91" s="217">
        <f t="shared" si="207"/>
        <v>2.0260601610063849</v>
      </c>
      <c r="HQ91" s="207">
        <f t="shared" si="208"/>
        <v>2</v>
      </c>
      <c r="HR91" s="144">
        <f t="shared" si="209"/>
        <v>27989.756723452196</v>
      </c>
      <c r="HS91" s="128">
        <f t="shared" si="210"/>
        <v>0.25</v>
      </c>
      <c r="HT91" s="2">
        <f t="shared" si="211"/>
        <v>1.5748031496062995E-2</v>
      </c>
      <c r="HU91" s="127">
        <f t="shared" si="212"/>
        <v>1.5748031496062995E-2</v>
      </c>
      <c r="HV91" s="216">
        <f t="shared" si="213"/>
        <v>0</v>
      </c>
      <c r="HW91" s="138">
        <f t="shared" si="214"/>
        <v>0.25</v>
      </c>
      <c r="HX91" s="138">
        <f t="shared" si="215"/>
        <v>0</v>
      </c>
      <c r="HY91" s="238">
        <f t="shared" si="216"/>
        <v>0</v>
      </c>
      <c r="HZ91" s="138">
        <f t="shared" si="217"/>
        <v>0</v>
      </c>
      <c r="IA91" s="138">
        <f t="shared" si="218"/>
        <v>0.5</v>
      </c>
      <c r="IB91" s="138">
        <f t="shared" si="219"/>
        <v>0</v>
      </c>
      <c r="IC91" s="138">
        <f t="shared" si="220"/>
        <v>0</v>
      </c>
      <c r="ID91" s="216">
        <f t="shared" si="221"/>
        <v>0</v>
      </c>
      <c r="IE91" s="138">
        <f t="shared" si="222"/>
        <v>1.5748031496062995E-2</v>
      </c>
      <c r="IF91" s="138">
        <f t="shared" si="223"/>
        <v>0</v>
      </c>
      <c r="IG91" s="238">
        <f t="shared" si="224"/>
        <v>0</v>
      </c>
      <c r="IH91" s="138">
        <f t="shared" si="225"/>
        <v>0</v>
      </c>
      <c r="II91" s="138">
        <f t="shared" si="226"/>
        <v>1.5748031496062995E-2</v>
      </c>
      <c r="IJ91" s="138">
        <f t="shared" si="227"/>
        <v>0</v>
      </c>
      <c r="IK91" s="138">
        <f t="shared" si="228"/>
        <v>0</v>
      </c>
      <c r="IL91" s="216">
        <f t="shared" si="229"/>
        <v>0</v>
      </c>
      <c r="IM91" s="138">
        <f t="shared" si="230"/>
        <v>1.5748031496062995E-2</v>
      </c>
      <c r="IN91" s="138">
        <f t="shared" si="231"/>
        <v>0</v>
      </c>
      <c r="IO91" s="238">
        <f t="shared" si="232"/>
        <v>0</v>
      </c>
      <c r="IP91" s="138">
        <f t="shared" si="233"/>
        <v>0</v>
      </c>
      <c r="IQ91" s="138">
        <f t="shared" si="234"/>
        <v>1.5748031496062995E-2</v>
      </c>
      <c r="IR91" s="138">
        <f t="shared" si="235"/>
        <v>0</v>
      </c>
      <c r="IS91" s="138">
        <f t="shared" si="236"/>
        <v>0</v>
      </c>
      <c r="IT91" s="17">
        <f t="shared" si="237"/>
        <v>0.5</v>
      </c>
      <c r="IU91" s="17">
        <f t="shared" si="238"/>
        <v>1.5748031496062995E-2</v>
      </c>
      <c r="IV91" s="17">
        <f t="shared" si="239"/>
        <v>1.5748031496062995E-2</v>
      </c>
      <c r="IW91" s="253">
        <f t="shared" si="240"/>
        <v>27.201280398000005</v>
      </c>
      <c r="IX91" s="116">
        <f t="shared" si="241"/>
        <v>2021.3729816655682</v>
      </c>
      <c r="IY91" s="8">
        <f t="shared" si="242"/>
        <v>5.2263190896495268E-2</v>
      </c>
      <c r="IZ91" s="8">
        <f t="shared" si="243"/>
        <v>5.2263190896495268E-2</v>
      </c>
      <c r="JA91" s="8">
        <f t="shared" si="244"/>
        <v>2.6131595448247634E-2</v>
      </c>
      <c r="JB91" s="134">
        <f t="shared" si="245"/>
        <v>0.16165270009575353</v>
      </c>
      <c r="JC91" s="170">
        <f t="shared" ref="JC91:JC99" si="259">MAX(JA$90:JA$99)</f>
        <v>2.6878791448952534E-2</v>
      </c>
      <c r="JD91" s="272">
        <f t="shared" ref="JD91:JD99" si="260">MAX(JB$90:JB$99)</f>
        <v>0.16394752651062636</v>
      </c>
      <c r="JE91" s="8"/>
      <c r="JF91" s="8"/>
    </row>
    <row r="92" spans="1:266" x14ac:dyDescent="0.25">
      <c r="A92" s="186">
        <v>32</v>
      </c>
      <c r="B92" s="187">
        <f>A92/100*'Inputs-Imperial'!$E$5</f>
        <v>7.7060369919999996</v>
      </c>
      <c r="C92" s="188">
        <f>'Inputs-Imperial'!$E$10+('Inputs-Imperial'!$E$9-'Inputs-Imperial'!$E$10)*(100-A92)/100</f>
        <v>4.5157481760000007</v>
      </c>
      <c r="D92" s="187">
        <f t="shared" si="248"/>
        <v>0.24081365600000026</v>
      </c>
      <c r="E92" s="188">
        <f t="shared" si="249"/>
        <v>1.0895968956292399</v>
      </c>
      <c r="F92" s="423">
        <f>Loads!P52</f>
        <v>598.64444000618118</v>
      </c>
      <c r="G92" s="423">
        <f>Loads!M52</f>
        <v>5986.4444000618123</v>
      </c>
      <c r="H92" s="423">
        <f>Loads!N52</f>
        <v>44351.590810233283</v>
      </c>
      <c r="I92" s="423">
        <f>Loads!V52</f>
        <v>-12940.819205424586</v>
      </c>
      <c r="J92" s="423">
        <f>Loads!Q52</f>
        <v>4435.1590810233292</v>
      </c>
      <c r="K92" s="2">
        <v>32</v>
      </c>
      <c r="L92" s="12">
        <f t="shared" si="41"/>
        <v>92.472443903999988</v>
      </c>
      <c r="M92" s="11">
        <f t="shared" si="42"/>
        <v>54.188978112000008</v>
      </c>
      <c r="N92" s="11">
        <f t="shared" si="43"/>
        <v>2.8897638720000032</v>
      </c>
      <c r="O92" s="152">
        <f t="shared" si="44"/>
        <v>156.90195297061055</v>
      </c>
      <c r="P92" s="151">
        <f t="shared" si="45"/>
        <v>598.64444000618118</v>
      </c>
      <c r="Q92" s="12">
        <f t="shared" si="46"/>
        <v>5986.4444000618123</v>
      </c>
      <c r="R92" s="12">
        <f t="shared" si="47"/>
        <v>532219.08972279937</v>
      </c>
      <c r="S92" s="12">
        <f t="shared" si="48"/>
        <v>-155289.83046509503</v>
      </c>
      <c r="T92" s="152">
        <f t="shared" si="49"/>
        <v>53221.908972279954</v>
      </c>
      <c r="U92" s="8">
        <f t="shared" ref="U92:U123" si="261">M92*$E$17</f>
        <v>9.7540160601600014</v>
      </c>
      <c r="V92" s="8">
        <f t="shared" ref="V92:V123" si="262">M92*$E$17</f>
        <v>9.7540160601600014</v>
      </c>
      <c r="W92" s="134">
        <f t="shared" ref="W92:W123" si="263">M92*$E$19</f>
        <v>4.8770080300800007</v>
      </c>
      <c r="X92" s="311">
        <f t="shared" ref="X92:X123" si="264">M92*$E$18</f>
        <v>13.547244528000002</v>
      </c>
      <c r="Y92" s="11">
        <f t="shared" ref="Y92:Y123" si="265">M92*$E$20</f>
        <v>40.641733584000008</v>
      </c>
      <c r="Z92" s="11">
        <f t="shared" ref="Z92:Z123" si="266">Y92-X92</f>
        <v>27.094489056000008</v>
      </c>
      <c r="AA92" s="316">
        <f t="shared" si="50"/>
        <v>40.641733584000008</v>
      </c>
      <c r="AB92" s="170">
        <f t="shared" si="51"/>
        <v>7.3155120451200011</v>
      </c>
      <c r="AC92" s="11">
        <f t="shared" si="52"/>
        <v>40.641733584000008</v>
      </c>
      <c r="AD92" s="152">
        <f t="shared" si="53"/>
        <v>233.51072686809496</v>
      </c>
      <c r="AE92" s="151">
        <f t="shared" ref="AE92:AE123" si="267">ABS(P92)/AA92</f>
        <v>14.729795882571747</v>
      </c>
      <c r="AF92" s="12">
        <f t="shared" ref="AF92:AF123" si="268">ABS(S92)/2/AD92</f>
        <v>332.51112817788197</v>
      </c>
      <c r="AG92" s="216">
        <f t="shared" ref="AG92:AG123" si="269">((AE92+AF92)/$E$46)</f>
        <v>2.2749779491039981E-2</v>
      </c>
      <c r="AH92" s="2">
        <f t="shared" si="55"/>
        <v>3</v>
      </c>
      <c r="AI92" s="2">
        <f t="shared" si="56"/>
        <v>3</v>
      </c>
      <c r="AJ92" s="127">
        <f t="shared" si="57"/>
        <v>2</v>
      </c>
      <c r="AK92" s="2">
        <f t="shared" si="58"/>
        <v>1.5748031496062995E-2</v>
      </c>
      <c r="AL92" s="8">
        <f t="shared" ref="AL92:AL123" si="270">$E$22*(AE92+AF92)/$E$34</f>
        <v>0.2394137564365571</v>
      </c>
      <c r="AM92" s="138">
        <f t="shared" si="59"/>
        <v>0.25</v>
      </c>
      <c r="AN92" s="12">
        <f t="shared" ref="AN92:AN123" si="271">$E$22*(AE92+AF92)/(2*AK92)</f>
        <v>19844.818810054927</v>
      </c>
      <c r="AO92" s="138">
        <f t="shared" si="60"/>
        <v>0.25</v>
      </c>
      <c r="AP92" s="116">
        <f t="shared" si="61"/>
        <v>2175570</v>
      </c>
      <c r="AQ92" s="2">
        <f t="shared" si="62"/>
        <v>1.5748031496062995E-2</v>
      </c>
      <c r="AR92" s="8">
        <f t="shared" si="63"/>
        <v>27.094489056000008</v>
      </c>
      <c r="AS92" s="116">
        <f t="shared" si="64"/>
        <v>2610.6840000000002</v>
      </c>
      <c r="AT92" s="217">
        <f t="shared" si="65"/>
        <v>2.2054278571928498E-2</v>
      </c>
      <c r="AU92" s="207">
        <f t="shared" si="66"/>
        <v>4.9221269033296196</v>
      </c>
      <c r="AV92" s="144">
        <f t="shared" si="67"/>
        <v>2249.4881429883158</v>
      </c>
      <c r="AW92" s="138">
        <f t="shared" si="68"/>
        <v>2.25</v>
      </c>
      <c r="AX92" s="116">
        <f t="shared" si="69"/>
        <v>2175570</v>
      </c>
      <c r="AY92" s="2">
        <f t="shared" si="70"/>
        <v>1.5748031496062995E-2</v>
      </c>
      <c r="AZ92" s="8">
        <f t="shared" si="71"/>
        <v>27.094489056000008</v>
      </c>
      <c r="BA92" s="116">
        <f t="shared" si="72"/>
        <v>2610.6840000000002</v>
      </c>
      <c r="BB92" s="217">
        <f t="shared" si="73"/>
        <v>0.19848850714735647</v>
      </c>
      <c r="BC92" s="207">
        <f t="shared" si="74"/>
        <v>3.1097789396669913</v>
      </c>
      <c r="BD92" s="144">
        <f t="shared" si="75"/>
        <v>115118.58392688913</v>
      </c>
      <c r="BE92" s="138">
        <f t="shared" si="76"/>
        <v>2.25</v>
      </c>
      <c r="BF92" s="116">
        <f t="shared" si="77"/>
        <v>2175570</v>
      </c>
      <c r="BG92" s="2">
        <f t="shared" si="78"/>
        <v>1.5748031496062995E-2</v>
      </c>
      <c r="BH92" s="8">
        <f t="shared" si="79"/>
        <v>27.094489056000008</v>
      </c>
      <c r="BI92" s="116">
        <f t="shared" si="80"/>
        <v>2610.6840000000002</v>
      </c>
      <c r="BJ92" s="217">
        <f t="shared" si="81"/>
        <v>0.19848850714735647</v>
      </c>
      <c r="BK92" s="207">
        <f t="shared" si="82"/>
        <v>3.1097789396669913</v>
      </c>
      <c r="BL92" s="144">
        <f t="shared" si="83"/>
        <v>115118.58392688913</v>
      </c>
      <c r="BM92" s="216">
        <f t="shared" si="84"/>
        <v>2.25</v>
      </c>
      <c r="BN92" s="216">
        <f t="shared" si="85"/>
        <v>2.3622047244094495E-2</v>
      </c>
      <c r="BO92" s="238">
        <f t="shared" si="86"/>
        <v>1.5748031496062995E-2</v>
      </c>
      <c r="BP92" s="216">
        <f t="shared" si="87"/>
        <v>0</v>
      </c>
      <c r="BQ92" s="138">
        <f t="shared" si="88"/>
        <v>2.25</v>
      </c>
      <c r="BR92" s="138">
        <f t="shared" si="89"/>
        <v>0</v>
      </c>
      <c r="BS92" s="238">
        <f t="shared" si="90"/>
        <v>0</v>
      </c>
      <c r="BT92" s="138">
        <f t="shared" si="91"/>
        <v>0</v>
      </c>
      <c r="BU92" s="138">
        <f t="shared" si="92"/>
        <v>2.5</v>
      </c>
      <c r="BV92" s="138">
        <f t="shared" si="93"/>
        <v>0</v>
      </c>
      <c r="BW92" s="238">
        <f t="shared" si="94"/>
        <v>0</v>
      </c>
      <c r="BX92" s="216">
        <f t="shared" si="95"/>
        <v>0</v>
      </c>
      <c r="BY92" s="138">
        <f t="shared" si="96"/>
        <v>2.3622047244094495E-2</v>
      </c>
      <c r="BZ92" s="138">
        <f t="shared" si="97"/>
        <v>0</v>
      </c>
      <c r="CA92" s="238">
        <f t="shared" si="98"/>
        <v>0</v>
      </c>
      <c r="CB92" s="138">
        <f t="shared" si="99"/>
        <v>0</v>
      </c>
      <c r="CC92" s="138">
        <f t="shared" si="100"/>
        <v>2.3622047244094495E-2</v>
      </c>
      <c r="CD92" s="138">
        <f t="shared" si="101"/>
        <v>0</v>
      </c>
      <c r="CE92" s="238">
        <f t="shared" si="102"/>
        <v>0</v>
      </c>
      <c r="CF92" s="216">
        <f t="shared" si="103"/>
        <v>0</v>
      </c>
      <c r="CG92" s="138">
        <f t="shared" si="104"/>
        <v>1.5748031496062995E-2</v>
      </c>
      <c r="CH92" s="138">
        <f t="shared" si="105"/>
        <v>0</v>
      </c>
      <c r="CI92" s="238">
        <f t="shared" si="106"/>
        <v>0</v>
      </c>
      <c r="CJ92" s="138">
        <f t="shared" si="107"/>
        <v>0</v>
      </c>
      <c r="CK92" s="138">
        <f t="shared" si="108"/>
        <v>1.5748031496062995E-2</v>
      </c>
      <c r="CL92" s="138">
        <f t="shared" si="109"/>
        <v>0</v>
      </c>
      <c r="CM92" s="238">
        <f t="shared" si="110"/>
        <v>0</v>
      </c>
      <c r="CN92" s="17">
        <f t="shared" si="111"/>
        <v>2.5</v>
      </c>
      <c r="CO92" s="17">
        <f t="shared" si="112"/>
        <v>2.3622047244094495E-2</v>
      </c>
      <c r="CP92" s="17">
        <f t="shared" si="113"/>
        <v>1.5748031496062995E-2</v>
      </c>
      <c r="CQ92" s="17">
        <f>$U92-IF('Inputs-Imperial'!$E$13,0,2)*($CO92+$CN92+$CP92)</f>
        <v>9.7540160601600014</v>
      </c>
      <c r="CR92" s="116">
        <f t="shared" si="114"/>
        <v>54564.098156105458</v>
      </c>
      <c r="CS92" s="8">
        <f t="shared" si="10"/>
        <v>1.4107707503233322</v>
      </c>
      <c r="CT92" s="8">
        <f t="shared" si="115"/>
        <v>1.1877587087970907</v>
      </c>
      <c r="CU92" s="8">
        <f t="shared" ref="CU92:CU123" si="272">CR92/($E$24/$E$21)</f>
        <v>1.4107707503233322</v>
      </c>
      <c r="CV92" s="8">
        <f t="shared" si="116"/>
        <v>1.1877587087970907</v>
      </c>
      <c r="CW92" s="216">
        <f t="shared" si="117"/>
        <v>8.5662573513629106</v>
      </c>
      <c r="CX92" s="116">
        <f t="shared" si="118"/>
        <v>62129.710548343748</v>
      </c>
      <c r="CY92" s="8">
        <f t="shared" si="119"/>
        <v>1.6063818761723758</v>
      </c>
      <c r="CZ92" s="8">
        <f t="shared" si="120"/>
        <v>1.2674312116136228</v>
      </c>
      <c r="DA92" s="8">
        <f t="shared" si="121"/>
        <v>1.6063818761723758</v>
      </c>
      <c r="DB92" s="8">
        <f t="shared" si="122"/>
        <v>1.2674312116136228</v>
      </c>
      <c r="DC92" s="216">
        <f t="shared" si="123"/>
        <v>8.4865848485463786</v>
      </c>
      <c r="DD92" s="116">
        <f t="shared" si="124"/>
        <v>62712.987523356976</v>
      </c>
      <c r="DE92" s="8">
        <f t="shared" si="125"/>
        <v>1.6214626733172592</v>
      </c>
      <c r="DF92" s="8">
        <f t="shared" si="126"/>
        <v>1.2733666688417988</v>
      </c>
      <c r="DG92" s="8">
        <f t="shared" si="127"/>
        <v>1.6214626733172592</v>
      </c>
      <c r="DH92" s="8">
        <f t="shared" si="128"/>
        <v>1.2733666688417988</v>
      </c>
      <c r="DI92" s="216">
        <f t="shared" si="129"/>
        <v>8.4806493913182024</v>
      </c>
      <c r="DJ92" s="116">
        <f t="shared" si="130"/>
        <v>62756.879239417904</v>
      </c>
      <c r="DK92" s="8">
        <f t="shared" si="131"/>
        <v>1.6225975065004834</v>
      </c>
      <c r="DL92" s="8">
        <f t="shared" si="132"/>
        <v>1.2738121943600962</v>
      </c>
      <c r="DM92" s="8">
        <f t="shared" si="133"/>
        <v>1.6225975065004834</v>
      </c>
      <c r="DN92" s="8">
        <f t="shared" si="134"/>
        <v>1.2738121943600962</v>
      </c>
      <c r="DO92" s="216">
        <f t="shared" si="135"/>
        <v>8.4802038657999042</v>
      </c>
      <c r="DP92" s="116">
        <f t="shared" si="136"/>
        <v>62760.176305336645</v>
      </c>
      <c r="DQ92" s="170">
        <f t="shared" si="137"/>
        <v>1.6226827531061681</v>
      </c>
      <c r="DR92" s="8">
        <f t="shared" si="138"/>
        <v>1.2738456551349413</v>
      </c>
      <c r="DS92" s="8">
        <f t="shared" si="139"/>
        <v>1.6226827531061681</v>
      </c>
      <c r="DT92" s="134">
        <f t="shared" si="140"/>
        <v>1.2738456551349413</v>
      </c>
      <c r="DU92" s="170">
        <f t="shared" si="258"/>
        <v>1.7233950944186762</v>
      </c>
      <c r="DV92" s="170">
        <f t="shared" si="258"/>
        <v>1.3127814343669995</v>
      </c>
      <c r="DW92" s="170">
        <f t="shared" si="258"/>
        <v>1.7233950944186762</v>
      </c>
      <c r="DX92" s="272">
        <f t="shared" si="258"/>
        <v>1.3127814343669995</v>
      </c>
      <c r="DY92" s="272">
        <f t="shared" si="142"/>
        <v>7.1284531914260016</v>
      </c>
      <c r="DZ92" s="22">
        <f t="shared" ref="DZ92:DZ123" si="273">ABS(Q92)/CQ92</f>
        <v>613.7414951071562</v>
      </c>
      <c r="EA92" s="216">
        <f t="shared" ref="EA92:EA123" si="274">(DZ92/$E$46)</f>
        <v>4.0209787242007702E-2</v>
      </c>
      <c r="EB92" s="12">
        <f t="shared" si="143"/>
        <v>6</v>
      </c>
      <c r="EC92" s="7">
        <f>ROUND(MAX(DV92,DX92)/'Inputs-Imperial'!$E$21,0)</f>
        <v>11</v>
      </c>
      <c r="ED92" s="12">
        <f t="shared" si="144"/>
        <v>11</v>
      </c>
      <c r="EE92" s="2">
        <f t="shared" si="145"/>
        <v>6</v>
      </c>
      <c r="EF92" s="127">
        <f t="shared" si="146"/>
        <v>6</v>
      </c>
      <c r="EG92" s="2">
        <f t="shared" si="147"/>
        <v>4.724409448818899E-2</v>
      </c>
      <c r="EH92" s="8">
        <f t="shared" ref="EH92:EH123" si="275">$E$22*DZ92/$E$34</f>
        <v>0.42315909975810212</v>
      </c>
      <c r="EI92" s="138">
        <f t="shared" si="148"/>
        <v>0.5</v>
      </c>
      <c r="EJ92" s="12">
        <f t="shared" ref="EJ92:EJ123" si="276">$E$22*DZ92/(2*EG92)</f>
        <v>11691.775481791323</v>
      </c>
      <c r="EK92" s="138">
        <f t="shared" si="149"/>
        <v>0.5</v>
      </c>
      <c r="EL92" s="116">
        <f t="shared" si="150"/>
        <v>2175570</v>
      </c>
      <c r="EM92" s="2">
        <f t="shared" ref="EM92:EM123" si="277">$EG92</f>
        <v>4.724409448818899E-2</v>
      </c>
      <c r="EN92" s="8">
        <f t="shared" si="151"/>
        <v>9.7540160601600014</v>
      </c>
      <c r="EO92" s="116">
        <f t="shared" si="152"/>
        <v>2610.6840000000002</v>
      </c>
      <c r="EP92" s="217">
        <f t="shared" si="153"/>
        <v>1.0210314153670603</v>
      </c>
      <c r="EQ92" s="207">
        <f t="shared" si="154"/>
        <v>2</v>
      </c>
      <c r="ER92" s="144">
        <f t="shared" si="155"/>
        <v>28210.831517392464</v>
      </c>
      <c r="ES92" s="138">
        <f t="shared" ref="ES92:ES123" si="278">IF(ER92&gt;$EJ92,EK92,ROUNDUP(EK92*$EJ92/ER92/$E$42,0)*$E$42)</f>
        <v>0.5</v>
      </c>
      <c r="ET92" s="116">
        <f t="shared" si="156"/>
        <v>2175570</v>
      </c>
      <c r="EU92" s="2">
        <f t="shared" ref="EU92:EU123" si="279">$EG92</f>
        <v>4.724409448818899E-2</v>
      </c>
      <c r="EV92" s="8">
        <f t="shared" si="157"/>
        <v>9.7540160601600014</v>
      </c>
      <c r="EW92" s="116">
        <f t="shared" si="158"/>
        <v>2610.6840000000002</v>
      </c>
      <c r="EX92" s="217">
        <f t="shared" si="159"/>
        <v>1.0210314153670603</v>
      </c>
      <c r="EY92" s="207">
        <f t="shared" si="160"/>
        <v>2</v>
      </c>
      <c r="EZ92" s="144">
        <f t="shared" si="161"/>
        <v>28210.831517392464</v>
      </c>
      <c r="FA92" s="138">
        <f t="shared" ref="FA92:FA123" si="280">IF(EZ92&gt;$EJ92,ES92,ROUNDUP(ES92*$EJ92/EZ92/$E$42,0)*$E$42)</f>
        <v>0.5</v>
      </c>
      <c r="FB92" s="116">
        <f t="shared" si="162"/>
        <v>2175570</v>
      </c>
      <c r="FC92" s="2">
        <f t="shared" ref="FC92:FC123" si="281">$EG92</f>
        <v>4.724409448818899E-2</v>
      </c>
      <c r="FD92" s="8">
        <f t="shared" si="163"/>
        <v>9.7540160601600014</v>
      </c>
      <c r="FE92" s="116">
        <f t="shared" si="164"/>
        <v>2610.6840000000002</v>
      </c>
      <c r="FF92" s="217">
        <f t="shared" si="165"/>
        <v>1.0210314153670603</v>
      </c>
      <c r="FG92" s="207">
        <f t="shared" si="166"/>
        <v>2</v>
      </c>
      <c r="FH92" s="144">
        <f t="shared" si="167"/>
        <v>28210.831517392464</v>
      </c>
      <c r="FI92" s="128">
        <f t="shared" si="168"/>
        <v>0.5</v>
      </c>
      <c r="FJ92" s="2">
        <f t="shared" si="169"/>
        <v>4.724409448818899E-2</v>
      </c>
      <c r="FK92" s="127">
        <f t="shared" si="170"/>
        <v>4.724409448818899E-2</v>
      </c>
      <c r="FL92" s="216">
        <f t="shared" si="171"/>
        <v>0</v>
      </c>
      <c r="FM92" s="138">
        <f t="shared" si="172"/>
        <v>0.5</v>
      </c>
      <c r="FN92" s="138">
        <f t="shared" si="173"/>
        <v>0</v>
      </c>
      <c r="FO92" s="238">
        <f t="shared" si="174"/>
        <v>0</v>
      </c>
      <c r="FP92" s="216">
        <f t="shared" ref="FP92:FP123" si="282">IF(FL92&gt;0,MAX(FL$60:FL$160),0)</f>
        <v>0</v>
      </c>
      <c r="FQ92" s="138">
        <f t="shared" ref="FQ92:FQ123" si="283">IF(FM92&gt;0,MAX(FM$60:FM$160),0)</f>
        <v>0.5</v>
      </c>
      <c r="FR92" s="138">
        <f t="shared" ref="FR92:FR123" si="284">IF(FN92&gt;0,MAX(FN$60:FN$160),0)</f>
        <v>0</v>
      </c>
      <c r="FS92" s="238">
        <f t="shared" ref="FS92:FS123" si="285">IF(FO92&gt;0,MAX(FO$60:FO$160),0)</f>
        <v>0</v>
      </c>
      <c r="FT92" s="216">
        <f t="shared" si="175"/>
        <v>0</v>
      </c>
      <c r="FU92" s="138">
        <f t="shared" si="176"/>
        <v>4.724409448818899E-2</v>
      </c>
      <c r="FV92" s="138">
        <f t="shared" si="177"/>
        <v>0</v>
      </c>
      <c r="FW92" s="238">
        <f t="shared" si="178"/>
        <v>0</v>
      </c>
      <c r="FX92" s="216">
        <f t="shared" ref="FX92:FX123" si="286">IF(FT92&gt;0,MAX(FT$60:FT$160),0)</f>
        <v>0</v>
      </c>
      <c r="FY92" s="138">
        <f t="shared" ref="FY92:FY123" si="287">IF(FU92&gt;0,MAX(FU$60:FU$160),0)</f>
        <v>5.5118110236220486E-2</v>
      </c>
      <c r="FZ92" s="138">
        <f t="shared" ref="FZ92:FZ123" si="288">IF(FV92&gt;0,MAX(FV$60:FV$160),0)</f>
        <v>0</v>
      </c>
      <c r="GA92" s="238">
        <f t="shared" ref="GA92:GA123" si="289">IF(FW92&gt;0,MAX(FW$60:FW$160),0)</f>
        <v>0</v>
      </c>
      <c r="GB92" s="216">
        <f t="shared" si="179"/>
        <v>0</v>
      </c>
      <c r="GC92" s="138">
        <f t="shared" si="180"/>
        <v>4.724409448818899E-2</v>
      </c>
      <c r="GD92" s="138">
        <f t="shared" si="181"/>
        <v>0</v>
      </c>
      <c r="GE92" s="238">
        <f t="shared" si="182"/>
        <v>0</v>
      </c>
      <c r="GF92" s="216">
        <f t="shared" ref="GF92:GF123" si="290">IF(GB92&gt;0,MAX(GB$60:GB$160),0)</f>
        <v>0</v>
      </c>
      <c r="GG92" s="138">
        <f t="shared" ref="GG92:GG123" si="291">IF(GC92&gt;0,MAX(GC$60:GC$160),0)</f>
        <v>5.5118110236220486E-2</v>
      </c>
      <c r="GH92" s="138">
        <f t="shared" ref="GH92:GH123" si="292">IF(GD92&gt;0,MAX(GD$60:GD$160),0)</f>
        <v>0</v>
      </c>
      <c r="GI92" s="238">
        <f t="shared" ref="GI92:GI123" si="293">IF(GE92&gt;0,MAX(GE$60:GE$160),0)</f>
        <v>0</v>
      </c>
      <c r="GJ92" s="216">
        <f t="shared" si="183"/>
        <v>0.5</v>
      </c>
      <c r="GK92" s="216">
        <f t="shared" si="184"/>
        <v>5.5118110236220486E-2</v>
      </c>
      <c r="GL92" s="17">
        <f t="shared" si="185"/>
        <v>5.5118110236220486E-2</v>
      </c>
      <c r="GM92" s="216">
        <f t="shared" ref="GM92:GM123" si="294">(AF92/$E$46)</f>
        <v>2.1784744597231797E-2</v>
      </c>
      <c r="GN92" s="2">
        <f t="shared" si="187"/>
        <v>3</v>
      </c>
      <c r="GO92" s="2">
        <f t="shared" si="188"/>
        <v>2</v>
      </c>
      <c r="GP92" s="142">
        <f t="shared" si="189"/>
        <v>2</v>
      </c>
      <c r="GQ92" s="2">
        <f t="shared" si="190"/>
        <v>1.5748031496062995E-2</v>
      </c>
      <c r="GR92" s="8">
        <f t="shared" ref="GR92:GR123" si="295">$E$22*AF92/$E$34</f>
        <v>0.22925793804236266</v>
      </c>
      <c r="GS92" s="138">
        <f t="shared" si="191"/>
        <v>0.25</v>
      </c>
      <c r="GT92" s="12">
        <f t="shared" ref="GT92:GT123" si="296">$E$22*AF92/(2*GQ92)</f>
        <v>19003.010975365953</v>
      </c>
      <c r="GU92" s="138">
        <f t="shared" si="192"/>
        <v>0.25</v>
      </c>
      <c r="GV92" s="116">
        <f t="shared" si="193"/>
        <v>2175570</v>
      </c>
      <c r="GW92" s="2">
        <f t="shared" ref="GW92:GW123" si="297">$EG92</f>
        <v>4.724409448818899E-2</v>
      </c>
      <c r="GX92" s="8">
        <f t="shared" ref="GX92:GX123" si="298">W92</f>
        <v>4.8770080300800007</v>
      </c>
      <c r="GY92" s="116">
        <f t="shared" si="194"/>
        <v>2610.6840000000002</v>
      </c>
      <c r="GZ92" s="217">
        <f t="shared" si="195"/>
        <v>2.0420628307341206</v>
      </c>
      <c r="HA92" s="207">
        <f t="shared" si="196"/>
        <v>2</v>
      </c>
      <c r="HB92" s="144">
        <f t="shared" si="197"/>
        <v>28210.831517392464</v>
      </c>
      <c r="HC92" s="138">
        <f t="shared" ref="HC92:HC123" si="299">IF(HB92&gt;$GT92,GU92,ROUNDUP(GU92*$GT92/HB92/$E$42,0)*$E$42)</f>
        <v>0.25</v>
      </c>
      <c r="HD92" s="116">
        <f t="shared" si="198"/>
        <v>2175570</v>
      </c>
      <c r="HE92" s="2">
        <f t="shared" ref="HE92:HE123" si="300">$EG92</f>
        <v>4.724409448818899E-2</v>
      </c>
      <c r="HF92" s="8">
        <f t="shared" si="199"/>
        <v>4.8770080300800007</v>
      </c>
      <c r="HG92" s="116">
        <f t="shared" si="200"/>
        <v>2610.6840000000002</v>
      </c>
      <c r="HH92" s="217">
        <f t="shared" si="201"/>
        <v>2.0420628307341206</v>
      </c>
      <c r="HI92" s="207">
        <f t="shared" si="202"/>
        <v>2</v>
      </c>
      <c r="HJ92" s="144">
        <f t="shared" si="203"/>
        <v>28210.831517392464</v>
      </c>
      <c r="HK92" s="138">
        <f t="shared" ref="HK92:HK123" si="301">IF(HJ92&gt;$GT92,HC92,ROUNDUP(HC92*$GT92/HJ92/$E$42,0)*$E$42)</f>
        <v>0.25</v>
      </c>
      <c r="HL92" s="116">
        <f t="shared" si="204"/>
        <v>2175570</v>
      </c>
      <c r="HM92" s="2">
        <f t="shared" ref="HM92:HM123" si="302">$EG92</f>
        <v>4.724409448818899E-2</v>
      </c>
      <c r="HN92" s="8">
        <f t="shared" si="205"/>
        <v>4.8770080300800007</v>
      </c>
      <c r="HO92" s="116">
        <f t="shared" si="206"/>
        <v>2610.6840000000002</v>
      </c>
      <c r="HP92" s="217">
        <f t="shared" si="207"/>
        <v>2.0420628307341206</v>
      </c>
      <c r="HQ92" s="207">
        <f t="shared" si="208"/>
        <v>2</v>
      </c>
      <c r="HR92" s="144">
        <f t="shared" si="209"/>
        <v>28210.831517392464</v>
      </c>
      <c r="HS92" s="128">
        <f t="shared" si="210"/>
        <v>0.25</v>
      </c>
      <c r="HT92" s="2">
        <f t="shared" si="211"/>
        <v>1.5748031496062995E-2</v>
      </c>
      <c r="HU92" s="127">
        <f t="shared" si="212"/>
        <v>1.5748031496062995E-2</v>
      </c>
      <c r="HV92" s="216">
        <f t="shared" si="213"/>
        <v>0</v>
      </c>
      <c r="HW92" s="138">
        <f t="shared" si="214"/>
        <v>0.25</v>
      </c>
      <c r="HX92" s="138">
        <f t="shared" si="215"/>
        <v>0</v>
      </c>
      <c r="HY92" s="238">
        <f t="shared" si="216"/>
        <v>0</v>
      </c>
      <c r="HZ92" s="138">
        <f t="shared" si="217"/>
        <v>0</v>
      </c>
      <c r="IA92" s="138">
        <f t="shared" si="218"/>
        <v>0.5</v>
      </c>
      <c r="IB92" s="138">
        <f t="shared" si="219"/>
        <v>0</v>
      </c>
      <c r="IC92" s="138">
        <f t="shared" si="220"/>
        <v>0</v>
      </c>
      <c r="ID92" s="216">
        <f t="shared" si="221"/>
        <v>0</v>
      </c>
      <c r="IE92" s="138">
        <f t="shared" si="222"/>
        <v>1.5748031496062995E-2</v>
      </c>
      <c r="IF92" s="138">
        <f t="shared" si="223"/>
        <v>0</v>
      </c>
      <c r="IG92" s="238">
        <f t="shared" si="224"/>
        <v>0</v>
      </c>
      <c r="IH92" s="138">
        <f t="shared" si="225"/>
        <v>0</v>
      </c>
      <c r="II92" s="138">
        <f t="shared" si="226"/>
        <v>1.5748031496062995E-2</v>
      </c>
      <c r="IJ92" s="138">
        <f t="shared" si="227"/>
        <v>0</v>
      </c>
      <c r="IK92" s="138">
        <f t="shared" si="228"/>
        <v>0</v>
      </c>
      <c r="IL92" s="216">
        <f t="shared" si="229"/>
        <v>0</v>
      </c>
      <c r="IM92" s="138">
        <f t="shared" si="230"/>
        <v>1.5748031496062995E-2</v>
      </c>
      <c r="IN92" s="138">
        <f t="shared" si="231"/>
        <v>0</v>
      </c>
      <c r="IO92" s="238">
        <f t="shared" si="232"/>
        <v>0</v>
      </c>
      <c r="IP92" s="138">
        <f t="shared" si="233"/>
        <v>0</v>
      </c>
      <c r="IQ92" s="138">
        <f t="shared" si="234"/>
        <v>1.5748031496062995E-2</v>
      </c>
      <c r="IR92" s="138">
        <f t="shared" si="235"/>
        <v>0</v>
      </c>
      <c r="IS92" s="138">
        <f t="shared" si="236"/>
        <v>0</v>
      </c>
      <c r="IT92" s="17">
        <f t="shared" si="237"/>
        <v>0.5</v>
      </c>
      <c r="IU92" s="17">
        <f t="shared" si="238"/>
        <v>1.5748031496062995E-2</v>
      </c>
      <c r="IV92" s="17">
        <f t="shared" si="239"/>
        <v>1.5748031496062995E-2</v>
      </c>
      <c r="IW92" s="253">
        <f t="shared" si="240"/>
        <v>27.094489056000008</v>
      </c>
      <c r="IX92" s="116">
        <f t="shared" ref="IX92:IX123" si="303">$T92/IW92</f>
        <v>1964.3075336197969</v>
      </c>
      <c r="IY92" s="8">
        <f t="shared" si="242"/>
        <v>5.0787747011639968E-2</v>
      </c>
      <c r="IZ92" s="8">
        <f t="shared" si="243"/>
        <v>5.0787747011639968E-2</v>
      </c>
      <c r="JA92" s="8">
        <f t="shared" si="244"/>
        <v>2.5393873505819984E-2</v>
      </c>
      <c r="JB92" s="134">
        <f t="shared" si="245"/>
        <v>0.15935455282426036</v>
      </c>
      <c r="JC92" s="170">
        <f t="shared" si="259"/>
        <v>2.6878791448952534E-2</v>
      </c>
      <c r="JD92" s="272">
        <f t="shared" si="260"/>
        <v>0.16394752651062636</v>
      </c>
      <c r="JE92" s="8"/>
      <c r="JF92" s="8"/>
    </row>
    <row r="93" spans="1:266" x14ac:dyDescent="0.25">
      <c r="A93" s="186">
        <v>33</v>
      </c>
      <c r="B93" s="187">
        <f>A93/100*'Inputs-Imperial'!$E$5</f>
        <v>7.9468506479999999</v>
      </c>
      <c r="C93" s="188">
        <f>'Inputs-Imperial'!$E$10+('Inputs-Imperial'!$E$9-'Inputs-Imperial'!$E$10)*(100-A93)/100</f>
        <v>4.4979496189999999</v>
      </c>
      <c r="D93" s="187">
        <f t="shared" si="248"/>
        <v>0.24081365600000026</v>
      </c>
      <c r="E93" s="188">
        <f t="shared" si="249"/>
        <v>1.0853107600465455</v>
      </c>
      <c r="F93" s="423">
        <f>Loads!P53</f>
        <v>587.58354946416318</v>
      </c>
      <c r="G93" s="423">
        <f>Loads!M53</f>
        <v>5875.8354946416321</v>
      </c>
      <c r="H93" s="423">
        <f>Loads!N53</f>
        <v>42909.973247813672</v>
      </c>
      <c r="I93" s="423">
        <f>Loads!V53</f>
        <v>-12650.623725677677</v>
      </c>
      <c r="J93" s="423">
        <f>Loads!Q53</f>
        <v>4290.9973247813678</v>
      </c>
      <c r="K93" s="2">
        <v>33</v>
      </c>
      <c r="L93" s="12">
        <f t="shared" si="41"/>
        <v>95.362207775999991</v>
      </c>
      <c r="M93" s="11">
        <f t="shared" si="42"/>
        <v>53.975395427999999</v>
      </c>
      <c r="N93" s="11">
        <f t="shared" si="43"/>
        <v>2.8897638720000032</v>
      </c>
      <c r="O93" s="152">
        <f t="shared" si="44"/>
        <v>156.28474944670256</v>
      </c>
      <c r="P93" s="151">
        <f t="shared" si="45"/>
        <v>587.58354946416318</v>
      </c>
      <c r="Q93" s="12">
        <f t="shared" si="46"/>
        <v>5875.8354946416321</v>
      </c>
      <c r="R93" s="12">
        <f t="shared" si="47"/>
        <v>514919.67897376406</v>
      </c>
      <c r="S93" s="12">
        <f t="shared" si="48"/>
        <v>-151807.48470813211</v>
      </c>
      <c r="T93" s="152">
        <f t="shared" si="49"/>
        <v>51491.967897376409</v>
      </c>
      <c r="U93" s="8">
        <f t="shared" si="261"/>
        <v>9.7155711770399993</v>
      </c>
      <c r="V93" s="8">
        <f t="shared" si="262"/>
        <v>9.7155711770399993</v>
      </c>
      <c r="W93" s="134">
        <f t="shared" si="263"/>
        <v>4.8577855885199996</v>
      </c>
      <c r="X93" s="311">
        <f t="shared" si="264"/>
        <v>13.493848857</v>
      </c>
      <c r="Y93" s="11">
        <f t="shared" si="265"/>
        <v>40.481546570999996</v>
      </c>
      <c r="Z93" s="11">
        <f t="shared" si="266"/>
        <v>26.987697713999996</v>
      </c>
      <c r="AA93" s="316">
        <f t="shared" si="50"/>
        <v>40.481546570999996</v>
      </c>
      <c r="AB93" s="170">
        <f t="shared" si="51"/>
        <v>7.2866783827799999</v>
      </c>
      <c r="AC93" s="11">
        <f t="shared" si="52"/>
        <v>40.481546570999996</v>
      </c>
      <c r="AD93" s="152">
        <f t="shared" si="53"/>
        <v>231.67361673624683</v>
      </c>
      <c r="AE93" s="151">
        <f t="shared" si="267"/>
        <v>14.514849338416678</v>
      </c>
      <c r="AF93" s="12">
        <f t="shared" si="268"/>
        <v>327.63222426177293</v>
      </c>
      <c r="AG93" s="216">
        <f t="shared" si="269"/>
        <v>2.2416051618828797E-2</v>
      </c>
      <c r="AH93" s="2">
        <f t="shared" si="55"/>
        <v>3</v>
      </c>
      <c r="AI93" s="2">
        <f t="shared" si="56"/>
        <v>3</v>
      </c>
      <c r="AJ93" s="127">
        <f t="shared" si="57"/>
        <v>2</v>
      </c>
      <c r="AK93" s="2">
        <f t="shared" si="58"/>
        <v>1.5748031496062995E-2</v>
      </c>
      <c r="AL93" s="8">
        <f t="shared" si="270"/>
        <v>0.23590167652628249</v>
      </c>
      <c r="AM93" s="138">
        <f t="shared" si="59"/>
        <v>0.25</v>
      </c>
      <c r="AN93" s="12">
        <f t="shared" si="271"/>
        <v>19553.705256250832</v>
      </c>
      <c r="AO93" s="138">
        <f t="shared" si="60"/>
        <v>0.25</v>
      </c>
      <c r="AP93" s="116">
        <f t="shared" si="61"/>
        <v>2175570</v>
      </c>
      <c r="AQ93" s="2">
        <f t="shared" si="62"/>
        <v>1.5748031496062995E-2</v>
      </c>
      <c r="AR93" s="8">
        <f t="shared" si="63"/>
        <v>26.987697713999996</v>
      </c>
      <c r="AS93" s="116">
        <f t="shared" si="64"/>
        <v>2610.6840000000002</v>
      </c>
      <c r="AT93" s="217">
        <f t="shared" si="65"/>
        <v>2.2229163132310787E-2</v>
      </c>
      <c r="AU93" s="207">
        <f t="shared" si="66"/>
        <v>4.9193075496062182</v>
      </c>
      <c r="AV93" s="144">
        <f t="shared" si="67"/>
        <v>2266.0272797306243</v>
      </c>
      <c r="AW93" s="138">
        <f t="shared" si="68"/>
        <v>2.25</v>
      </c>
      <c r="AX93" s="116">
        <f t="shared" si="69"/>
        <v>2175570</v>
      </c>
      <c r="AY93" s="2">
        <f t="shared" si="70"/>
        <v>1.5748031496062995E-2</v>
      </c>
      <c r="AZ93" s="8">
        <f t="shared" si="71"/>
        <v>26.987697713999996</v>
      </c>
      <c r="BA93" s="116">
        <f t="shared" si="72"/>
        <v>2610.6840000000002</v>
      </c>
      <c r="BB93" s="217">
        <f t="shared" si="73"/>
        <v>0.20006246819079707</v>
      </c>
      <c r="BC93" s="207">
        <f t="shared" si="74"/>
        <v>3.1003679103969644</v>
      </c>
      <c r="BD93" s="144">
        <f t="shared" si="75"/>
        <v>115680.30124089112</v>
      </c>
      <c r="BE93" s="138">
        <f t="shared" si="76"/>
        <v>2.25</v>
      </c>
      <c r="BF93" s="116">
        <f t="shared" si="77"/>
        <v>2175570</v>
      </c>
      <c r="BG93" s="2">
        <f t="shared" si="78"/>
        <v>1.5748031496062995E-2</v>
      </c>
      <c r="BH93" s="8">
        <f t="shared" si="79"/>
        <v>26.987697713999996</v>
      </c>
      <c r="BI93" s="116">
        <f t="shared" si="80"/>
        <v>2610.6840000000002</v>
      </c>
      <c r="BJ93" s="217">
        <f t="shared" si="81"/>
        <v>0.20006246819079707</v>
      </c>
      <c r="BK93" s="207">
        <f t="shared" si="82"/>
        <v>3.1003679103969644</v>
      </c>
      <c r="BL93" s="144">
        <f t="shared" si="83"/>
        <v>115680.30124089112</v>
      </c>
      <c r="BM93" s="216">
        <f t="shared" si="84"/>
        <v>2.25</v>
      </c>
      <c r="BN93" s="216">
        <f t="shared" si="85"/>
        <v>2.3622047244094495E-2</v>
      </c>
      <c r="BO93" s="238">
        <f t="shared" si="86"/>
        <v>1.5748031496062995E-2</v>
      </c>
      <c r="BP93" s="216">
        <f t="shared" si="87"/>
        <v>0</v>
      </c>
      <c r="BQ93" s="138">
        <f t="shared" si="88"/>
        <v>2.25</v>
      </c>
      <c r="BR93" s="138">
        <f t="shared" si="89"/>
        <v>0</v>
      </c>
      <c r="BS93" s="238">
        <f t="shared" si="90"/>
        <v>0</v>
      </c>
      <c r="BT93" s="138">
        <f t="shared" si="91"/>
        <v>0</v>
      </c>
      <c r="BU93" s="138">
        <f t="shared" si="92"/>
        <v>2.5</v>
      </c>
      <c r="BV93" s="138">
        <f t="shared" si="93"/>
        <v>0</v>
      </c>
      <c r="BW93" s="238">
        <f t="shared" si="94"/>
        <v>0</v>
      </c>
      <c r="BX93" s="216">
        <f t="shared" si="95"/>
        <v>0</v>
      </c>
      <c r="BY93" s="138">
        <f t="shared" si="96"/>
        <v>2.3622047244094495E-2</v>
      </c>
      <c r="BZ93" s="138">
        <f t="shared" si="97"/>
        <v>0</v>
      </c>
      <c r="CA93" s="238">
        <f t="shared" si="98"/>
        <v>0</v>
      </c>
      <c r="CB93" s="138">
        <f t="shared" si="99"/>
        <v>0</v>
      </c>
      <c r="CC93" s="138">
        <f t="shared" si="100"/>
        <v>2.3622047244094495E-2</v>
      </c>
      <c r="CD93" s="138">
        <f t="shared" si="101"/>
        <v>0</v>
      </c>
      <c r="CE93" s="238">
        <f t="shared" si="102"/>
        <v>0</v>
      </c>
      <c r="CF93" s="216">
        <f t="shared" si="103"/>
        <v>0</v>
      </c>
      <c r="CG93" s="138">
        <f t="shared" si="104"/>
        <v>1.5748031496062995E-2</v>
      </c>
      <c r="CH93" s="138">
        <f t="shared" si="105"/>
        <v>0</v>
      </c>
      <c r="CI93" s="238">
        <f t="shared" si="106"/>
        <v>0</v>
      </c>
      <c r="CJ93" s="138">
        <f t="shared" si="107"/>
        <v>0</v>
      </c>
      <c r="CK93" s="138">
        <f t="shared" si="108"/>
        <v>1.5748031496062995E-2</v>
      </c>
      <c r="CL93" s="138">
        <f t="shared" si="109"/>
        <v>0</v>
      </c>
      <c r="CM93" s="238">
        <f t="shared" si="110"/>
        <v>0</v>
      </c>
      <c r="CN93" s="17">
        <f t="shared" si="111"/>
        <v>2.5</v>
      </c>
      <c r="CO93" s="17">
        <f t="shared" si="112"/>
        <v>2.3622047244094495E-2</v>
      </c>
      <c r="CP93" s="17">
        <f t="shared" si="113"/>
        <v>1.5748031496062995E-2</v>
      </c>
      <c r="CQ93" s="17">
        <f>$U93-IF('Inputs-Imperial'!$E$13,0,2)*($CO93+$CN93+$CP93)</f>
        <v>9.7155711770399993</v>
      </c>
      <c r="CR93" s="116">
        <f t="shared" si="114"/>
        <v>52999.424284043213</v>
      </c>
      <c r="CS93" s="8">
        <f t="shared" si="10"/>
        <v>1.3703156487621315</v>
      </c>
      <c r="CT93" s="8">
        <f t="shared" si="115"/>
        <v>1.1706048217746805</v>
      </c>
      <c r="CU93" s="8">
        <f t="shared" si="272"/>
        <v>1.3703156487621315</v>
      </c>
      <c r="CV93" s="8">
        <f t="shared" si="116"/>
        <v>1.1706048217746805</v>
      </c>
      <c r="CW93" s="216">
        <f t="shared" si="117"/>
        <v>8.5449663552653181</v>
      </c>
      <c r="CX93" s="116">
        <f t="shared" si="118"/>
        <v>60260.000749619801</v>
      </c>
      <c r="CY93" s="8">
        <f t="shared" si="119"/>
        <v>1.5580399813226482</v>
      </c>
      <c r="CZ93" s="8">
        <f t="shared" si="120"/>
        <v>1.2482147176358114</v>
      </c>
      <c r="DA93" s="8">
        <f t="shared" si="121"/>
        <v>1.5580399813226482</v>
      </c>
      <c r="DB93" s="8">
        <f t="shared" si="122"/>
        <v>1.2482147176358114</v>
      </c>
      <c r="DC93" s="216">
        <f t="shared" si="123"/>
        <v>8.4673564594041881</v>
      </c>
      <c r="DD93" s="116">
        <f t="shared" si="124"/>
        <v>60812.330441323684</v>
      </c>
      <c r="DE93" s="8">
        <f t="shared" si="125"/>
        <v>1.5723206273870558</v>
      </c>
      <c r="DF93" s="8">
        <f t="shared" si="126"/>
        <v>1.2539220978143164</v>
      </c>
      <c r="DG93" s="8">
        <f t="shared" si="127"/>
        <v>1.5723206273870558</v>
      </c>
      <c r="DH93" s="8">
        <f t="shared" si="128"/>
        <v>1.2539220978143164</v>
      </c>
      <c r="DI93" s="216">
        <f t="shared" si="129"/>
        <v>8.4616490792256815</v>
      </c>
      <c r="DJ93" s="116">
        <f t="shared" si="130"/>
        <v>60853.348342931276</v>
      </c>
      <c r="DK93" s="8">
        <f t="shared" si="131"/>
        <v>1.5733811572552867</v>
      </c>
      <c r="DL93" s="8">
        <f t="shared" si="132"/>
        <v>1.2543449115993921</v>
      </c>
      <c r="DM93" s="8">
        <f t="shared" si="133"/>
        <v>1.5733811572552867</v>
      </c>
      <c r="DN93" s="8">
        <f t="shared" si="134"/>
        <v>1.2543449115993921</v>
      </c>
      <c r="DO93" s="216">
        <f t="shared" si="135"/>
        <v>8.4612262654406063</v>
      </c>
      <c r="DP93" s="116">
        <f t="shared" si="136"/>
        <v>60856.389230119516</v>
      </c>
      <c r="DQ93" s="170">
        <f t="shared" si="137"/>
        <v>1.5734597802848094</v>
      </c>
      <c r="DR93" s="8">
        <f t="shared" si="138"/>
        <v>1.2543762514831065</v>
      </c>
      <c r="DS93" s="8">
        <f t="shared" si="139"/>
        <v>1.5734597802848094</v>
      </c>
      <c r="DT93" s="134">
        <f t="shared" si="140"/>
        <v>1.2543762514831065</v>
      </c>
      <c r="DU93" s="170">
        <f t="shared" si="258"/>
        <v>1.7233950944186762</v>
      </c>
      <c r="DV93" s="170">
        <f t="shared" si="258"/>
        <v>1.3127814343669995</v>
      </c>
      <c r="DW93" s="170">
        <f t="shared" si="258"/>
        <v>1.7233950944186762</v>
      </c>
      <c r="DX93" s="272">
        <f t="shared" si="258"/>
        <v>1.3127814343669995</v>
      </c>
      <c r="DY93" s="272">
        <f t="shared" si="142"/>
        <v>7.0900083083060013</v>
      </c>
      <c r="DZ93" s="22">
        <f t="shared" si="273"/>
        <v>604.78538910069483</v>
      </c>
      <c r="EA93" s="216">
        <f t="shared" si="274"/>
        <v>3.9623020468198794E-2</v>
      </c>
      <c r="EB93" s="12">
        <f t="shared" si="143"/>
        <v>6</v>
      </c>
      <c r="EC93" s="7">
        <f>ROUND(MAX(DV93,DX93)/'Inputs-Imperial'!$E$21,0)</f>
        <v>11</v>
      </c>
      <c r="ED93" s="12">
        <f t="shared" si="144"/>
        <v>11</v>
      </c>
      <c r="EE93" s="2">
        <f t="shared" si="145"/>
        <v>6</v>
      </c>
      <c r="EF93" s="127">
        <f t="shared" si="146"/>
        <v>6</v>
      </c>
      <c r="EG93" s="2">
        <f t="shared" si="147"/>
        <v>4.724409448818899E-2</v>
      </c>
      <c r="EH93" s="8">
        <f t="shared" si="275"/>
        <v>0.41698409320363961</v>
      </c>
      <c r="EI93" s="138">
        <f t="shared" si="148"/>
        <v>0.5</v>
      </c>
      <c r="EJ93" s="12">
        <f t="shared" si="276"/>
        <v>11521.161662368233</v>
      </c>
      <c r="EK93" s="138">
        <f t="shared" si="149"/>
        <v>0.5</v>
      </c>
      <c r="EL93" s="116">
        <f t="shared" si="150"/>
        <v>2175570</v>
      </c>
      <c r="EM93" s="2">
        <f t="shared" si="277"/>
        <v>4.724409448818899E-2</v>
      </c>
      <c r="EN93" s="8">
        <f t="shared" si="151"/>
        <v>9.7155711770399993</v>
      </c>
      <c r="EO93" s="116">
        <f t="shared" si="152"/>
        <v>2610.6840000000002</v>
      </c>
      <c r="EP93" s="217">
        <f t="shared" si="153"/>
        <v>1.0291279227921657</v>
      </c>
      <c r="EQ93" s="207">
        <f t="shared" si="154"/>
        <v>2</v>
      </c>
      <c r="ER93" s="144">
        <f t="shared" si="155"/>
        <v>28434.535904359684</v>
      </c>
      <c r="ES93" s="138">
        <f t="shared" si="278"/>
        <v>0.5</v>
      </c>
      <c r="ET93" s="116">
        <f t="shared" si="156"/>
        <v>2175570</v>
      </c>
      <c r="EU93" s="2">
        <f t="shared" si="279"/>
        <v>4.724409448818899E-2</v>
      </c>
      <c r="EV93" s="8">
        <f t="shared" si="157"/>
        <v>9.7155711770399993</v>
      </c>
      <c r="EW93" s="116">
        <f t="shared" si="158"/>
        <v>2610.6840000000002</v>
      </c>
      <c r="EX93" s="217">
        <f t="shared" si="159"/>
        <v>1.0291279227921657</v>
      </c>
      <c r="EY93" s="207">
        <f t="shared" si="160"/>
        <v>2</v>
      </c>
      <c r="EZ93" s="144">
        <f t="shared" si="161"/>
        <v>28434.535904359684</v>
      </c>
      <c r="FA93" s="138">
        <f t="shared" si="280"/>
        <v>0.5</v>
      </c>
      <c r="FB93" s="116">
        <f t="shared" si="162"/>
        <v>2175570</v>
      </c>
      <c r="FC93" s="2">
        <f t="shared" si="281"/>
        <v>4.724409448818899E-2</v>
      </c>
      <c r="FD93" s="8">
        <f t="shared" si="163"/>
        <v>9.7155711770399993</v>
      </c>
      <c r="FE93" s="116">
        <f t="shared" si="164"/>
        <v>2610.6840000000002</v>
      </c>
      <c r="FF93" s="217">
        <f t="shared" si="165"/>
        <v>1.0291279227921657</v>
      </c>
      <c r="FG93" s="207">
        <f t="shared" si="166"/>
        <v>2</v>
      </c>
      <c r="FH93" s="144">
        <f t="shared" si="167"/>
        <v>28434.535904359684</v>
      </c>
      <c r="FI93" s="128">
        <f t="shared" si="168"/>
        <v>0.5</v>
      </c>
      <c r="FJ93" s="2">
        <f t="shared" si="169"/>
        <v>4.724409448818899E-2</v>
      </c>
      <c r="FK93" s="127">
        <f t="shared" si="170"/>
        <v>4.724409448818899E-2</v>
      </c>
      <c r="FL93" s="216">
        <f t="shared" si="171"/>
        <v>0</v>
      </c>
      <c r="FM93" s="138">
        <f t="shared" si="172"/>
        <v>0.5</v>
      </c>
      <c r="FN93" s="138">
        <f t="shared" si="173"/>
        <v>0</v>
      </c>
      <c r="FO93" s="238">
        <f t="shared" si="174"/>
        <v>0</v>
      </c>
      <c r="FP93" s="216">
        <f t="shared" si="282"/>
        <v>0</v>
      </c>
      <c r="FQ93" s="138">
        <f t="shared" si="283"/>
        <v>0.5</v>
      </c>
      <c r="FR93" s="138">
        <f t="shared" si="284"/>
        <v>0</v>
      </c>
      <c r="FS93" s="238">
        <f t="shared" si="285"/>
        <v>0</v>
      </c>
      <c r="FT93" s="216">
        <f t="shared" si="175"/>
        <v>0</v>
      </c>
      <c r="FU93" s="138">
        <f t="shared" si="176"/>
        <v>4.724409448818899E-2</v>
      </c>
      <c r="FV93" s="138">
        <f t="shared" si="177"/>
        <v>0</v>
      </c>
      <c r="FW93" s="238">
        <f t="shared" si="178"/>
        <v>0</v>
      </c>
      <c r="FX93" s="216">
        <f t="shared" si="286"/>
        <v>0</v>
      </c>
      <c r="FY93" s="138">
        <f t="shared" si="287"/>
        <v>5.5118110236220486E-2</v>
      </c>
      <c r="FZ93" s="138">
        <f t="shared" si="288"/>
        <v>0</v>
      </c>
      <c r="GA93" s="238">
        <f t="shared" si="289"/>
        <v>0</v>
      </c>
      <c r="GB93" s="216">
        <f t="shared" si="179"/>
        <v>0</v>
      </c>
      <c r="GC93" s="138">
        <f t="shared" si="180"/>
        <v>4.724409448818899E-2</v>
      </c>
      <c r="GD93" s="138">
        <f t="shared" si="181"/>
        <v>0</v>
      </c>
      <c r="GE93" s="238">
        <f t="shared" si="182"/>
        <v>0</v>
      </c>
      <c r="GF93" s="216">
        <f t="shared" si="290"/>
        <v>0</v>
      </c>
      <c r="GG93" s="138">
        <f t="shared" si="291"/>
        <v>5.5118110236220486E-2</v>
      </c>
      <c r="GH93" s="138">
        <f t="shared" si="292"/>
        <v>0</v>
      </c>
      <c r="GI93" s="238">
        <f t="shared" si="293"/>
        <v>0</v>
      </c>
      <c r="GJ93" s="216">
        <f t="shared" si="183"/>
        <v>0.5</v>
      </c>
      <c r="GK93" s="216">
        <f t="shared" si="184"/>
        <v>5.5118110236220486E-2</v>
      </c>
      <c r="GL93" s="17">
        <f t="shared" si="185"/>
        <v>5.5118110236220486E-2</v>
      </c>
      <c r="GM93" s="216">
        <f t="shared" si="294"/>
        <v>2.1465099127592025E-2</v>
      </c>
      <c r="GN93" s="2">
        <f t="shared" si="187"/>
        <v>3</v>
      </c>
      <c r="GO93" s="2">
        <f t="shared" si="188"/>
        <v>2</v>
      </c>
      <c r="GP93" s="142">
        <f t="shared" si="189"/>
        <v>2</v>
      </c>
      <c r="GQ93" s="2">
        <f t="shared" si="190"/>
        <v>1.5748031496062995E-2</v>
      </c>
      <c r="GR93" s="8">
        <f t="shared" si="295"/>
        <v>0.22589405828939516</v>
      </c>
      <c r="GS93" s="138">
        <f t="shared" si="191"/>
        <v>0.25</v>
      </c>
      <c r="GT93" s="12">
        <f t="shared" si="296"/>
        <v>18724.18161656032</v>
      </c>
      <c r="GU93" s="138">
        <f t="shared" si="192"/>
        <v>0.25</v>
      </c>
      <c r="GV93" s="116">
        <f t="shared" si="193"/>
        <v>2175570</v>
      </c>
      <c r="GW93" s="2">
        <f t="shared" si="297"/>
        <v>4.724409448818899E-2</v>
      </c>
      <c r="GX93" s="8">
        <f t="shared" si="298"/>
        <v>4.8577855885199996</v>
      </c>
      <c r="GY93" s="116">
        <f t="shared" si="194"/>
        <v>2610.6840000000002</v>
      </c>
      <c r="GZ93" s="217">
        <f t="shared" si="195"/>
        <v>2.0582558455843314</v>
      </c>
      <c r="HA93" s="207">
        <f t="shared" si="196"/>
        <v>2</v>
      </c>
      <c r="HB93" s="144">
        <f t="shared" si="197"/>
        <v>28434.535904359684</v>
      </c>
      <c r="HC93" s="138">
        <f t="shared" si="299"/>
        <v>0.25</v>
      </c>
      <c r="HD93" s="116">
        <f t="shared" si="198"/>
        <v>2175570</v>
      </c>
      <c r="HE93" s="2">
        <f t="shared" si="300"/>
        <v>4.724409448818899E-2</v>
      </c>
      <c r="HF93" s="8">
        <f t="shared" si="199"/>
        <v>4.8577855885199996</v>
      </c>
      <c r="HG93" s="116">
        <f t="shared" si="200"/>
        <v>2610.6840000000002</v>
      </c>
      <c r="HH93" s="217">
        <f t="shared" si="201"/>
        <v>2.0582558455843314</v>
      </c>
      <c r="HI93" s="207">
        <f t="shared" si="202"/>
        <v>2</v>
      </c>
      <c r="HJ93" s="144">
        <f t="shared" si="203"/>
        <v>28434.535904359684</v>
      </c>
      <c r="HK93" s="138">
        <f t="shared" si="301"/>
        <v>0.25</v>
      </c>
      <c r="HL93" s="116">
        <f t="shared" si="204"/>
        <v>2175570</v>
      </c>
      <c r="HM93" s="2">
        <f t="shared" si="302"/>
        <v>4.724409448818899E-2</v>
      </c>
      <c r="HN93" s="8">
        <f t="shared" si="205"/>
        <v>4.8577855885199996</v>
      </c>
      <c r="HO93" s="116">
        <f t="shared" si="206"/>
        <v>2610.6840000000002</v>
      </c>
      <c r="HP93" s="217">
        <f t="shared" si="207"/>
        <v>2.0582558455843314</v>
      </c>
      <c r="HQ93" s="207">
        <f t="shared" si="208"/>
        <v>2</v>
      </c>
      <c r="HR93" s="144">
        <f t="shared" si="209"/>
        <v>28434.535904359684</v>
      </c>
      <c r="HS93" s="128">
        <f t="shared" si="210"/>
        <v>0.25</v>
      </c>
      <c r="HT93" s="2">
        <f t="shared" si="211"/>
        <v>1.5748031496062995E-2</v>
      </c>
      <c r="HU93" s="127">
        <f t="shared" si="212"/>
        <v>1.5748031496062995E-2</v>
      </c>
      <c r="HV93" s="216">
        <f t="shared" si="213"/>
        <v>0</v>
      </c>
      <c r="HW93" s="138">
        <f t="shared" si="214"/>
        <v>0.25</v>
      </c>
      <c r="HX93" s="138">
        <f t="shared" si="215"/>
        <v>0</v>
      </c>
      <c r="HY93" s="238">
        <f t="shared" si="216"/>
        <v>0</v>
      </c>
      <c r="HZ93" s="138">
        <f t="shared" si="217"/>
        <v>0</v>
      </c>
      <c r="IA93" s="138">
        <f t="shared" si="218"/>
        <v>0.5</v>
      </c>
      <c r="IB93" s="138">
        <f t="shared" si="219"/>
        <v>0</v>
      </c>
      <c r="IC93" s="138">
        <f t="shared" si="220"/>
        <v>0</v>
      </c>
      <c r="ID93" s="216">
        <f t="shared" si="221"/>
        <v>0</v>
      </c>
      <c r="IE93" s="138">
        <f t="shared" si="222"/>
        <v>1.5748031496062995E-2</v>
      </c>
      <c r="IF93" s="138">
        <f t="shared" si="223"/>
        <v>0</v>
      </c>
      <c r="IG93" s="238">
        <f t="shared" si="224"/>
        <v>0</v>
      </c>
      <c r="IH93" s="138">
        <f t="shared" si="225"/>
        <v>0</v>
      </c>
      <c r="II93" s="138">
        <f t="shared" si="226"/>
        <v>1.5748031496062995E-2</v>
      </c>
      <c r="IJ93" s="138">
        <f t="shared" si="227"/>
        <v>0</v>
      </c>
      <c r="IK93" s="138">
        <f t="shared" si="228"/>
        <v>0</v>
      </c>
      <c r="IL93" s="216">
        <f t="shared" si="229"/>
        <v>0</v>
      </c>
      <c r="IM93" s="138">
        <f t="shared" si="230"/>
        <v>1.5748031496062995E-2</v>
      </c>
      <c r="IN93" s="138">
        <f t="shared" si="231"/>
        <v>0</v>
      </c>
      <c r="IO93" s="238">
        <f t="shared" si="232"/>
        <v>0</v>
      </c>
      <c r="IP93" s="138">
        <f t="shared" si="233"/>
        <v>0</v>
      </c>
      <c r="IQ93" s="138">
        <f t="shared" si="234"/>
        <v>1.5748031496062995E-2</v>
      </c>
      <c r="IR93" s="138">
        <f t="shared" si="235"/>
        <v>0</v>
      </c>
      <c r="IS93" s="138">
        <f t="shared" si="236"/>
        <v>0</v>
      </c>
      <c r="IT93" s="17">
        <f t="shared" si="237"/>
        <v>0.5</v>
      </c>
      <c r="IU93" s="17">
        <f t="shared" si="238"/>
        <v>1.5748031496062995E-2</v>
      </c>
      <c r="IV93" s="17">
        <f t="shared" si="239"/>
        <v>1.5748031496062995E-2</v>
      </c>
      <c r="IW93" s="253">
        <f t="shared" si="240"/>
        <v>26.987697713999996</v>
      </c>
      <c r="IX93" s="116">
        <f t="shared" si="303"/>
        <v>1907.9792742255561</v>
      </c>
      <c r="IY93" s="8">
        <f t="shared" si="242"/>
        <v>4.9331363355436746E-2</v>
      </c>
      <c r="IZ93" s="8">
        <f t="shared" si="243"/>
        <v>4.9331363355436746E-2</v>
      </c>
      <c r="JA93" s="8">
        <f t="shared" si="244"/>
        <v>2.4665681677718373E-2</v>
      </c>
      <c r="JB93" s="134">
        <f t="shared" si="245"/>
        <v>0.15705311737663272</v>
      </c>
      <c r="JC93" s="170">
        <f t="shared" si="259"/>
        <v>2.6878791448952534E-2</v>
      </c>
      <c r="JD93" s="272">
        <f t="shared" si="260"/>
        <v>0.16394752651062636</v>
      </c>
      <c r="JE93" s="8"/>
      <c r="JF93" s="8"/>
    </row>
    <row r="94" spans="1:266" x14ac:dyDescent="0.25">
      <c r="A94" s="186">
        <v>34</v>
      </c>
      <c r="B94" s="187">
        <f>A94/100*'Inputs-Imperial'!$E$5</f>
        <v>8.1876643040000001</v>
      </c>
      <c r="C94" s="188">
        <f>'Inputs-Imperial'!$E$10+('Inputs-Imperial'!$E$9-'Inputs-Imperial'!$E$10)*(100-A94)/100</f>
        <v>4.4801510620000009</v>
      </c>
      <c r="D94" s="187">
        <f t="shared" si="248"/>
        <v>0.24081365600000026</v>
      </c>
      <c r="E94" s="188">
        <f t="shared" si="249"/>
        <v>1.0810246244638511</v>
      </c>
      <c r="F94" s="423">
        <f>Loads!P54</f>
        <v>576.56486522553928</v>
      </c>
      <c r="G94" s="423">
        <f>Loads!M54</f>
        <v>5765.6486522553932</v>
      </c>
      <c r="H94" s="423">
        <f>Loads!N54</f>
        <v>41494.991820294454</v>
      </c>
      <c r="I94" s="423">
        <f>Loads!V54</f>
        <v>-12362.650396398396</v>
      </c>
      <c r="J94" s="423">
        <f>Loads!Q54</f>
        <v>4149.4991820294454</v>
      </c>
      <c r="K94" s="2">
        <v>34</v>
      </c>
      <c r="L94" s="12">
        <f t="shared" si="41"/>
        <v>98.251971647999994</v>
      </c>
      <c r="M94" s="11">
        <f t="shared" si="42"/>
        <v>53.761812744000011</v>
      </c>
      <c r="N94" s="11">
        <f t="shared" si="43"/>
        <v>2.8897638720000032</v>
      </c>
      <c r="O94" s="152">
        <f t="shared" si="44"/>
        <v>155.66754592279455</v>
      </c>
      <c r="P94" s="151">
        <f t="shared" si="45"/>
        <v>576.56486522553928</v>
      </c>
      <c r="Q94" s="12">
        <f t="shared" si="46"/>
        <v>5765.6486522553932</v>
      </c>
      <c r="R94" s="12">
        <f t="shared" si="47"/>
        <v>497939.90184353344</v>
      </c>
      <c r="S94" s="12">
        <f t="shared" si="48"/>
        <v>-148351.80475678074</v>
      </c>
      <c r="T94" s="152">
        <f t="shared" si="49"/>
        <v>49793.990184353344</v>
      </c>
      <c r="U94" s="8">
        <f t="shared" si="261"/>
        <v>9.6771262939200025</v>
      </c>
      <c r="V94" s="8">
        <f t="shared" si="262"/>
        <v>9.6771262939200025</v>
      </c>
      <c r="W94" s="134">
        <f t="shared" si="263"/>
        <v>4.8385631469600012</v>
      </c>
      <c r="X94" s="311">
        <f t="shared" si="264"/>
        <v>13.440453186000003</v>
      </c>
      <c r="Y94" s="11">
        <f t="shared" si="265"/>
        <v>40.321359558000012</v>
      </c>
      <c r="Z94" s="11">
        <f t="shared" si="266"/>
        <v>26.880906372000009</v>
      </c>
      <c r="AA94" s="316">
        <f t="shared" si="50"/>
        <v>40.321359558000012</v>
      </c>
      <c r="AB94" s="170">
        <f t="shared" si="51"/>
        <v>7.2578447204400014</v>
      </c>
      <c r="AC94" s="11">
        <f t="shared" si="52"/>
        <v>40.321359558000012</v>
      </c>
      <c r="AD94" s="152">
        <f t="shared" si="53"/>
        <v>229.8437617642991</v>
      </c>
      <c r="AE94" s="151">
        <f t="shared" si="267"/>
        <v>14.299241680980105</v>
      </c>
      <c r="AF94" s="12">
        <f t="shared" si="268"/>
        <v>322.72314814642004</v>
      </c>
      <c r="AG94" s="216">
        <f t="shared" si="269"/>
        <v>2.208030367636573E-2</v>
      </c>
      <c r="AH94" s="2">
        <f t="shared" si="55"/>
        <v>3</v>
      </c>
      <c r="AI94" s="2">
        <f t="shared" si="56"/>
        <v>3</v>
      </c>
      <c r="AJ94" s="127">
        <f t="shared" si="57"/>
        <v>2</v>
      </c>
      <c r="AK94" s="2">
        <f t="shared" si="58"/>
        <v>1.5748031496062995E-2</v>
      </c>
      <c r="AL94" s="8">
        <f t="shared" si="270"/>
        <v>0.23236833783380917</v>
      </c>
      <c r="AM94" s="138">
        <f t="shared" si="59"/>
        <v>0.25</v>
      </c>
      <c r="AN94" s="12">
        <f t="shared" si="271"/>
        <v>19260.829578635916</v>
      </c>
      <c r="AO94" s="138">
        <f t="shared" si="60"/>
        <v>0.25</v>
      </c>
      <c r="AP94" s="116">
        <f t="shared" si="61"/>
        <v>2175570</v>
      </c>
      <c r="AQ94" s="2">
        <f t="shared" si="62"/>
        <v>1.5748031496062995E-2</v>
      </c>
      <c r="AR94" s="8">
        <f t="shared" si="63"/>
        <v>26.880906372000009</v>
      </c>
      <c r="AS94" s="116">
        <f t="shared" si="64"/>
        <v>2610.6840000000002</v>
      </c>
      <c r="AT94" s="217">
        <f t="shared" si="65"/>
        <v>2.240613615245134E-2</v>
      </c>
      <c r="AU94" s="207">
        <f t="shared" si="66"/>
        <v>4.9164571528816374</v>
      </c>
      <c r="AV94" s="144">
        <f t="shared" si="67"/>
        <v>2282.744342553051</v>
      </c>
      <c r="AW94" s="138">
        <f t="shared" si="68"/>
        <v>2.25</v>
      </c>
      <c r="AX94" s="116">
        <f t="shared" si="69"/>
        <v>2175570</v>
      </c>
      <c r="AY94" s="2">
        <f t="shared" si="70"/>
        <v>1.5748031496062995E-2</v>
      </c>
      <c r="AZ94" s="8">
        <f t="shared" si="71"/>
        <v>26.880906372000009</v>
      </c>
      <c r="BA94" s="116">
        <f t="shared" si="72"/>
        <v>2610.6840000000002</v>
      </c>
      <c r="BB94" s="217">
        <f t="shared" si="73"/>
        <v>0.20165522537206204</v>
      </c>
      <c r="BC94" s="207">
        <f t="shared" si="74"/>
        <v>3.0909199380020986</v>
      </c>
      <c r="BD94" s="144">
        <f t="shared" si="75"/>
        <v>116245.93937678832</v>
      </c>
      <c r="BE94" s="138">
        <f t="shared" si="76"/>
        <v>2.25</v>
      </c>
      <c r="BF94" s="116">
        <f t="shared" si="77"/>
        <v>2175570</v>
      </c>
      <c r="BG94" s="2">
        <f t="shared" si="78"/>
        <v>1.5748031496062995E-2</v>
      </c>
      <c r="BH94" s="8">
        <f t="shared" si="79"/>
        <v>26.880906372000009</v>
      </c>
      <c r="BI94" s="116">
        <f t="shared" si="80"/>
        <v>2610.6840000000002</v>
      </c>
      <c r="BJ94" s="217">
        <f t="shared" si="81"/>
        <v>0.20165522537206204</v>
      </c>
      <c r="BK94" s="207">
        <f t="shared" si="82"/>
        <v>3.0909199380020986</v>
      </c>
      <c r="BL94" s="144">
        <f t="shared" si="83"/>
        <v>116245.93937678832</v>
      </c>
      <c r="BM94" s="216">
        <f t="shared" si="84"/>
        <v>2.25</v>
      </c>
      <c r="BN94" s="216">
        <f t="shared" si="85"/>
        <v>2.3622047244094495E-2</v>
      </c>
      <c r="BO94" s="238">
        <f t="shared" si="86"/>
        <v>1.5748031496062995E-2</v>
      </c>
      <c r="BP94" s="216">
        <f t="shared" si="87"/>
        <v>0</v>
      </c>
      <c r="BQ94" s="138">
        <f t="shared" si="88"/>
        <v>2.25</v>
      </c>
      <c r="BR94" s="138">
        <f t="shared" si="89"/>
        <v>0</v>
      </c>
      <c r="BS94" s="238">
        <f t="shared" si="90"/>
        <v>0</v>
      </c>
      <c r="BT94" s="138">
        <f t="shared" si="91"/>
        <v>0</v>
      </c>
      <c r="BU94" s="138">
        <f t="shared" si="92"/>
        <v>2.5</v>
      </c>
      <c r="BV94" s="138">
        <f t="shared" si="93"/>
        <v>0</v>
      </c>
      <c r="BW94" s="238">
        <f t="shared" si="94"/>
        <v>0</v>
      </c>
      <c r="BX94" s="216">
        <f t="shared" si="95"/>
        <v>0</v>
      </c>
      <c r="BY94" s="138">
        <f t="shared" si="96"/>
        <v>2.3622047244094495E-2</v>
      </c>
      <c r="BZ94" s="138">
        <f t="shared" si="97"/>
        <v>0</v>
      </c>
      <c r="CA94" s="238">
        <f t="shared" si="98"/>
        <v>0</v>
      </c>
      <c r="CB94" s="138">
        <f t="shared" si="99"/>
        <v>0</v>
      </c>
      <c r="CC94" s="138">
        <f t="shared" si="100"/>
        <v>2.3622047244094495E-2</v>
      </c>
      <c r="CD94" s="138">
        <f t="shared" si="101"/>
        <v>0</v>
      </c>
      <c r="CE94" s="238">
        <f t="shared" si="102"/>
        <v>0</v>
      </c>
      <c r="CF94" s="216">
        <f t="shared" si="103"/>
        <v>0</v>
      </c>
      <c r="CG94" s="138">
        <f t="shared" si="104"/>
        <v>1.5748031496062995E-2</v>
      </c>
      <c r="CH94" s="138">
        <f t="shared" si="105"/>
        <v>0</v>
      </c>
      <c r="CI94" s="238">
        <f t="shared" si="106"/>
        <v>0</v>
      </c>
      <c r="CJ94" s="138">
        <f t="shared" si="107"/>
        <v>0</v>
      </c>
      <c r="CK94" s="138">
        <f t="shared" si="108"/>
        <v>1.5748031496062995E-2</v>
      </c>
      <c r="CL94" s="138">
        <f t="shared" si="109"/>
        <v>0</v>
      </c>
      <c r="CM94" s="238">
        <f t="shared" si="110"/>
        <v>0</v>
      </c>
      <c r="CN94" s="17">
        <f t="shared" si="111"/>
        <v>2.5</v>
      </c>
      <c r="CO94" s="17">
        <f t="shared" si="112"/>
        <v>2.3622047244094495E-2</v>
      </c>
      <c r="CP94" s="17">
        <f t="shared" si="113"/>
        <v>1.5748031496062995E-2</v>
      </c>
      <c r="CQ94" s="17">
        <f>$U94-IF('Inputs-Imperial'!$E$13,0,2)*($CO94+$CN94+$CP94)</f>
        <v>9.6771262939200025</v>
      </c>
      <c r="CR94" s="116">
        <f t="shared" si="114"/>
        <v>51455.348077495051</v>
      </c>
      <c r="CS94" s="8">
        <f t="shared" si="10"/>
        <v>1.3303931058798828</v>
      </c>
      <c r="CT94" s="8">
        <f t="shared" si="115"/>
        <v>1.1534266798890525</v>
      </c>
      <c r="CU94" s="8">
        <f t="shared" si="272"/>
        <v>1.3303931058798828</v>
      </c>
      <c r="CV94" s="8">
        <f t="shared" si="116"/>
        <v>1.1534266798890525</v>
      </c>
      <c r="CW94" s="216">
        <f t="shared" si="117"/>
        <v>8.5236996140309511</v>
      </c>
      <c r="CX94" s="116">
        <f t="shared" si="118"/>
        <v>58418.28365512428</v>
      </c>
      <c r="CY94" s="8">
        <f t="shared" si="119"/>
        <v>1.510421846045285</v>
      </c>
      <c r="CZ94" s="8">
        <f t="shared" si="120"/>
        <v>1.2289922074794799</v>
      </c>
      <c r="DA94" s="8">
        <f t="shared" si="121"/>
        <v>1.510421846045285</v>
      </c>
      <c r="DB94" s="8">
        <f t="shared" si="122"/>
        <v>1.2289922074794799</v>
      </c>
      <c r="DC94" s="216">
        <f t="shared" si="123"/>
        <v>8.4481340864405237</v>
      </c>
      <c r="DD94" s="116">
        <f t="shared" si="124"/>
        <v>58940.814237636216</v>
      </c>
      <c r="DE94" s="8">
        <f t="shared" si="125"/>
        <v>1.523932027407547</v>
      </c>
      <c r="DF94" s="8">
        <f t="shared" si="126"/>
        <v>1.234476418327846</v>
      </c>
      <c r="DG94" s="8">
        <f t="shared" si="127"/>
        <v>1.523932027407547</v>
      </c>
      <c r="DH94" s="8">
        <f t="shared" si="128"/>
        <v>1.234476418327846</v>
      </c>
      <c r="DI94" s="216">
        <f t="shared" si="129"/>
        <v>8.4426498755921564</v>
      </c>
      <c r="DJ94" s="116">
        <f t="shared" si="130"/>
        <v>58979.101251502339</v>
      </c>
      <c r="DK94" s="8">
        <f t="shared" si="131"/>
        <v>1.524921949372811</v>
      </c>
      <c r="DL94" s="8">
        <f t="shared" si="132"/>
        <v>1.2348773013432595</v>
      </c>
      <c r="DM94" s="8">
        <f t="shared" si="133"/>
        <v>1.524921949372811</v>
      </c>
      <c r="DN94" s="8">
        <f t="shared" si="134"/>
        <v>1.2348773013432595</v>
      </c>
      <c r="DO94" s="216">
        <f t="shared" si="135"/>
        <v>8.4422489925767419</v>
      </c>
      <c r="DP94" s="116">
        <f t="shared" si="136"/>
        <v>58981.901893840295</v>
      </c>
      <c r="DQ94" s="170">
        <f t="shared" si="137"/>
        <v>1.5249943608013148</v>
      </c>
      <c r="DR94" s="8">
        <f t="shared" si="138"/>
        <v>1.2349066202759278</v>
      </c>
      <c r="DS94" s="8">
        <f t="shared" si="139"/>
        <v>1.5249943608013148</v>
      </c>
      <c r="DT94" s="134">
        <f t="shared" si="140"/>
        <v>1.2349066202759278</v>
      </c>
      <c r="DU94" s="170">
        <f t="shared" si="258"/>
        <v>1.7233950944186762</v>
      </c>
      <c r="DV94" s="170">
        <f t="shared" si="258"/>
        <v>1.3127814343669995</v>
      </c>
      <c r="DW94" s="170">
        <f t="shared" si="258"/>
        <v>1.7233950944186762</v>
      </c>
      <c r="DX94" s="272">
        <f t="shared" si="258"/>
        <v>1.3127814343669995</v>
      </c>
      <c r="DY94" s="272">
        <f t="shared" si="142"/>
        <v>7.0515634251860044</v>
      </c>
      <c r="DZ94" s="22">
        <f t="shared" si="273"/>
        <v>595.80173670750446</v>
      </c>
      <c r="EA94" s="216">
        <f t="shared" si="274"/>
        <v>3.903444896982998E-2</v>
      </c>
      <c r="EB94" s="12">
        <f t="shared" si="143"/>
        <v>5</v>
      </c>
      <c r="EC94" s="7">
        <f>ROUND(MAX(DV94,DX94)/'Inputs-Imperial'!$E$21,0)</f>
        <v>11</v>
      </c>
      <c r="ED94" s="12">
        <f t="shared" si="144"/>
        <v>11</v>
      </c>
      <c r="EE94" s="2">
        <f t="shared" si="145"/>
        <v>6</v>
      </c>
      <c r="EF94" s="127">
        <f t="shared" si="146"/>
        <v>6</v>
      </c>
      <c r="EG94" s="2">
        <f t="shared" si="147"/>
        <v>4.724409448818899E-2</v>
      </c>
      <c r="EH94" s="8">
        <f t="shared" si="275"/>
        <v>0.41079009411844097</v>
      </c>
      <c r="EI94" s="138">
        <f t="shared" si="148"/>
        <v>0.5</v>
      </c>
      <c r="EJ94" s="12">
        <f t="shared" si="276"/>
        <v>11350.023084277957</v>
      </c>
      <c r="EK94" s="138">
        <f t="shared" si="149"/>
        <v>0.5</v>
      </c>
      <c r="EL94" s="116">
        <f t="shared" si="150"/>
        <v>2175570</v>
      </c>
      <c r="EM94" s="2">
        <f t="shared" si="277"/>
        <v>4.724409448818899E-2</v>
      </c>
      <c r="EN94" s="8">
        <f t="shared" si="151"/>
        <v>9.6771262939200025</v>
      </c>
      <c r="EO94" s="116">
        <f t="shared" si="152"/>
        <v>2610.6840000000002</v>
      </c>
      <c r="EP94" s="217">
        <f t="shared" si="153"/>
        <v>1.0373211181690436</v>
      </c>
      <c r="EQ94" s="207">
        <f t="shared" si="154"/>
        <v>2</v>
      </c>
      <c r="ER94" s="144">
        <f t="shared" si="155"/>
        <v>28660.911754198831</v>
      </c>
      <c r="ES94" s="138">
        <f t="shared" si="278"/>
        <v>0.5</v>
      </c>
      <c r="ET94" s="116">
        <f t="shared" si="156"/>
        <v>2175570</v>
      </c>
      <c r="EU94" s="2">
        <f t="shared" si="279"/>
        <v>4.724409448818899E-2</v>
      </c>
      <c r="EV94" s="8">
        <f t="shared" si="157"/>
        <v>9.6771262939200025</v>
      </c>
      <c r="EW94" s="116">
        <f t="shared" si="158"/>
        <v>2610.6840000000002</v>
      </c>
      <c r="EX94" s="217">
        <f t="shared" si="159"/>
        <v>1.0373211181690436</v>
      </c>
      <c r="EY94" s="207">
        <f t="shared" si="160"/>
        <v>2</v>
      </c>
      <c r="EZ94" s="144">
        <f t="shared" si="161"/>
        <v>28660.911754198831</v>
      </c>
      <c r="FA94" s="138">
        <f t="shared" si="280"/>
        <v>0.5</v>
      </c>
      <c r="FB94" s="116">
        <f t="shared" si="162"/>
        <v>2175570</v>
      </c>
      <c r="FC94" s="2">
        <f t="shared" si="281"/>
        <v>4.724409448818899E-2</v>
      </c>
      <c r="FD94" s="8">
        <f t="shared" si="163"/>
        <v>9.6771262939200025</v>
      </c>
      <c r="FE94" s="116">
        <f t="shared" si="164"/>
        <v>2610.6840000000002</v>
      </c>
      <c r="FF94" s="217">
        <f t="shared" si="165"/>
        <v>1.0373211181690436</v>
      </c>
      <c r="FG94" s="207">
        <f t="shared" si="166"/>
        <v>2</v>
      </c>
      <c r="FH94" s="144">
        <f t="shared" si="167"/>
        <v>28660.911754198831</v>
      </c>
      <c r="FI94" s="128">
        <f t="shared" si="168"/>
        <v>0.5</v>
      </c>
      <c r="FJ94" s="2">
        <f t="shared" si="169"/>
        <v>4.724409448818899E-2</v>
      </c>
      <c r="FK94" s="127">
        <f t="shared" si="170"/>
        <v>4.724409448818899E-2</v>
      </c>
      <c r="FL94" s="216">
        <f t="shared" si="171"/>
        <v>0</v>
      </c>
      <c r="FM94" s="138">
        <f t="shared" si="172"/>
        <v>0.5</v>
      </c>
      <c r="FN94" s="138">
        <f t="shared" si="173"/>
        <v>0</v>
      </c>
      <c r="FO94" s="238">
        <f t="shared" si="174"/>
        <v>0</v>
      </c>
      <c r="FP94" s="216">
        <f t="shared" si="282"/>
        <v>0</v>
      </c>
      <c r="FQ94" s="138">
        <f t="shared" si="283"/>
        <v>0.5</v>
      </c>
      <c r="FR94" s="138">
        <f t="shared" si="284"/>
        <v>0</v>
      </c>
      <c r="FS94" s="238">
        <f t="shared" si="285"/>
        <v>0</v>
      </c>
      <c r="FT94" s="216">
        <f t="shared" si="175"/>
        <v>0</v>
      </c>
      <c r="FU94" s="138">
        <f t="shared" si="176"/>
        <v>4.724409448818899E-2</v>
      </c>
      <c r="FV94" s="138">
        <f t="shared" si="177"/>
        <v>0</v>
      </c>
      <c r="FW94" s="238">
        <f t="shared" si="178"/>
        <v>0</v>
      </c>
      <c r="FX94" s="216">
        <f t="shared" si="286"/>
        <v>0</v>
      </c>
      <c r="FY94" s="138">
        <f t="shared" si="287"/>
        <v>5.5118110236220486E-2</v>
      </c>
      <c r="FZ94" s="138">
        <f t="shared" si="288"/>
        <v>0</v>
      </c>
      <c r="GA94" s="238">
        <f t="shared" si="289"/>
        <v>0</v>
      </c>
      <c r="GB94" s="216">
        <f t="shared" si="179"/>
        <v>0</v>
      </c>
      <c r="GC94" s="138">
        <f t="shared" si="180"/>
        <v>4.724409448818899E-2</v>
      </c>
      <c r="GD94" s="138">
        <f t="shared" si="181"/>
        <v>0</v>
      </c>
      <c r="GE94" s="238">
        <f t="shared" si="182"/>
        <v>0</v>
      </c>
      <c r="GF94" s="216">
        <f t="shared" si="290"/>
        <v>0</v>
      </c>
      <c r="GG94" s="138">
        <f t="shared" si="291"/>
        <v>5.5118110236220486E-2</v>
      </c>
      <c r="GH94" s="138">
        <f t="shared" si="292"/>
        <v>0</v>
      </c>
      <c r="GI94" s="238">
        <f t="shared" si="293"/>
        <v>0</v>
      </c>
      <c r="GJ94" s="216">
        <f t="shared" si="183"/>
        <v>0.5</v>
      </c>
      <c r="GK94" s="216">
        <f t="shared" si="184"/>
        <v>5.5118110236220486E-2</v>
      </c>
      <c r="GL94" s="17">
        <f t="shared" si="185"/>
        <v>5.5118110236220486E-2</v>
      </c>
      <c r="GM94" s="216">
        <f t="shared" si="294"/>
        <v>2.1143476901089808E-2</v>
      </c>
      <c r="GN94" s="2">
        <f t="shared" si="187"/>
        <v>3</v>
      </c>
      <c r="GO94" s="2">
        <f t="shared" si="188"/>
        <v>2</v>
      </c>
      <c r="GP94" s="142">
        <f t="shared" si="189"/>
        <v>2</v>
      </c>
      <c r="GQ94" s="2">
        <f t="shared" si="190"/>
        <v>1.5748031496062995E-2</v>
      </c>
      <c r="GR94" s="8">
        <f t="shared" si="295"/>
        <v>0.22250937557496656</v>
      </c>
      <c r="GS94" s="138">
        <f t="shared" si="191"/>
        <v>0.25</v>
      </c>
      <c r="GT94" s="12">
        <f t="shared" si="296"/>
        <v>18443.627916567901</v>
      </c>
      <c r="GU94" s="138">
        <f t="shared" si="192"/>
        <v>0.25</v>
      </c>
      <c r="GV94" s="116">
        <f t="shared" si="193"/>
        <v>2175570</v>
      </c>
      <c r="GW94" s="2">
        <f t="shared" si="297"/>
        <v>4.724409448818899E-2</v>
      </c>
      <c r="GX94" s="8">
        <f t="shared" si="298"/>
        <v>4.8385631469600012</v>
      </c>
      <c r="GY94" s="116">
        <f t="shared" si="194"/>
        <v>2610.6840000000002</v>
      </c>
      <c r="GZ94" s="217">
        <f t="shared" si="195"/>
        <v>2.0746422363380872</v>
      </c>
      <c r="HA94" s="207">
        <f t="shared" si="196"/>
        <v>2</v>
      </c>
      <c r="HB94" s="144">
        <f t="shared" si="197"/>
        <v>28660.911754198831</v>
      </c>
      <c r="HC94" s="138">
        <f t="shared" si="299"/>
        <v>0.25</v>
      </c>
      <c r="HD94" s="116">
        <f t="shared" si="198"/>
        <v>2175570</v>
      </c>
      <c r="HE94" s="2">
        <f t="shared" si="300"/>
        <v>4.724409448818899E-2</v>
      </c>
      <c r="HF94" s="8">
        <f t="shared" si="199"/>
        <v>4.8385631469600012</v>
      </c>
      <c r="HG94" s="116">
        <f t="shared" si="200"/>
        <v>2610.6840000000002</v>
      </c>
      <c r="HH94" s="217">
        <f t="shared" si="201"/>
        <v>2.0746422363380872</v>
      </c>
      <c r="HI94" s="207">
        <f t="shared" si="202"/>
        <v>2</v>
      </c>
      <c r="HJ94" s="144">
        <f t="shared" si="203"/>
        <v>28660.911754198831</v>
      </c>
      <c r="HK94" s="138">
        <f t="shared" si="301"/>
        <v>0.25</v>
      </c>
      <c r="HL94" s="116">
        <f t="shared" si="204"/>
        <v>2175570</v>
      </c>
      <c r="HM94" s="2">
        <f t="shared" si="302"/>
        <v>4.724409448818899E-2</v>
      </c>
      <c r="HN94" s="8">
        <f t="shared" si="205"/>
        <v>4.8385631469600012</v>
      </c>
      <c r="HO94" s="116">
        <f t="shared" si="206"/>
        <v>2610.6840000000002</v>
      </c>
      <c r="HP94" s="217">
        <f t="shared" si="207"/>
        <v>2.0746422363380872</v>
      </c>
      <c r="HQ94" s="207">
        <f t="shared" si="208"/>
        <v>2</v>
      </c>
      <c r="HR94" s="144">
        <f t="shared" si="209"/>
        <v>28660.911754198831</v>
      </c>
      <c r="HS94" s="128">
        <f t="shared" si="210"/>
        <v>0.25</v>
      </c>
      <c r="HT94" s="2">
        <f t="shared" si="211"/>
        <v>1.5748031496062995E-2</v>
      </c>
      <c r="HU94" s="127">
        <f t="shared" si="212"/>
        <v>1.5748031496062995E-2</v>
      </c>
      <c r="HV94" s="216">
        <f t="shared" si="213"/>
        <v>0</v>
      </c>
      <c r="HW94" s="138">
        <f t="shared" si="214"/>
        <v>0.25</v>
      </c>
      <c r="HX94" s="138">
        <f t="shared" si="215"/>
        <v>0</v>
      </c>
      <c r="HY94" s="238">
        <f t="shared" si="216"/>
        <v>0</v>
      </c>
      <c r="HZ94" s="138">
        <f t="shared" si="217"/>
        <v>0</v>
      </c>
      <c r="IA94" s="138">
        <f t="shared" si="218"/>
        <v>0.5</v>
      </c>
      <c r="IB94" s="138">
        <f t="shared" si="219"/>
        <v>0</v>
      </c>
      <c r="IC94" s="138">
        <f t="shared" si="220"/>
        <v>0</v>
      </c>
      <c r="ID94" s="216">
        <f t="shared" si="221"/>
        <v>0</v>
      </c>
      <c r="IE94" s="138">
        <f t="shared" si="222"/>
        <v>1.5748031496062995E-2</v>
      </c>
      <c r="IF94" s="138">
        <f t="shared" si="223"/>
        <v>0</v>
      </c>
      <c r="IG94" s="238">
        <f t="shared" si="224"/>
        <v>0</v>
      </c>
      <c r="IH94" s="138">
        <f t="shared" si="225"/>
        <v>0</v>
      </c>
      <c r="II94" s="138">
        <f t="shared" si="226"/>
        <v>1.5748031496062995E-2</v>
      </c>
      <c r="IJ94" s="138">
        <f t="shared" si="227"/>
        <v>0</v>
      </c>
      <c r="IK94" s="138">
        <f t="shared" si="228"/>
        <v>0</v>
      </c>
      <c r="IL94" s="216">
        <f t="shared" si="229"/>
        <v>0</v>
      </c>
      <c r="IM94" s="138">
        <f t="shared" si="230"/>
        <v>1.5748031496062995E-2</v>
      </c>
      <c r="IN94" s="138">
        <f t="shared" si="231"/>
        <v>0</v>
      </c>
      <c r="IO94" s="238">
        <f t="shared" si="232"/>
        <v>0</v>
      </c>
      <c r="IP94" s="138">
        <f t="shared" si="233"/>
        <v>0</v>
      </c>
      <c r="IQ94" s="138">
        <f t="shared" si="234"/>
        <v>1.5748031496062995E-2</v>
      </c>
      <c r="IR94" s="138">
        <f t="shared" si="235"/>
        <v>0</v>
      </c>
      <c r="IS94" s="138">
        <f t="shared" si="236"/>
        <v>0</v>
      </c>
      <c r="IT94" s="17">
        <f t="shared" si="237"/>
        <v>0.5</v>
      </c>
      <c r="IU94" s="17">
        <f t="shared" si="238"/>
        <v>1.5748031496062995E-2</v>
      </c>
      <c r="IV94" s="17">
        <f t="shared" si="239"/>
        <v>1.5748031496062995E-2</v>
      </c>
      <c r="IW94" s="253">
        <f t="shared" si="240"/>
        <v>26.880906372000009</v>
      </c>
      <c r="IX94" s="116">
        <f t="shared" si="303"/>
        <v>1852.3925307898219</v>
      </c>
      <c r="IY94" s="8">
        <f t="shared" si="242"/>
        <v>4.7894151811675778E-2</v>
      </c>
      <c r="IZ94" s="8">
        <f t="shared" si="243"/>
        <v>4.7894151811675778E-2</v>
      </c>
      <c r="JA94" s="8">
        <f t="shared" si="244"/>
        <v>2.3947075905837889E-2</v>
      </c>
      <c r="JB94" s="134">
        <f t="shared" si="245"/>
        <v>0.15474842779762865</v>
      </c>
      <c r="JC94" s="170">
        <f t="shared" si="259"/>
        <v>2.6878791448952534E-2</v>
      </c>
      <c r="JD94" s="272">
        <f t="shared" si="260"/>
        <v>0.16394752651062636</v>
      </c>
      <c r="JE94" s="8"/>
      <c r="JF94" s="8"/>
    </row>
    <row r="95" spans="1:266" x14ac:dyDescent="0.25">
      <c r="A95" s="186">
        <v>35</v>
      </c>
      <c r="B95" s="187">
        <f>A95/100*'Inputs-Imperial'!$E$5</f>
        <v>8.4284779599999986</v>
      </c>
      <c r="C95" s="188">
        <f>'Inputs-Imperial'!$E$10+('Inputs-Imperial'!$E$9-'Inputs-Imperial'!$E$10)*(100-A95)/100</f>
        <v>4.4623525050000001</v>
      </c>
      <c r="D95" s="187">
        <f t="shared" si="248"/>
        <v>0.24081365599999849</v>
      </c>
      <c r="E95" s="188">
        <f t="shared" si="249"/>
        <v>1.0767384888811489</v>
      </c>
      <c r="F95" s="423">
        <f>Loads!P55</f>
        <v>565.58912634476724</v>
      </c>
      <c r="G95" s="423">
        <f>Loads!M55</f>
        <v>5655.8912634476728</v>
      </c>
      <c r="H95" s="423">
        <f>Loads!N55</f>
        <v>40106.544889133365</v>
      </c>
      <c r="I95" s="423">
        <f>Loads!V55</f>
        <v>-12076.929303813051</v>
      </c>
      <c r="J95" s="423">
        <f>Loads!Q55</f>
        <v>4010.6544889133365</v>
      </c>
      <c r="K95" s="2">
        <v>35</v>
      </c>
      <c r="L95" s="12">
        <f t="shared" si="41"/>
        <v>101.14173551999998</v>
      </c>
      <c r="M95" s="11">
        <f t="shared" si="42"/>
        <v>53.548230060000002</v>
      </c>
      <c r="N95" s="11">
        <f t="shared" si="43"/>
        <v>2.8897638719999819</v>
      </c>
      <c r="O95" s="152">
        <f t="shared" si="44"/>
        <v>155.05034239888545</v>
      </c>
      <c r="P95" s="151">
        <f t="shared" si="45"/>
        <v>565.58912634476724</v>
      </c>
      <c r="Q95" s="12">
        <f t="shared" si="46"/>
        <v>5655.8912634476728</v>
      </c>
      <c r="R95" s="12">
        <f t="shared" si="47"/>
        <v>481278.53866960038</v>
      </c>
      <c r="S95" s="12">
        <f t="shared" si="48"/>
        <v>-144923.15164575662</v>
      </c>
      <c r="T95" s="152">
        <f t="shared" si="49"/>
        <v>48127.853866960038</v>
      </c>
      <c r="U95" s="8">
        <f t="shared" si="261"/>
        <v>9.6386814108000003</v>
      </c>
      <c r="V95" s="8">
        <f t="shared" si="262"/>
        <v>9.6386814108000003</v>
      </c>
      <c r="W95" s="134">
        <f t="shared" si="263"/>
        <v>4.8193407054000001</v>
      </c>
      <c r="X95" s="311">
        <f t="shared" si="264"/>
        <v>13.387057515</v>
      </c>
      <c r="Y95" s="11">
        <f t="shared" si="265"/>
        <v>40.161172544999999</v>
      </c>
      <c r="Z95" s="11">
        <f t="shared" si="266"/>
        <v>26.774115029999997</v>
      </c>
      <c r="AA95" s="316">
        <f t="shared" si="50"/>
        <v>40.161172544999999</v>
      </c>
      <c r="AB95" s="170">
        <f t="shared" si="51"/>
        <v>7.2290110581000002</v>
      </c>
      <c r="AC95" s="11">
        <f t="shared" si="52"/>
        <v>40.161172544999999</v>
      </c>
      <c r="AD95" s="152">
        <f t="shared" si="53"/>
        <v>228.02116195225119</v>
      </c>
      <c r="AE95" s="151">
        <f t="shared" si="267"/>
        <v>14.082983401717989</v>
      </c>
      <c r="AF95" s="12">
        <f t="shared" si="268"/>
        <v>317.78443370116736</v>
      </c>
      <c r="AG95" s="216">
        <f t="shared" si="269"/>
        <v>2.1742571327903769E-2</v>
      </c>
      <c r="AH95" s="2">
        <f t="shared" si="55"/>
        <v>3</v>
      </c>
      <c r="AI95" s="2">
        <f t="shared" si="56"/>
        <v>3</v>
      </c>
      <c r="AJ95" s="127">
        <f t="shared" si="57"/>
        <v>2</v>
      </c>
      <c r="AK95" s="2">
        <f t="shared" si="58"/>
        <v>1.5748031496062995E-2</v>
      </c>
      <c r="AL95" s="8">
        <f t="shared" si="270"/>
        <v>0.22881411568201804</v>
      </c>
      <c r="AM95" s="138">
        <f t="shared" si="59"/>
        <v>0.25</v>
      </c>
      <c r="AN95" s="12">
        <f t="shared" si="271"/>
        <v>18966.222887429893</v>
      </c>
      <c r="AO95" s="138">
        <f t="shared" si="60"/>
        <v>0.25</v>
      </c>
      <c r="AP95" s="116">
        <f t="shared" si="61"/>
        <v>2175570</v>
      </c>
      <c r="AQ95" s="2">
        <f t="shared" si="62"/>
        <v>1.5748031496062995E-2</v>
      </c>
      <c r="AR95" s="8">
        <f t="shared" si="63"/>
        <v>26.774115029999997</v>
      </c>
      <c r="AS95" s="116">
        <f t="shared" si="64"/>
        <v>2610.6840000000002</v>
      </c>
      <c r="AT95" s="217">
        <f t="shared" si="65"/>
        <v>2.2585231018868744E-2</v>
      </c>
      <c r="AU95" s="207">
        <f t="shared" si="66"/>
        <v>4.913575267949736</v>
      </c>
      <c r="AV95" s="144">
        <f t="shared" si="67"/>
        <v>2299.6418109200345</v>
      </c>
      <c r="AW95" s="138">
        <f t="shared" si="68"/>
        <v>2.25</v>
      </c>
      <c r="AX95" s="116">
        <f t="shared" si="69"/>
        <v>2175570</v>
      </c>
      <c r="AY95" s="2">
        <f t="shared" si="70"/>
        <v>1.5748031496062995E-2</v>
      </c>
      <c r="AZ95" s="8">
        <f t="shared" si="71"/>
        <v>26.774115029999997</v>
      </c>
      <c r="BA95" s="116">
        <f t="shared" si="72"/>
        <v>2610.6840000000002</v>
      </c>
      <c r="BB95" s="217">
        <f t="shared" si="73"/>
        <v>0.20326707916981868</v>
      </c>
      <c r="BC95" s="207">
        <f t="shared" si="74"/>
        <v>3.081434689780127</v>
      </c>
      <c r="BD95" s="144">
        <f t="shared" si="75"/>
        <v>116815.52612274591</v>
      </c>
      <c r="BE95" s="138">
        <f t="shared" si="76"/>
        <v>2.25</v>
      </c>
      <c r="BF95" s="116">
        <f t="shared" si="77"/>
        <v>2175570</v>
      </c>
      <c r="BG95" s="2">
        <f t="shared" si="78"/>
        <v>1.5748031496062995E-2</v>
      </c>
      <c r="BH95" s="8">
        <f t="shared" si="79"/>
        <v>26.774115029999997</v>
      </c>
      <c r="BI95" s="116">
        <f t="shared" si="80"/>
        <v>2610.6840000000002</v>
      </c>
      <c r="BJ95" s="217">
        <f t="shared" si="81"/>
        <v>0.20326707916981868</v>
      </c>
      <c r="BK95" s="207">
        <f t="shared" si="82"/>
        <v>3.081434689780127</v>
      </c>
      <c r="BL95" s="144">
        <f t="shared" si="83"/>
        <v>116815.52612274591</v>
      </c>
      <c r="BM95" s="216">
        <f t="shared" si="84"/>
        <v>2.25</v>
      </c>
      <c r="BN95" s="216">
        <f t="shared" si="85"/>
        <v>2.3622047244094495E-2</v>
      </c>
      <c r="BO95" s="238">
        <f t="shared" si="86"/>
        <v>1.5748031496062995E-2</v>
      </c>
      <c r="BP95" s="216">
        <f t="shared" si="87"/>
        <v>0</v>
      </c>
      <c r="BQ95" s="138">
        <f t="shared" si="88"/>
        <v>2.25</v>
      </c>
      <c r="BR95" s="138">
        <f t="shared" si="89"/>
        <v>0</v>
      </c>
      <c r="BS95" s="238">
        <f t="shared" si="90"/>
        <v>0</v>
      </c>
      <c r="BT95" s="138">
        <f t="shared" si="91"/>
        <v>0</v>
      </c>
      <c r="BU95" s="138">
        <f t="shared" si="92"/>
        <v>2.5</v>
      </c>
      <c r="BV95" s="138">
        <f t="shared" si="93"/>
        <v>0</v>
      </c>
      <c r="BW95" s="238">
        <f t="shared" si="94"/>
        <v>0</v>
      </c>
      <c r="BX95" s="216">
        <f t="shared" si="95"/>
        <v>0</v>
      </c>
      <c r="BY95" s="138">
        <f t="shared" si="96"/>
        <v>2.3622047244094495E-2</v>
      </c>
      <c r="BZ95" s="138">
        <f t="shared" si="97"/>
        <v>0</v>
      </c>
      <c r="CA95" s="238">
        <f t="shared" si="98"/>
        <v>0</v>
      </c>
      <c r="CB95" s="138">
        <f t="shared" si="99"/>
        <v>0</v>
      </c>
      <c r="CC95" s="138">
        <f t="shared" si="100"/>
        <v>2.3622047244094495E-2</v>
      </c>
      <c r="CD95" s="138">
        <f t="shared" si="101"/>
        <v>0</v>
      </c>
      <c r="CE95" s="238">
        <f t="shared" si="102"/>
        <v>0</v>
      </c>
      <c r="CF95" s="216">
        <f t="shared" si="103"/>
        <v>0</v>
      </c>
      <c r="CG95" s="138">
        <f t="shared" si="104"/>
        <v>1.5748031496062995E-2</v>
      </c>
      <c r="CH95" s="138">
        <f t="shared" si="105"/>
        <v>0</v>
      </c>
      <c r="CI95" s="238">
        <f t="shared" si="106"/>
        <v>0</v>
      </c>
      <c r="CJ95" s="138">
        <f t="shared" si="107"/>
        <v>0</v>
      </c>
      <c r="CK95" s="138">
        <f t="shared" si="108"/>
        <v>1.5748031496062995E-2</v>
      </c>
      <c r="CL95" s="138">
        <f t="shared" si="109"/>
        <v>0</v>
      </c>
      <c r="CM95" s="238">
        <f t="shared" si="110"/>
        <v>0</v>
      </c>
      <c r="CN95" s="17">
        <f t="shared" si="111"/>
        <v>2.5</v>
      </c>
      <c r="CO95" s="17">
        <f t="shared" si="112"/>
        <v>2.3622047244094495E-2</v>
      </c>
      <c r="CP95" s="17">
        <f t="shared" si="113"/>
        <v>1.5748031496062995E-2</v>
      </c>
      <c r="CQ95" s="17">
        <f>$U95-IF('Inputs-Imperial'!$E$13,0,2)*($CO95+$CN95+$CP95)</f>
        <v>9.6386814108000003</v>
      </c>
      <c r="CR95" s="116">
        <f t="shared" si="114"/>
        <v>49931.989465938241</v>
      </c>
      <c r="CS95" s="8">
        <f t="shared" si="10"/>
        <v>1.2910062224883712</v>
      </c>
      <c r="CT95" s="8">
        <f t="shared" si="115"/>
        <v>1.1362245475645962</v>
      </c>
      <c r="CU95" s="8">
        <f t="shared" si="272"/>
        <v>1.2910062224883712</v>
      </c>
      <c r="CV95" s="8">
        <f t="shared" si="116"/>
        <v>1.1362245475645962</v>
      </c>
      <c r="CW95" s="216">
        <f t="shared" si="117"/>
        <v>8.5024568632354054</v>
      </c>
      <c r="CX95" s="116">
        <f t="shared" si="118"/>
        <v>56604.643388506578</v>
      </c>
      <c r="CY95" s="8">
        <f t="shared" si="119"/>
        <v>1.4635296453818976</v>
      </c>
      <c r="CZ95" s="8">
        <f t="shared" si="120"/>
        <v>1.2097642933158086</v>
      </c>
      <c r="DA95" s="8">
        <f t="shared" si="121"/>
        <v>1.4635296453818976</v>
      </c>
      <c r="DB95" s="8">
        <f t="shared" si="122"/>
        <v>1.2097642933158086</v>
      </c>
      <c r="DC95" s="216">
        <f t="shared" si="123"/>
        <v>8.4289171174841933</v>
      </c>
      <c r="DD95" s="116">
        <f t="shared" si="124"/>
        <v>57098.501736513594</v>
      </c>
      <c r="DE95" s="8">
        <f t="shared" si="125"/>
        <v>1.476298497717329</v>
      </c>
      <c r="DF95" s="8">
        <f t="shared" si="126"/>
        <v>1.2150302455977502</v>
      </c>
      <c r="DG95" s="8">
        <f t="shared" si="127"/>
        <v>1.476298497717329</v>
      </c>
      <c r="DH95" s="8">
        <f t="shared" si="128"/>
        <v>1.2150302455977502</v>
      </c>
      <c r="DI95" s="216">
        <f t="shared" si="129"/>
        <v>8.4236511652022514</v>
      </c>
      <c r="DJ95" s="116">
        <f t="shared" si="130"/>
        <v>57134.19623283331</v>
      </c>
      <c r="DK95" s="8">
        <f t="shared" si="131"/>
        <v>1.4772213893815751</v>
      </c>
      <c r="DL95" s="8">
        <f t="shared" si="132"/>
        <v>1.2154099676165138</v>
      </c>
      <c r="DM95" s="8">
        <f t="shared" si="133"/>
        <v>1.4772213893815751</v>
      </c>
      <c r="DN95" s="8">
        <f t="shared" si="134"/>
        <v>1.2154099676165138</v>
      </c>
      <c r="DO95" s="216">
        <f t="shared" si="135"/>
        <v>8.4232714431834879</v>
      </c>
      <c r="DP95" s="116">
        <f t="shared" si="136"/>
        <v>57136.771848789685</v>
      </c>
      <c r="DQ95" s="170">
        <f t="shared" si="137"/>
        <v>1.4772879826870289</v>
      </c>
      <c r="DR95" s="8">
        <f t="shared" si="138"/>
        <v>1.2154373627164128</v>
      </c>
      <c r="DS95" s="8">
        <f t="shared" si="139"/>
        <v>1.4772879826870289</v>
      </c>
      <c r="DT95" s="134">
        <f t="shared" si="140"/>
        <v>1.2154373627164128</v>
      </c>
      <c r="DU95" s="170">
        <f t="shared" si="258"/>
        <v>1.7233950944186762</v>
      </c>
      <c r="DV95" s="170">
        <f t="shared" si="258"/>
        <v>1.3127814343669995</v>
      </c>
      <c r="DW95" s="170">
        <f t="shared" si="258"/>
        <v>1.7233950944186762</v>
      </c>
      <c r="DX95" s="272">
        <f t="shared" si="258"/>
        <v>1.3127814343669995</v>
      </c>
      <c r="DY95" s="272">
        <f t="shared" si="142"/>
        <v>7.0131185420660005</v>
      </c>
      <c r="DZ95" s="22">
        <f t="shared" si="273"/>
        <v>586.79097507158292</v>
      </c>
      <c r="EA95" s="216">
        <f t="shared" si="274"/>
        <v>3.8444101386755788E-2</v>
      </c>
      <c r="EB95" s="12">
        <f t="shared" si="143"/>
        <v>5</v>
      </c>
      <c r="EC95" s="7">
        <f>ROUND(MAX(DV95,DX95)/'Inputs-Imperial'!$E$21,0)</f>
        <v>11</v>
      </c>
      <c r="ED95" s="12">
        <f t="shared" si="144"/>
        <v>11</v>
      </c>
      <c r="EE95" s="2">
        <f t="shared" si="145"/>
        <v>6</v>
      </c>
      <c r="EF95" s="127">
        <f t="shared" si="146"/>
        <v>6</v>
      </c>
      <c r="EG95" s="2">
        <f t="shared" si="147"/>
        <v>4.724409448818899E-2</v>
      </c>
      <c r="EH95" s="8">
        <f t="shared" si="275"/>
        <v>0.40457740390213798</v>
      </c>
      <c r="EI95" s="138">
        <f t="shared" si="148"/>
        <v>0.5</v>
      </c>
      <c r="EJ95" s="12">
        <f t="shared" si="276"/>
        <v>11178.368075113651</v>
      </c>
      <c r="EK95" s="138">
        <f t="shared" si="149"/>
        <v>0.5</v>
      </c>
      <c r="EL95" s="116">
        <f t="shared" si="150"/>
        <v>2175570</v>
      </c>
      <c r="EM95" s="2">
        <f t="shared" si="277"/>
        <v>4.724409448818899E-2</v>
      </c>
      <c r="EN95" s="8">
        <f t="shared" si="151"/>
        <v>9.6386814108000003</v>
      </c>
      <c r="EO95" s="116">
        <f t="shared" si="152"/>
        <v>2610.6840000000002</v>
      </c>
      <c r="EP95" s="217">
        <f t="shared" si="153"/>
        <v>1.0456125471698487</v>
      </c>
      <c r="EQ95" s="207">
        <f t="shared" si="154"/>
        <v>2</v>
      </c>
      <c r="ER95" s="144">
        <f t="shared" si="155"/>
        <v>28890.00177342811</v>
      </c>
      <c r="ES95" s="138">
        <f t="shared" si="278"/>
        <v>0.5</v>
      </c>
      <c r="ET95" s="116">
        <f t="shared" si="156"/>
        <v>2175570</v>
      </c>
      <c r="EU95" s="2">
        <f t="shared" si="279"/>
        <v>4.724409448818899E-2</v>
      </c>
      <c r="EV95" s="8">
        <f t="shared" si="157"/>
        <v>9.6386814108000003</v>
      </c>
      <c r="EW95" s="116">
        <f t="shared" si="158"/>
        <v>2610.6840000000002</v>
      </c>
      <c r="EX95" s="217">
        <f t="shared" si="159"/>
        <v>1.0456125471698487</v>
      </c>
      <c r="EY95" s="207">
        <f t="shared" si="160"/>
        <v>2</v>
      </c>
      <c r="EZ95" s="144">
        <f t="shared" si="161"/>
        <v>28890.00177342811</v>
      </c>
      <c r="FA95" s="138">
        <f t="shared" si="280"/>
        <v>0.5</v>
      </c>
      <c r="FB95" s="116">
        <f t="shared" si="162"/>
        <v>2175570</v>
      </c>
      <c r="FC95" s="2">
        <f t="shared" si="281"/>
        <v>4.724409448818899E-2</v>
      </c>
      <c r="FD95" s="8">
        <f t="shared" si="163"/>
        <v>9.6386814108000003</v>
      </c>
      <c r="FE95" s="116">
        <f t="shared" si="164"/>
        <v>2610.6840000000002</v>
      </c>
      <c r="FF95" s="217">
        <f t="shared" si="165"/>
        <v>1.0456125471698487</v>
      </c>
      <c r="FG95" s="207">
        <f t="shared" si="166"/>
        <v>2</v>
      </c>
      <c r="FH95" s="144">
        <f t="shared" si="167"/>
        <v>28890.00177342811</v>
      </c>
      <c r="FI95" s="128">
        <f t="shared" si="168"/>
        <v>0.5</v>
      </c>
      <c r="FJ95" s="2">
        <f t="shared" si="169"/>
        <v>4.724409448818899E-2</v>
      </c>
      <c r="FK95" s="127">
        <f t="shared" si="170"/>
        <v>4.724409448818899E-2</v>
      </c>
      <c r="FL95" s="216">
        <f t="shared" si="171"/>
        <v>0</v>
      </c>
      <c r="FM95" s="138">
        <f t="shared" si="172"/>
        <v>0.5</v>
      </c>
      <c r="FN95" s="138">
        <f t="shared" si="173"/>
        <v>0</v>
      </c>
      <c r="FO95" s="238">
        <f t="shared" si="174"/>
        <v>0</v>
      </c>
      <c r="FP95" s="216">
        <f t="shared" si="282"/>
        <v>0</v>
      </c>
      <c r="FQ95" s="138">
        <f t="shared" si="283"/>
        <v>0.5</v>
      </c>
      <c r="FR95" s="138">
        <f t="shared" si="284"/>
        <v>0</v>
      </c>
      <c r="FS95" s="238">
        <f t="shared" si="285"/>
        <v>0</v>
      </c>
      <c r="FT95" s="216">
        <f t="shared" si="175"/>
        <v>0</v>
      </c>
      <c r="FU95" s="138">
        <f t="shared" si="176"/>
        <v>4.724409448818899E-2</v>
      </c>
      <c r="FV95" s="138">
        <f t="shared" si="177"/>
        <v>0</v>
      </c>
      <c r="FW95" s="238">
        <f t="shared" si="178"/>
        <v>0</v>
      </c>
      <c r="FX95" s="216">
        <f t="shared" si="286"/>
        <v>0</v>
      </c>
      <c r="FY95" s="138">
        <f t="shared" si="287"/>
        <v>5.5118110236220486E-2</v>
      </c>
      <c r="FZ95" s="138">
        <f t="shared" si="288"/>
        <v>0</v>
      </c>
      <c r="GA95" s="238">
        <f t="shared" si="289"/>
        <v>0</v>
      </c>
      <c r="GB95" s="216">
        <f t="shared" si="179"/>
        <v>0</v>
      </c>
      <c r="GC95" s="138">
        <f t="shared" si="180"/>
        <v>4.724409448818899E-2</v>
      </c>
      <c r="GD95" s="138">
        <f t="shared" si="181"/>
        <v>0</v>
      </c>
      <c r="GE95" s="238">
        <f t="shared" si="182"/>
        <v>0</v>
      </c>
      <c r="GF95" s="216">
        <f t="shared" si="290"/>
        <v>0</v>
      </c>
      <c r="GG95" s="138">
        <f t="shared" si="291"/>
        <v>5.5118110236220486E-2</v>
      </c>
      <c r="GH95" s="138">
        <f t="shared" si="292"/>
        <v>0</v>
      </c>
      <c r="GI95" s="238">
        <f t="shared" si="293"/>
        <v>0</v>
      </c>
      <c r="GJ95" s="216">
        <f t="shared" si="183"/>
        <v>0.5</v>
      </c>
      <c r="GK95" s="216">
        <f t="shared" si="184"/>
        <v>5.5118110236220486E-2</v>
      </c>
      <c r="GL95" s="17">
        <f t="shared" si="185"/>
        <v>5.5118110236220486E-2</v>
      </c>
      <c r="GM95" s="216">
        <f t="shared" si="294"/>
        <v>2.0819912894621633E-2</v>
      </c>
      <c r="GN95" s="2">
        <f t="shared" si="187"/>
        <v>3</v>
      </c>
      <c r="GO95" s="2">
        <f t="shared" si="188"/>
        <v>2</v>
      </c>
      <c r="GP95" s="142">
        <f t="shared" si="189"/>
        <v>2</v>
      </c>
      <c r="GQ95" s="2">
        <f t="shared" si="190"/>
        <v>1.5748031496062995E-2</v>
      </c>
      <c r="GR95" s="8">
        <f t="shared" si="295"/>
        <v>0.21910425798836672</v>
      </c>
      <c r="GS95" s="138">
        <f t="shared" si="191"/>
        <v>0.25</v>
      </c>
      <c r="GT95" s="12">
        <f t="shared" si="296"/>
        <v>18161.380386021709</v>
      </c>
      <c r="GU95" s="138">
        <f t="shared" si="192"/>
        <v>0.25</v>
      </c>
      <c r="GV95" s="116">
        <f t="shared" si="193"/>
        <v>2175570</v>
      </c>
      <c r="GW95" s="2">
        <f t="shared" si="297"/>
        <v>4.724409448818899E-2</v>
      </c>
      <c r="GX95" s="8">
        <f t="shared" si="298"/>
        <v>4.8193407054000001</v>
      </c>
      <c r="GY95" s="116">
        <f t="shared" si="194"/>
        <v>2610.6840000000002</v>
      </c>
      <c r="GZ95" s="217">
        <f t="shared" si="195"/>
        <v>2.0912250943396975</v>
      </c>
      <c r="HA95" s="207">
        <f t="shared" si="196"/>
        <v>2</v>
      </c>
      <c r="HB95" s="144">
        <f t="shared" si="197"/>
        <v>28890.00177342811</v>
      </c>
      <c r="HC95" s="138">
        <f t="shared" si="299"/>
        <v>0.25</v>
      </c>
      <c r="HD95" s="116">
        <f t="shared" si="198"/>
        <v>2175570</v>
      </c>
      <c r="HE95" s="2">
        <f t="shared" si="300"/>
        <v>4.724409448818899E-2</v>
      </c>
      <c r="HF95" s="8">
        <f t="shared" si="199"/>
        <v>4.8193407054000001</v>
      </c>
      <c r="HG95" s="116">
        <f t="shared" si="200"/>
        <v>2610.6840000000002</v>
      </c>
      <c r="HH95" s="217">
        <f t="shared" si="201"/>
        <v>2.0912250943396975</v>
      </c>
      <c r="HI95" s="207">
        <f t="shared" si="202"/>
        <v>2</v>
      </c>
      <c r="HJ95" s="144">
        <f t="shared" si="203"/>
        <v>28890.00177342811</v>
      </c>
      <c r="HK95" s="138">
        <f t="shared" si="301"/>
        <v>0.25</v>
      </c>
      <c r="HL95" s="116">
        <f t="shared" si="204"/>
        <v>2175570</v>
      </c>
      <c r="HM95" s="2">
        <f t="shared" si="302"/>
        <v>4.724409448818899E-2</v>
      </c>
      <c r="HN95" s="8">
        <f t="shared" si="205"/>
        <v>4.8193407054000001</v>
      </c>
      <c r="HO95" s="116">
        <f t="shared" si="206"/>
        <v>2610.6840000000002</v>
      </c>
      <c r="HP95" s="217">
        <f t="shared" si="207"/>
        <v>2.0912250943396975</v>
      </c>
      <c r="HQ95" s="207">
        <f t="shared" si="208"/>
        <v>2</v>
      </c>
      <c r="HR95" s="144">
        <f t="shared" si="209"/>
        <v>28890.00177342811</v>
      </c>
      <c r="HS95" s="128">
        <f t="shared" si="210"/>
        <v>0.25</v>
      </c>
      <c r="HT95" s="2">
        <f t="shared" si="211"/>
        <v>1.5748031496062995E-2</v>
      </c>
      <c r="HU95" s="127">
        <f t="shared" si="212"/>
        <v>1.5748031496062995E-2</v>
      </c>
      <c r="HV95" s="216">
        <f t="shared" si="213"/>
        <v>0</v>
      </c>
      <c r="HW95" s="138">
        <f t="shared" si="214"/>
        <v>0.25</v>
      </c>
      <c r="HX95" s="138">
        <f t="shared" si="215"/>
        <v>0</v>
      </c>
      <c r="HY95" s="238">
        <f t="shared" si="216"/>
        <v>0</v>
      </c>
      <c r="HZ95" s="138">
        <f t="shared" si="217"/>
        <v>0</v>
      </c>
      <c r="IA95" s="138">
        <f t="shared" si="218"/>
        <v>0.5</v>
      </c>
      <c r="IB95" s="138">
        <f t="shared" si="219"/>
        <v>0</v>
      </c>
      <c r="IC95" s="138">
        <f t="shared" si="220"/>
        <v>0</v>
      </c>
      <c r="ID95" s="216">
        <f t="shared" si="221"/>
        <v>0</v>
      </c>
      <c r="IE95" s="138">
        <f t="shared" si="222"/>
        <v>1.5748031496062995E-2</v>
      </c>
      <c r="IF95" s="138">
        <f t="shared" si="223"/>
        <v>0</v>
      </c>
      <c r="IG95" s="238">
        <f t="shared" si="224"/>
        <v>0</v>
      </c>
      <c r="IH95" s="138">
        <f t="shared" si="225"/>
        <v>0</v>
      </c>
      <c r="II95" s="138">
        <f t="shared" si="226"/>
        <v>1.5748031496062995E-2</v>
      </c>
      <c r="IJ95" s="138">
        <f t="shared" si="227"/>
        <v>0</v>
      </c>
      <c r="IK95" s="138">
        <f t="shared" si="228"/>
        <v>0</v>
      </c>
      <c r="IL95" s="216">
        <f t="shared" si="229"/>
        <v>0</v>
      </c>
      <c r="IM95" s="138">
        <f t="shared" si="230"/>
        <v>1.5748031496062995E-2</v>
      </c>
      <c r="IN95" s="138">
        <f t="shared" si="231"/>
        <v>0</v>
      </c>
      <c r="IO95" s="238">
        <f t="shared" si="232"/>
        <v>0</v>
      </c>
      <c r="IP95" s="138">
        <f t="shared" si="233"/>
        <v>0</v>
      </c>
      <c r="IQ95" s="138">
        <f t="shared" si="234"/>
        <v>1.5748031496062995E-2</v>
      </c>
      <c r="IR95" s="138">
        <f t="shared" si="235"/>
        <v>0</v>
      </c>
      <c r="IS95" s="138">
        <f t="shared" si="236"/>
        <v>0</v>
      </c>
      <c r="IT95" s="17">
        <f t="shared" si="237"/>
        <v>0.5</v>
      </c>
      <c r="IU95" s="17">
        <f t="shared" si="238"/>
        <v>1.5748031496062995E-2</v>
      </c>
      <c r="IV95" s="17">
        <f t="shared" si="239"/>
        <v>1.5748031496062995E-2</v>
      </c>
      <c r="IW95" s="253">
        <f t="shared" si="240"/>
        <v>26.774115029999997</v>
      </c>
      <c r="IX95" s="116">
        <f t="shared" si="303"/>
        <v>1797.5516207737769</v>
      </c>
      <c r="IY95" s="8">
        <f t="shared" si="242"/>
        <v>4.6476224009581374E-2</v>
      </c>
      <c r="IZ95" s="8">
        <f t="shared" si="243"/>
        <v>4.6476224009581374E-2</v>
      </c>
      <c r="JA95" s="8">
        <f t="shared" si="244"/>
        <v>2.3238112004790687E-2</v>
      </c>
      <c r="JB95" s="134">
        <f t="shared" si="245"/>
        <v>0.15244051956350282</v>
      </c>
      <c r="JC95" s="170">
        <f t="shared" si="259"/>
        <v>2.6878791448952534E-2</v>
      </c>
      <c r="JD95" s="272">
        <f t="shared" si="260"/>
        <v>0.16394752651062636</v>
      </c>
      <c r="JE95" s="8"/>
      <c r="JF95" s="8"/>
    </row>
    <row r="96" spans="1:266" x14ac:dyDescent="0.25">
      <c r="A96" s="186">
        <v>36</v>
      </c>
      <c r="B96" s="187">
        <f>A96/100*'Inputs-Imperial'!$E$5</f>
        <v>8.6692916159999989</v>
      </c>
      <c r="C96" s="188">
        <f>'Inputs-Imperial'!$E$10+('Inputs-Imperial'!$E$9-'Inputs-Imperial'!$E$10)*(100-A96)/100</f>
        <v>4.4445539480000003</v>
      </c>
      <c r="D96" s="187">
        <f t="shared" si="248"/>
        <v>0.24081365600000026</v>
      </c>
      <c r="E96" s="188">
        <f t="shared" si="249"/>
        <v>1.0724523532984624</v>
      </c>
      <c r="F96" s="423">
        <f>Loads!P56</f>
        <v>554.65708045259794</v>
      </c>
      <c r="G96" s="423">
        <f>Loads!M56</f>
        <v>5546.5708045259798</v>
      </c>
      <c r="H96" s="423">
        <f>Loads!N56</f>
        <v>38744.52903604407</v>
      </c>
      <c r="I96" s="423">
        <f>Loads!V56</f>
        <v>-11793.490528936545</v>
      </c>
      <c r="J96" s="423">
        <f>Loads!Q56</f>
        <v>3874.4529036044069</v>
      </c>
      <c r="K96" s="2">
        <v>36</v>
      </c>
      <c r="L96" s="12">
        <f t="shared" si="41"/>
        <v>104.03149939199999</v>
      </c>
      <c r="M96" s="11">
        <f t="shared" si="42"/>
        <v>53.334647376000007</v>
      </c>
      <c r="N96" s="11">
        <f t="shared" si="43"/>
        <v>2.8897638720000032</v>
      </c>
      <c r="O96" s="152">
        <f t="shared" si="44"/>
        <v>154.43313887497857</v>
      </c>
      <c r="P96" s="151">
        <f t="shared" si="45"/>
        <v>554.65708045259794</v>
      </c>
      <c r="Q96" s="12">
        <f t="shared" si="46"/>
        <v>5546.5708045259798</v>
      </c>
      <c r="R96" s="12">
        <f t="shared" si="47"/>
        <v>464934.34843252884</v>
      </c>
      <c r="S96" s="12">
        <f t="shared" si="48"/>
        <v>-141521.88634723856</v>
      </c>
      <c r="T96" s="152">
        <f t="shared" si="49"/>
        <v>46493.434843252879</v>
      </c>
      <c r="U96" s="8">
        <f t="shared" si="261"/>
        <v>9.6002365276800017</v>
      </c>
      <c r="V96" s="8">
        <f t="shared" si="262"/>
        <v>9.6002365276800017</v>
      </c>
      <c r="W96" s="134">
        <f t="shared" si="263"/>
        <v>4.8001182638400008</v>
      </c>
      <c r="X96" s="311">
        <f t="shared" si="264"/>
        <v>13.333661844000002</v>
      </c>
      <c r="Y96" s="11">
        <f t="shared" si="265"/>
        <v>40.000985532000001</v>
      </c>
      <c r="Z96" s="11">
        <f t="shared" si="266"/>
        <v>26.667323688</v>
      </c>
      <c r="AA96" s="316">
        <f t="shared" si="50"/>
        <v>40.000985532000001</v>
      </c>
      <c r="AB96" s="170">
        <f t="shared" si="51"/>
        <v>7.2001773957600008</v>
      </c>
      <c r="AC96" s="11">
        <f t="shared" si="52"/>
        <v>40.000985532000001</v>
      </c>
      <c r="AD96" s="152">
        <f t="shared" si="53"/>
        <v>226.20581730010355</v>
      </c>
      <c r="AE96" s="151">
        <f t="shared" si="267"/>
        <v>13.866085374543664</v>
      </c>
      <c r="AF96" s="12">
        <f t="shared" si="268"/>
        <v>312.81663760106528</v>
      </c>
      <c r="AG96" s="216">
        <f t="shared" si="269"/>
        <v>2.1402891756887848E-2</v>
      </c>
      <c r="AH96" s="2">
        <f t="shared" si="55"/>
        <v>3</v>
      </c>
      <c r="AI96" s="2">
        <f t="shared" si="56"/>
        <v>3</v>
      </c>
      <c r="AJ96" s="127">
        <f t="shared" si="57"/>
        <v>2</v>
      </c>
      <c r="AK96" s="2">
        <f t="shared" si="58"/>
        <v>1.5748031496062995E-2</v>
      </c>
      <c r="AL96" s="8">
        <f t="shared" si="270"/>
        <v>0.22523940138143725</v>
      </c>
      <c r="AM96" s="138">
        <f t="shared" si="59"/>
        <v>0.25</v>
      </c>
      <c r="AN96" s="12">
        <f t="shared" si="271"/>
        <v>18669.91761805605</v>
      </c>
      <c r="AO96" s="138">
        <f t="shared" si="60"/>
        <v>0.25</v>
      </c>
      <c r="AP96" s="116">
        <f t="shared" si="61"/>
        <v>2175570</v>
      </c>
      <c r="AQ96" s="2">
        <f t="shared" si="62"/>
        <v>1.5748031496062995E-2</v>
      </c>
      <c r="AR96" s="8">
        <f t="shared" si="63"/>
        <v>26.667323688</v>
      </c>
      <c r="AS96" s="116">
        <f t="shared" si="64"/>
        <v>2610.6840000000002</v>
      </c>
      <c r="AT96" s="217">
        <f t="shared" si="65"/>
        <v>2.2766481787911647E-2</v>
      </c>
      <c r="AU96" s="207">
        <f t="shared" si="66"/>
        <v>4.9106614418596939</v>
      </c>
      <c r="AV96" s="144">
        <f t="shared" si="67"/>
        <v>2316.722205994924</v>
      </c>
      <c r="AW96" s="138">
        <f t="shared" si="68"/>
        <v>2.25</v>
      </c>
      <c r="AX96" s="116">
        <f t="shared" si="69"/>
        <v>2175570</v>
      </c>
      <c r="AY96" s="2">
        <f t="shared" si="70"/>
        <v>1.5748031496062995E-2</v>
      </c>
      <c r="AZ96" s="8">
        <f t="shared" si="71"/>
        <v>26.667323688</v>
      </c>
      <c r="BA96" s="116">
        <f t="shared" si="72"/>
        <v>2610.6840000000002</v>
      </c>
      <c r="BB96" s="217">
        <f t="shared" si="73"/>
        <v>0.20489833609120481</v>
      </c>
      <c r="BC96" s="207">
        <f t="shared" si="74"/>
        <v>3.0719117968178944</v>
      </c>
      <c r="BD96" s="144">
        <f t="shared" si="75"/>
        <v>117389.08802067624</v>
      </c>
      <c r="BE96" s="138">
        <f t="shared" si="76"/>
        <v>2.25</v>
      </c>
      <c r="BF96" s="116">
        <f t="shared" si="77"/>
        <v>2175570</v>
      </c>
      <c r="BG96" s="2">
        <f t="shared" si="78"/>
        <v>1.5748031496062995E-2</v>
      </c>
      <c r="BH96" s="8">
        <f t="shared" si="79"/>
        <v>26.667323688</v>
      </c>
      <c r="BI96" s="116">
        <f t="shared" si="80"/>
        <v>2610.6840000000002</v>
      </c>
      <c r="BJ96" s="217">
        <f t="shared" si="81"/>
        <v>0.20489833609120481</v>
      </c>
      <c r="BK96" s="207">
        <f t="shared" si="82"/>
        <v>3.0719117968178944</v>
      </c>
      <c r="BL96" s="144">
        <f t="shared" si="83"/>
        <v>117389.08802067624</v>
      </c>
      <c r="BM96" s="216">
        <f t="shared" si="84"/>
        <v>2.25</v>
      </c>
      <c r="BN96" s="216">
        <f t="shared" si="85"/>
        <v>2.3622047244094495E-2</v>
      </c>
      <c r="BO96" s="238">
        <f t="shared" si="86"/>
        <v>1.5748031496062995E-2</v>
      </c>
      <c r="BP96" s="216">
        <f t="shared" si="87"/>
        <v>0</v>
      </c>
      <c r="BQ96" s="138">
        <f t="shared" si="88"/>
        <v>2.25</v>
      </c>
      <c r="BR96" s="138">
        <f t="shared" si="89"/>
        <v>0</v>
      </c>
      <c r="BS96" s="238">
        <f t="shared" si="90"/>
        <v>0</v>
      </c>
      <c r="BT96" s="138">
        <f t="shared" si="91"/>
        <v>0</v>
      </c>
      <c r="BU96" s="138">
        <f t="shared" si="92"/>
        <v>2.5</v>
      </c>
      <c r="BV96" s="138">
        <f t="shared" si="93"/>
        <v>0</v>
      </c>
      <c r="BW96" s="238">
        <f t="shared" si="94"/>
        <v>0</v>
      </c>
      <c r="BX96" s="216">
        <f t="shared" si="95"/>
        <v>0</v>
      </c>
      <c r="BY96" s="138">
        <f t="shared" si="96"/>
        <v>2.3622047244094495E-2</v>
      </c>
      <c r="BZ96" s="138">
        <f t="shared" si="97"/>
        <v>0</v>
      </c>
      <c r="CA96" s="238">
        <f t="shared" si="98"/>
        <v>0</v>
      </c>
      <c r="CB96" s="138">
        <f t="shared" si="99"/>
        <v>0</v>
      </c>
      <c r="CC96" s="138">
        <f t="shared" si="100"/>
        <v>2.3622047244094495E-2</v>
      </c>
      <c r="CD96" s="138">
        <f t="shared" si="101"/>
        <v>0</v>
      </c>
      <c r="CE96" s="238">
        <f t="shared" si="102"/>
        <v>0</v>
      </c>
      <c r="CF96" s="216">
        <f t="shared" si="103"/>
        <v>0</v>
      </c>
      <c r="CG96" s="138">
        <f t="shared" si="104"/>
        <v>1.5748031496062995E-2</v>
      </c>
      <c r="CH96" s="138">
        <f t="shared" si="105"/>
        <v>0</v>
      </c>
      <c r="CI96" s="238">
        <f t="shared" si="106"/>
        <v>0</v>
      </c>
      <c r="CJ96" s="138">
        <f t="shared" si="107"/>
        <v>0</v>
      </c>
      <c r="CK96" s="138">
        <f t="shared" si="108"/>
        <v>1.5748031496062995E-2</v>
      </c>
      <c r="CL96" s="138">
        <f t="shared" si="109"/>
        <v>0</v>
      </c>
      <c r="CM96" s="238">
        <f t="shared" si="110"/>
        <v>0</v>
      </c>
      <c r="CN96" s="17">
        <f t="shared" si="111"/>
        <v>2.5</v>
      </c>
      <c r="CO96" s="17">
        <f t="shared" si="112"/>
        <v>2.3622047244094495E-2</v>
      </c>
      <c r="CP96" s="17">
        <f t="shared" si="113"/>
        <v>1.5748031496062995E-2</v>
      </c>
      <c r="CQ96" s="17">
        <f>$U96-IF('Inputs-Imperial'!$E$13,0,2)*($CO96+$CN96+$CP96)</f>
        <v>9.6002365276800017</v>
      </c>
      <c r="CR96" s="116">
        <f t="shared" si="114"/>
        <v>48429.468075291799</v>
      </c>
      <c r="CS96" s="8">
        <f t="shared" si="10"/>
        <v>1.2521580915507953</v>
      </c>
      <c r="CT96" s="8">
        <f t="shared" si="115"/>
        <v>1.1189987004240869</v>
      </c>
      <c r="CU96" s="8">
        <f t="shared" si="272"/>
        <v>1.2521580915507953</v>
      </c>
      <c r="CV96" s="8">
        <f t="shared" si="116"/>
        <v>1.1189987004240869</v>
      </c>
      <c r="CW96" s="216">
        <f t="shared" si="117"/>
        <v>8.4812378272559155</v>
      </c>
      <c r="CX96" s="116">
        <f t="shared" si="118"/>
        <v>54819.161766503283</v>
      </c>
      <c r="CY96" s="8">
        <f t="shared" si="119"/>
        <v>1.4173654947281904</v>
      </c>
      <c r="CZ96" s="8">
        <f t="shared" si="120"/>
        <v>1.1905316017343641</v>
      </c>
      <c r="DA96" s="8">
        <f t="shared" si="121"/>
        <v>1.4173654947281904</v>
      </c>
      <c r="DB96" s="8">
        <f t="shared" si="122"/>
        <v>1.1905316017343641</v>
      </c>
      <c r="DC96" s="216">
        <f t="shared" si="123"/>
        <v>8.409704925945638</v>
      </c>
      <c r="DD96" s="116">
        <f t="shared" si="124"/>
        <v>55285.453238449838</v>
      </c>
      <c r="DE96" s="8">
        <f t="shared" si="125"/>
        <v>1.4294215974033486</v>
      </c>
      <c r="DF96" s="8">
        <f t="shared" si="126"/>
        <v>1.1955842075752543</v>
      </c>
      <c r="DG96" s="8">
        <f t="shared" si="127"/>
        <v>1.4294215974033486</v>
      </c>
      <c r="DH96" s="8">
        <f t="shared" si="128"/>
        <v>1.1955842075752543</v>
      </c>
      <c r="DI96" s="216">
        <f t="shared" si="129"/>
        <v>8.4046523201047467</v>
      </c>
      <c r="DJ96" s="116">
        <f t="shared" si="130"/>
        <v>55318.689069428918</v>
      </c>
      <c r="DK96" s="8">
        <f t="shared" si="131"/>
        <v>1.4302809195545887</v>
      </c>
      <c r="DL96" s="8">
        <f t="shared" si="132"/>
        <v>1.1959435269086032</v>
      </c>
      <c r="DM96" s="8">
        <f t="shared" si="133"/>
        <v>1.4302809195545887</v>
      </c>
      <c r="DN96" s="8">
        <f t="shared" si="134"/>
        <v>1.1959435269086032</v>
      </c>
      <c r="DO96" s="216">
        <f t="shared" si="135"/>
        <v>8.4042930007713981</v>
      </c>
      <c r="DP96" s="116">
        <f t="shared" si="136"/>
        <v>55321.054179078987</v>
      </c>
      <c r="DQ96" s="170">
        <f t="shared" si="137"/>
        <v>1.4303420701577945</v>
      </c>
      <c r="DR96" s="8">
        <f t="shared" si="138"/>
        <v>1.1959690924759696</v>
      </c>
      <c r="DS96" s="8">
        <f t="shared" si="139"/>
        <v>1.4303420701577945</v>
      </c>
      <c r="DT96" s="134">
        <f t="shared" si="140"/>
        <v>1.1959690924759696</v>
      </c>
      <c r="DU96" s="170">
        <f t="shared" si="258"/>
        <v>1.7233950944186762</v>
      </c>
      <c r="DV96" s="170">
        <f t="shared" si="258"/>
        <v>1.3127814343669995</v>
      </c>
      <c r="DW96" s="170">
        <f t="shared" si="258"/>
        <v>1.7233950944186762</v>
      </c>
      <c r="DX96" s="272">
        <f t="shared" si="258"/>
        <v>1.3127814343669995</v>
      </c>
      <c r="DY96" s="272">
        <f t="shared" si="142"/>
        <v>6.9746736589460037</v>
      </c>
      <c r="DZ96" s="22">
        <f t="shared" si="273"/>
        <v>577.75355727265264</v>
      </c>
      <c r="EA96" s="216">
        <f t="shared" si="274"/>
        <v>3.7852007402873089E-2</v>
      </c>
      <c r="EB96" s="12">
        <f t="shared" si="143"/>
        <v>5</v>
      </c>
      <c r="EC96" s="7">
        <f>ROUND(MAX(DV96,DX96)/'Inputs-Imperial'!$E$21,0)</f>
        <v>11</v>
      </c>
      <c r="ED96" s="12">
        <f t="shared" si="144"/>
        <v>11</v>
      </c>
      <c r="EE96" s="2">
        <f t="shared" si="145"/>
        <v>6</v>
      </c>
      <c r="EF96" s="127">
        <f t="shared" si="146"/>
        <v>6</v>
      </c>
      <c r="EG96" s="2">
        <f t="shared" si="147"/>
        <v>4.724409448818899E-2</v>
      </c>
      <c r="EH96" s="8">
        <f t="shared" si="275"/>
        <v>0.39834633494163779</v>
      </c>
      <c r="EI96" s="138">
        <f t="shared" si="148"/>
        <v>0.5</v>
      </c>
      <c r="EJ96" s="12">
        <f t="shared" si="276"/>
        <v>11006.205266044029</v>
      </c>
      <c r="EK96" s="138">
        <f t="shared" si="149"/>
        <v>0.5</v>
      </c>
      <c r="EL96" s="116">
        <f t="shared" si="150"/>
        <v>2175570</v>
      </c>
      <c r="EM96" s="2">
        <f t="shared" si="277"/>
        <v>4.724409448818899E-2</v>
      </c>
      <c r="EN96" s="8">
        <f t="shared" si="151"/>
        <v>9.6002365276800017</v>
      </c>
      <c r="EO96" s="116">
        <f t="shared" si="152"/>
        <v>2610.6840000000002</v>
      </c>
      <c r="EP96" s="217">
        <f t="shared" si="153"/>
        <v>1.0540037864773908</v>
      </c>
      <c r="EQ96" s="207">
        <f t="shared" si="154"/>
        <v>2</v>
      </c>
      <c r="ER96" s="144">
        <f t="shared" si="155"/>
        <v>29121.849525382029</v>
      </c>
      <c r="ES96" s="138">
        <f t="shared" si="278"/>
        <v>0.5</v>
      </c>
      <c r="ET96" s="116">
        <f t="shared" si="156"/>
        <v>2175570</v>
      </c>
      <c r="EU96" s="2">
        <f t="shared" si="279"/>
        <v>4.724409448818899E-2</v>
      </c>
      <c r="EV96" s="8">
        <f t="shared" si="157"/>
        <v>9.6002365276800017</v>
      </c>
      <c r="EW96" s="116">
        <f t="shared" si="158"/>
        <v>2610.6840000000002</v>
      </c>
      <c r="EX96" s="217">
        <f t="shared" si="159"/>
        <v>1.0540037864773908</v>
      </c>
      <c r="EY96" s="207">
        <f t="shared" si="160"/>
        <v>2</v>
      </c>
      <c r="EZ96" s="144">
        <f t="shared" si="161"/>
        <v>29121.849525382029</v>
      </c>
      <c r="FA96" s="138">
        <f t="shared" si="280"/>
        <v>0.5</v>
      </c>
      <c r="FB96" s="116">
        <f t="shared" si="162"/>
        <v>2175570</v>
      </c>
      <c r="FC96" s="2">
        <f t="shared" si="281"/>
        <v>4.724409448818899E-2</v>
      </c>
      <c r="FD96" s="8">
        <f t="shared" si="163"/>
        <v>9.6002365276800017</v>
      </c>
      <c r="FE96" s="116">
        <f t="shared" si="164"/>
        <v>2610.6840000000002</v>
      </c>
      <c r="FF96" s="217">
        <f t="shared" si="165"/>
        <v>1.0540037864773908</v>
      </c>
      <c r="FG96" s="207">
        <f t="shared" si="166"/>
        <v>2</v>
      </c>
      <c r="FH96" s="144">
        <f t="shared" si="167"/>
        <v>29121.849525382029</v>
      </c>
      <c r="FI96" s="128">
        <f t="shared" si="168"/>
        <v>0.5</v>
      </c>
      <c r="FJ96" s="2">
        <f t="shared" si="169"/>
        <v>4.724409448818899E-2</v>
      </c>
      <c r="FK96" s="127">
        <f t="shared" si="170"/>
        <v>4.724409448818899E-2</v>
      </c>
      <c r="FL96" s="216">
        <f t="shared" si="171"/>
        <v>0</v>
      </c>
      <c r="FM96" s="138">
        <f t="shared" si="172"/>
        <v>0.5</v>
      </c>
      <c r="FN96" s="138">
        <f t="shared" si="173"/>
        <v>0</v>
      </c>
      <c r="FO96" s="238">
        <f t="shared" si="174"/>
        <v>0</v>
      </c>
      <c r="FP96" s="216">
        <f t="shared" si="282"/>
        <v>0</v>
      </c>
      <c r="FQ96" s="138">
        <f t="shared" si="283"/>
        <v>0.5</v>
      </c>
      <c r="FR96" s="138">
        <f t="shared" si="284"/>
        <v>0</v>
      </c>
      <c r="FS96" s="238">
        <f t="shared" si="285"/>
        <v>0</v>
      </c>
      <c r="FT96" s="216">
        <f t="shared" si="175"/>
        <v>0</v>
      </c>
      <c r="FU96" s="138">
        <f t="shared" si="176"/>
        <v>4.724409448818899E-2</v>
      </c>
      <c r="FV96" s="138">
        <f t="shared" si="177"/>
        <v>0</v>
      </c>
      <c r="FW96" s="238">
        <f t="shared" si="178"/>
        <v>0</v>
      </c>
      <c r="FX96" s="216">
        <f t="shared" si="286"/>
        <v>0</v>
      </c>
      <c r="FY96" s="138">
        <f t="shared" si="287"/>
        <v>5.5118110236220486E-2</v>
      </c>
      <c r="FZ96" s="138">
        <f t="shared" si="288"/>
        <v>0</v>
      </c>
      <c r="GA96" s="238">
        <f t="shared" si="289"/>
        <v>0</v>
      </c>
      <c r="GB96" s="216">
        <f t="shared" si="179"/>
        <v>0</v>
      </c>
      <c r="GC96" s="138">
        <f t="shared" si="180"/>
        <v>4.724409448818899E-2</v>
      </c>
      <c r="GD96" s="138">
        <f t="shared" si="181"/>
        <v>0</v>
      </c>
      <c r="GE96" s="238">
        <f t="shared" si="182"/>
        <v>0</v>
      </c>
      <c r="GF96" s="216">
        <f t="shared" si="290"/>
        <v>0</v>
      </c>
      <c r="GG96" s="138">
        <f t="shared" si="291"/>
        <v>5.5118110236220486E-2</v>
      </c>
      <c r="GH96" s="138">
        <f t="shared" si="292"/>
        <v>0</v>
      </c>
      <c r="GI96" s="238">
        <f t="shared" si="293"/>
        <v>0</v>
      </c>
      <c r="GJ96" s="216">
        <f t="shared" si="183"/>
        <v>0.5</v>
      </c>
      <c r="GK96" s="216">
        <f t="shared" si="184"/>
        <v>5.5118110236220486E-2</v>
      </c>
      <c r="GL96" s="17">
        <f t="shared" si="185"/>
        <v>5.5118110236220486E-2</v>
      </c>
      <c r="GM96" s="216">
        <f t="shared" si="294"/>
        <v>2.0494443579218893E-2</v>
      </c>
      <c r="GN96" s="2">
        <f t="shared" si="187"/>
        <v>3</v>
      </c>
      <c r="GO96" s="2">
        <f t="shared" si="188"/>
        <v>2</v>
      </c>
      <c r="GP96" s="142">
        <f t="shared" si="189"/>
        <v>2</v>
      </c>
      <c r="GQ96" s="2">
        <f t="shared" si="190"/>
        <v>1.5748031496062995E-2</v>
      </c>
      <c r="GR96" s="8">
        <f t="shared" si="295"/>
        <v>0.21567908934283792</v>
      </c>
      <c r="GS96" s="138">
        <f t="shared" si="191"/>
        <v>0.25</v>
      </c>
      <c r="GT96" s="12">
        <f t="shared" si="296"/>
        <v>17877.470838900877</v>
      </c>
      <c r="GU96" s="138">
        <f t="shared" si="192"/>
        <v>0.25</v>
      </c>
      <c r="GV96" s="116">
        <f t="shared" si="193"/>
        <v>2175570</v>
      </c>
      <c r="GW96" s="2">
        <f t="shared" si="297"/>
        <v>4.724409448818899E-2</v>
      </c>
      <c r="GX96" s="8">
        <f t="shared" si="298"/>
        <v>4.8001182638400008</v>
      </c>
      <c r="GY96" s="116">
        <f t="shared" si="194"/>
        <v>2610.6840000000002</v>
      </c>
      <c r="GZ96" s="217">
        <f t="shared" si="195"/>
        <v>2.1080075729547816</v>
      </c>
      <c r="HA96" s="207">
        <f t="shared" si="196"/>
        <v>2</v>
      </c>
      <c r="HB96" s="144">
        <f t="shared" si="197"/>
        <v>29121.849525382029</v>
      </c>
      <c r="HC96" s="138">
        <f t="shared" si="299"/>
        <v>0.25</v>
      </c>
      <c r="HD96" s="116">
        <f t="shared" si="198"/>
        <v>2175570</v>
      </c>
      <c r="HE96" s="2">
        <f t="shared" si="300"/>
        <v>4.724409448818899E-2</v>
      </c>
      <c r="HF96" s="8">
        <f t="shared" si="199"/>
        <v>4.8001182638400008</v>
      </c>
      <c r="HG96" s="116">
        <f t="shared" si="200"/>
        <v>2610.6840000000002</v>
      </c>
      <c r="HH96" s="217">
        <f t="shared" si="201"/>
        <v>2.1080075729547816</v>
      </c>
      <c r="HI96" s="207">
        <f t="shared" si="202"/>
        <v>2</v>
      </c>
      <c r="HJ96" s="144">
        <f t="shared" si="203"/>
        <v>29121.849525382029</v>
      </c>
      <c r="HK96" s="138">
        <f t="shared" si="301"/>
        <v>0.25</v>
      </c>
      <c r="HL96" s="116">
        <f t="shared" si="204"/>
        <v>2175570</v>
      </c>
      <c r="HM96" s="2">
        <f t="shared" si="302"/>
        <v>4.724409448818899E-2</v>
      </c>
      <c r="HN96" s="8">
        <f t="shared" si="205"/>
        <v>4.8001182638400008</v>
      </c>
      <c r="HO96" s="116">
        <f t="shared" si="206"/>
        <v>2610.6840000000002</v>
      </c>
      <c r="HP96" s="217">
        <f t="shared" si="207"/>
        <v>2.1080075729547816</v>
      </c>
      <c r="HQ96" s="207">
        <f t="shared" si="208"/>
        <v>2</v>
      </c>
      <c r="HR96" s="144">
        <f t="shared" si="209"/>
        <v>29121.849525382029</v>
      </c>
      <c r="HS96" s="128">
        <f t="shared" si="210"/>
        <v>0.25</v>
      </c>
      <c r="HT96" s="2">
        <f t="shared" si="211"/>
        <v>1.5748031496062995E-2</v>
      </c>
      <c r="HU96" s="127">
        <f t="shared" si="212"/>
        <v>1.5748031496062995E-2</v>
      </c>
      <c r="HV96" s="216">
        <f t="shared" si="213"/>
        <v>0</v>
      </c>
      <c r="HW96" s="138">
        <f t="shared" si="214"/>
        <v>0.25</v>
      </c>
      <c r="HX96" s="138">
        <f t="shared" si="215"/>
        <v>0</v>
      </c>
      <c r="HY96" s="238">
        <f t="shared" si="216"/>
        <v>0</v>
      </c>
      <c r="HZ96" s="138">
        <f t="shared" si="217"/>
        <v>0</v>
      </c>
      <c r="IA96" s="138">
        <f t="shared" si="218"/>
        <v>0.5</v>
      </c>
      <c r="IB96" s="138">
        <f t="shared" si="219"/>
        <v>0</v>
      </c>
      <c r="IC96" s="138">
        <f t="shared" si="220"/>
        <v>0</v>
      </c>
      <c r="ID96" s="216">
        <f t="shared" si="221"/>
        <v>0</v>
      </c>
      <c r="IE96" s="138">
        <f t="shared" si="222"/>
        <v>1.5748031496062995E-2</v>
      </c>
      <c r="IF96" s="138">
        <f t="shared" si="223"/>
        <v>0</v>
      </c>
      <c r="IG96" s="238">
        <f t="shared" si="224"/>
        <v>0</v>
      </c>
      <c r="IH96" s="138">
        <f t="shared" si="225"/>
        <v>0</v>
      </c>
      <c r="II96" s="138">
        <f t="shared" si="226"/>
        <v>1.5748031496062995E-2</v>
      </c>
      <c r="IJ96" s="138">
        <f t="shared" si="227"/>
        <v>0</v>
      </c>
      <c r="IK96" s="138">
        <f t="shared" si="228"/>
        <v>0</v>
      </c>
      <c r="IL96" s="216">
        <f t="shared" si="229"/>
        <v>0</v>
      </c>
      <c r="IM96" s="138">
        <f t="shared" si="230"/>
        <v>1.5748031496062995E-2</v>
      </c>
      <c r="IN96" s="138">
        <f t="shared" si="231"/>
        <v>0</v>
      </c>
      <c r="IO96" s="238">
        <f t="shared" si="232"/>
        <v>0</v>
      </c>
      <c r="IP96" s="138">
        <f t="shared" si="233"/>
        <v>0</v>
      </c>
      <c r="IQ96" s="138">
        <f t="shared" si="234"/>
        <v>1.5748031496062995E-2</v>
      </c>
      <c r="IR96" s="138">
        <f t="shared" si="235"/>
        <v>0</v>
      </c>
      <c r="IS96" s="138">
        <f t="shared" si="236"/>
        <v>0</v>
      </c>
      <c r="IT96" s="17">
        <f t="shared" si="237"/>
        <v>0.5</v>
      </c>
      <c r="IU96" s="17">
        <f t="shared" si="238"/>
        <v>1.5748031496062995E-2</v>
      </c>
      <c r="IV96" s="17">
        <f t="shared" si="239"/>
        <v>1.5748031496062995E-2</v>
      </c>
      <c r="IW96" s="253">
        <f t="shared" si="240"/>
        <v>26.667323688</v>
      </c>
      <c r="IX96" s="116">
        <f t="shared" si="303"/>
        <v>1743.4608507105049</v>
      </c>
      <c r="IY96" s="8">
        <f t="shared" si="242"/>
        <v>4.5077691295828629E-2</v>
      </c>
      <c r="IZ96" s="8">
        <f t="shared" si="243"/>
        <v>4.5077691295828629E-2</v>
      </c>
      <c r="JA96" s="8">
        <f t="shared" si="244"/>
        <v>2.2538845647914314E-2</v>
      </c>
      <c r="JB96" s="134">
        <f t="shared" si="245"/>
        <v>0.15012942965293086</v>
      </c>
      <c r="JC96" s="170">
        <f t="shared" si="259"/>
        <v>2.6878791448952534E-2</v>
      </c>
      <c r="JD96" s="272">
        <f t="shared" si="260"/>
        <v>0.16394752651062636</v>
      </c>
      <c r="JE96" s="8"/>
      <c r="JF96" s="8"/>
    </row>
    <row r="97" spans="1:266" x14ac:dyDescent="0.25">
      <c r="A97" s="186">
        <v>37</v>
      </c>
      <c r="B97" s="187">
        <f>A97/100*'Inputs-Imperial'!$E$5</f>
        <v>8.9101052719999991</v>
      </c>
      <c r="C97" s="188">
        <f>'Inputs-Imperial'!$E$10+('Inputs-Imperial'!$E$9-'Inputs-Imperial'!$E$10)*(100-A97)/100</f>
        <v>4.4267553910000004</v>
      </c>
      <c r="D97" s="187">
        <f t="shared" si="248"/>
        <v>0.24081365600000026</v>
      </c>
      <c r="E97" s="188">
        <f t="shared" si="249"/>
        <v>1.0681662177157678</v>
      </c>
      <c r="F97" s="423">
        <f>Loads!P57</f>
        <v>543.76948418301583</v>
      </c>
      <c r="G97" s="423">
        <f>Loads!M57</f>
        <v>5437.694841830159</v>
      </c>
      <c r="H97" s="423">
        <f>Loads!N57</f>
        <v>37408.839042343308</v>
      </c>
      <c r="I97" s="423">
        <f>Loads!V57</f>
        <v>-11512.364154701014</v>
      </c>
      <c r="J97" s="423">
        <f>Loads!Q57</f>
        <v>3740.8839042343307</v>
      </c>
      <c r="K97" s="2">
        <v>37</v>
      </c>
      <c r="L97" s="12">
        <f t="shared" si="41"/>
        <v>106.92126326399999</v>
      </c>
      <c r="M97" s="11">
        <f t="shared" si="42"/>
        <v>53.121064692000004</v>
      </c>
      <c r="N97" s="11">
        <f t="shared" si="43"/>
        <v>2.8897638720000032</v>
      </c>
      <c r="O97" s="152">
        <f t="shared" si="44"/>
        <v>153.81593535107055</v>
      </c>
      <c r="P97" s="151">
        <f t="shared" si="45"/>
        <v>543.76948418301583</v>
      </c>
      <c r="Q97" s="12">
        <f t="shared" si="46"/>
        <v>5437.694841830159</v>
      </c>
      <c r="R97" s="12">
        <f t="shared" si="47"/>
        <v>448906.06850811967</v>
      </c>
      <c r="S97" s="12">
        <f t="shared" si="48"/>
        <v>-138148.36985641217</v>
      </c>
      <c r="T97" s="152">
        <f t="shared" si="49"/>
        <v>44890.606850811964</v>
      </c>
      <c r="U97" s="8">
        <f t="shared" si="261"/>
        <v>9.5617916445600013</v>
      </c>
      <c r="V97" s="8">
        <f t="shared" si="262"/>
        <v>9.5617916445600013</v>
      </c>
      <c r="W97" s="134">
        <f t="shared" si="263"/>
        <v>4.7808958222800007</v>
      </c>
      <c r="X97" s="311">
        <f t="shared" si="264"/>
        <v>13.280266173000001</v>
      </c>
      <c r="Y97" s="11">
        <f t="shared" si="265"/>
        <v>39.840798519000003</v>
      </c>
      <c r="Z97" s="11">
        <f t="shared" si="266"/>
        <v>26.560532346000002</v>
      </c>
      <c r="AA97" s="316">
        <f t="shared" si="50"/>
        <v>39.840798519000003</v>
      </c>
      <c r="AB97" s="170">
        <f t="shared" si="51"/>
        <v>7.1713437334200005</v>
      </c>
      <c r="AC97" s="11">
        <f t="shared" si="52"/>
        <v>39.840798519000003</v>
      </c>
      <c r="AD97" s="152">
        <f t="shared" si="53"/>
        <v>224.39772780785597</v>
      </c>
      <c r="AE97" s="151">
        <f t="shared" si="267"/>
        <v>13.648558874232734</v>
      </c>
      <c r="AF97" s="12">
        <f t="shared" si="268"/>
        <v>307.82034026365869</v>
      </c>
      <c r="AG97" s="216">
        <f t="shared" si="269"/>
        <v>2.1061303728535083E-2</v>
      </c>
      <c r="AH97" s="2">
        <f t="shared" si="55"/>
        <v>3</v>
      </c>
      <c r="AI97" s="2">
        <f t="shared" si="56"/>
        <v>3</v>
      </c>
      <c r="AJ97" s="127">
        <f t="shared" si="57"/>
        <v>2</v>
      </c>
      <c r="AK97" s="2">
        <f t="shared" si="58"/>
        <v>1.5748031496062995E-2</v>
      </c>
      <c r="AL97" s="8">
        <f t="shared" si="270"/>
        <v>0.22164460288882318</v>
      </c>
      <c r="AM97" s="138">
        <f t="shared" si="59"/>
        <v>0.25</v>
      </c>
      <c r="AN97" s="12">
        <f t="shared" si="271"/>
        <v>18371.94758573049</v>
      </c>
      <c r="AO97" s="138">
        <f t="shared" si="60"/>
        <v>0.25</v>
      </c>
      <c r="AP97" s="116">
        <f t="shared" si="61"/>
        <v>2175570</v>
      </c>
      <c r="AQ97" s="2">
        <f t="shared" si="62"/>
        <v>1.5748031496062995E-2</v>
      </c>
      <c r="AR97" s="8">
        <f t="shared" si="63"/>
        <v>26.560532346000002</v>
      </c>
      <c r="AS97" s="116">
        <f t="shared" si="64"/>
        <v>2610.6840000000002</v>
      </c>
      <c r="AT97" s="217">
        <f t="shared" si="65"/>
        <v>2.2949923201950453E-2</v>
      </c>
      <c r="AU97" s="207">
        <f t="shared" si="66"/>
        <v>4.9077152137608895</v>
      </c>
      <c r="AV97" s="144">
        <f t="shared" si="67"/>
        <v>2333.9880914445334</v>
      </c>
      <c r="AW97" s="138">
        <f t="shared" si="68"/>
        <v>2</v>
      </c>
      <c r="AX97" s="116">
        <f t="shared" si="69"/>
        <v>2175570</v>
      </c>
      <c r="AY97" s="2">
        <f t="shared" si="70"/>
        <v>1.5748031496062995E-2</v>
      </c>
      <c r="AZ97" s="8">
        <f t="shared" si="71"/>
        <v>26.560532346000002</v>
      </c>
      <c r="BA97" s="116">
        <f t="shared" si="72"/>
        <v>2610.6840000000002</v>
      </c>
      <c r="BB97" s="217">
        <f t="shared" si="73"/>
        <v>0.18359938561560363</v>
      </c>
      <c r="BC97" s="207">
        <f t="shared" si="74"/>
        <v>3.2026960764217245</v>
      </c>
      <c r="BD97" s="144">
        <f t="shared" si="75"/>
        <v>97479.879607356619</v>
      </c>
      <c r="BE97" s="138">
        <f t="shared" si="76"/>
        <v>2</v>
      </c>
      <c r="BF97" s="116">
        <f t="shared" si="77"/>
        <v>2175570</v>
      </c>
      <c r="BG97" s="2">
        <f t="shared" si="78"/>
        <v>1.5748031496062995E-2</v>
      </c>
      <c r="BH97" s="8">
        <f t="shared" si="79"/>
        <v>26.560532346000002</v>
      </c>
      <c r="BI97" s="116">
        <f t="shared" si="80"/>
        <v>2610.6840000000002</v>
      </c>
      <c r="BJ97" s="217">
        <f t="shared" si="81"/>
        <v>0.18359938561560363</v>
      </c>
      <c r="BK97" s="207">
        <f t="shared" si="82"/>
        <v>3.2026960764217245</v>
      </c>
      <c r="BL97" s="144">
        <f t="shared" si="83"/>
        <v>97479.879607356619</v>
      </c>
      <c r="BM97" s="216">
        <f t="shared" si="84"/>
        <v>2</v>
      </c>
      <c r="BN97" s="216">
        <f t="shared" si="85"/>
        <v>2.3622047244094495E-2</v>
      </c>
      <c r="BO97" s="238">
        <f t="shared" si="86"/>
        <v>1.5748031496062995E-2</v>
      </c>
      <c r="BP97" s="216">
        <f t="shared" si="87"/>
        <v>0</v>
      </c>
      <c r="BQ97" s="138">
        <f t="shared" si="88"/>
        <v>2</v>
      </c>
      <c r="BR97" s="138">
        <f t="shared" si="89"/>
        <v>0</v>
      </c>
      <c r="BS97" s="238">
        <f t="shared" si="90"/>
        <v>0</v>
      </c>
      <c r="BT97" s="138">
        <f t="shared" si="91"/>
        <v>0</v>
      </c>
      <c r="BU97" s="138">
        <f t="shared" si="92"/>
        <v>2.5</v>
      </c>
      <c r="BV97" s="138">
        <f t="shared" si="93"/>
        <v>0</v>
      </c>
      <c r="BW97" s="238">
        <f t="shared" si="94"/>
        <v>0</v>
      </c>
      <c r="BX97" s="216">
        <f t="shared" si="95"/>
        <v>0</v>
      </c>
      <c r="BY97" s="138">
        <f t="shared" si="96"/>
        <v>2.3622047244094495E-2</v>
      </c>
      <c r="BZ97" s="138">
        <f t="shared" si="97"/>
        <v>0</v>
      </c>
      <c r="CA97" s="238">
        <f t="shared" si="98"/>
        <v>0</v>
      </c>
      <c r="CB97" s="138">
        <f t="shared" si="99"/>
        <v>0</v>
      </c>
      <c r="CC97" s="138">
        <f t="shared" si="100"/>
        <v>2.3622047244094495E-2</v>
      </c>
      <c r="CD97" s="138">
        <f t="shared" si="101"/>
        <v>0</v>
      </c>
      <c r="CE97" s="238">
        <f t="shared" si="102"/>
        <v>0</v>
      </c>
      <c r="CF97" s="216">
        <f t="shared" si="103"/>
        <v>0</v>
      </c>
      <c r="CG97" s="138">
        <f t="shared" si="104"/>
        <v>1.5748031496062995E-2</v>
      </c>
      <c r="CH97" s="138">
        <f t="shared" si="105"/>
        <v>0</v>
      </c>
      <c r="CI97" s="238">
        <f t="shared" si="106"/>
        <v>0</v>
      </c>
      <c r="CJ97" s="138">
        <f t="shared" si="107"/>
        <v>0</v>
      </c>
      <c r="CK97" s="138">
        <f t="shared" si="108"/>
        <v>1.5748031496062995E-2</v>
      </c>
      <c r="CL97" s="138">
        <f t="shared" si="109"/>
        <v>0</v>
      </c>
      <c r="CM97" s="238">
        <f t="shared" si="110"/>
        <v>0</v>
      </c>
      <c r="CN97" s="17">
        <f t="shared" si="111"/>
        <v>2.5</v>
      </c>
      <c r="CO97" s="17">
        <f t="shared" si="112"/>
        <v>2.3622047244094495E-2</v>
      </c>
      <c r="CP97" s="17">
        <f t="shared" si="113"/>
        <v>1.5748031496062995E-2</v>
      </c>
      <c r="CQ97" s="17">
        <f>$U97-IF('Inputs-Imperial'!$E$13,0,2)*($CO97+$CN97+$CP97)</f>
        <v>9.5617916445600013</v>
      </c>
      <c r="CR97" s="116">
        <f t="shared" si="114"/>
        <v>46947.903195894905</v>
      </c>
      <c r="CS97" s="8">
        <f t="shared" si="10"/>
        <v>1.2138517973538374</v>
      </c>
      <c r="CT97" s="8">
        <f t="shared" si="115"/>
        <v>1.1017494258468381</v>
      </c>
      <c r="CU97" s="8">
        <f t="shared" si="272"/>
        <v>1.2138517973538374</v>
      </c>
      <c r="CV97" s="8">
        <f t="shared" si="116"/>
        <v>1.1017494258468381</v>
      </c>
      <c r="CW97" s="216">
        <f t="shared" si="117"/>
        <v>8.4600422187131645</v>
      </c>
      <c r="CX97" s="116">
        <f t="shared" si="118"/>
        <v>53061.91823903234</v>
      </c>
      <c r="CY97" s="8">
        <f t="shared" si="119"/>
        <v>1.3719314482850788</v>
      </c>
      <c r="CZ97" s="8">
        <f t="shared" si="120"/>
        <v>1.1712947742925683</v>
      </c>
      <c r="DA97" s="8">
        <f t="shared" si="121"/>
        <v>1.3719314482850788</v>
      </c>
      <c r="DB97" s="8">
        <f t="shared" si="122"/>
        <v>1.1712947742925683</v>
      </c>
      <c r="DC97" s="216">
        <f t="shared" si="123"/>
        <v>8.3904968702674321</v>
      </c>
      <c r="DD97" s="116">
        <f t="shared" si="124"/>
        <v>53501.726470915375</v>
      </c>
      <c r="DE97" s="8">
        <f t="shared" si="125"/>
        <v>1.3833028190262735</v>
      </c>
      <c r="DF97" s="8">
        <f t="shared" si="126"/>
        <v>1.1761389454593676</v>
      </c>
      <c r="DG97" s="8">
        <f t="shared" si="127"/>
        <v>1.3833028190262735</v>
      </c>
      <c r="DH97" s="8">
        <f t="shared" si="128"/>
        <v>1.1761389454593676</v>
      </c>
      <c r="DI97" s="216">
        <f t="shared" si="129"/>
        <v>8.3856526991006337</v>
      </c>
      <c r="DJ97" s="116">
        <f t="shared" si="130"/>
        <v>53532.633012128572</v>
      </c>
      <c r="DK97" s="8">
        <f t="shared" si="131"/>
        <v>1.3841019167079118</v>
      </c>
      <c r="DL97" s="8">
        <f t="shared" si="132"/>
        <v>1.1764786086911703</v>
      </c>
      <c r="DM97" s="8">
        <f t="shared" si="133"/>
        <v>1.3841019167079118</v>
      </c>
      <c r="DN97" s="8">
        <f t="shared" si="134"/>
        <v>1.1764786086911703</v>
      </c>
      <c r="DO97" s="216">
        <f t="shared" si="135"/>
        <v>8.3853130358688315</v>
      </c>
      <c r="DP97" s="116">
        <f t="shared" si="136"/>
        <v>53534.801454386841</v>
      </c>
      <c r="DQ97" s="170">
        <f t="shared" si="137"/>
        <v>1.3841579824180603</v>
      </c>
      <c r="DR97" s="8">
        <f t="shared" si="138"/>
        <v>1.1765024362142478</v>
      </c>
      <c r="DS97" s="8">
        <f t="shared" si="139"/>
        <v>1.3841579824180603</v>
      </c>
      <c r="DT97" s="134">
        <f t="shared" si="140"/>
        <v>1.1765024362142478</v>
      </c>
      <c r="DU97" s="170">
        <f t="shared" si="258"/>
        <v>1.7233950944186762</v>
      </c>
      <c r="DV97" s="170">
        <f t="shared" si="258"/>
        <v>1.3127814343669995</v>
      </c>
      <c r="DW97" s="170">
        <f t="shared" si="258"/>
        <v>1.7233950944186762</v>
      </c>
      <c r="DX97" s="272">
        <f t="shared" si="258"/>
        <v>1.3127814343669995</v>
      </c>
      <c r="DY97" s="272">
        <f t="shared" si="142"/>
        <v>6.9362287758260033</v>
      </c>
      <c r="DZ97" s="22">
        <f t="shared" si="273"/>
        <v>568.68995309303057</v>
      </c>
      <c r="EA97" s="216">
        <f t="shared" si="274"/>
        <v>3.7258197796363191E-2</v>
      </c>
      <c r="EB97" s="12">
        <f t="shared" si="143"/>
        <v>5</v>
      </c>
      <c r="EC97" s="7">
        <f>ROUND(MAX(DV97,DX97)/'Inputs-Imperial'!$E$21,0)</f>
        <v>11</v>
      </c>
      <c r="ED97" s="12">
        <f t="shared" si="144"/>
        <v>11</v>
      </c>
      <c r="EE97" s="2">
        <f t="shared" si="145"/>
        <v>6</v>
      </c>
      <c r="EF97" s="127">
        <f t="shared" si="146"/>
        <v>6</v>
      </c>
      <c r="EG97" s="2">
        <f t="shared" si="147"/>
        <v>4.724409448818899E-2</v>
      </c>
      <c r="EH97" s="8">
        <f t="shared" si="275"/>
        <v>0.39209721113986029</v>
      </c>
      <c r="EI97" s="138">
        <f t="shared" si="148"/>
        <v>0.5</v>
      </c>
      <c r="EJ97" s="12">
        <f t="shared" si="276"/>
        <v>10833.54360642223</v>
      </c>
      <c r="EK97" s="138">
        <f t="shared" si="149"/>
        <v>0.5</v>
      </c>
      <c r="EL97" s="116">
        <f t="shared" si="150"/>
        <v>2175570</v>
      </c>
      <c r="EM97" s="2">
        <f t="shared" si="277"/>
        <v>4.724409448818899E-2</v>
      </c>
      <c r="EN97" s="8">
        <f t="shared" si="151"/>
        <v>9.5617916445600013</v>
      </c>
      <c r="EO97" s="116">
        <f t="shared" si="152"/>
        <v>2610.6840000000002</v>
      </c>
      <c r="EP97" s="217">
        <f t="shared" si="153"/>
        <v>1.0624964445347431</v>
      </c>
      <c r="EQ97" s="207">
        <f t="shared" si="154"/>
        <v>2</v>
      </c>
      <c r="ER97" s="144">
        <f t="shared" si="155"/>
        <v>29356.499450922922</v>
      </c>
      <c r="ES97" s="138">
        <f t="shared" si="278"/>
        <v>0.5</v>
      </c>
      <c r="ET97" s="116">
        <f t="shared" si="156"/>
        <v>2175570</v>
      </c>
      <c r="EU97" s="2">
        <f t="shared" si="279"/>
        <v>4.724409448818899E-2</v>
      </c>
      <c r="EV97" s="8">
        <f t="shared" si="157"/>
        <v>9.5617916445600013</v>
      </c>
      <c r="EW97" s="116">
        <f t="shared" si="158"/>
        <v>2610.6840000000002</v>
      </c>
      <c r="EX97" s="217">
        <f t="shared" si="159"/>
        <v>1.0624964445347431</v>
      </c>
      <c r="EY97" s="207">
        <f t="shared" si="160"/>
        <v>2</v>
      </c>
      <c r="EZ97" s="144">
        <f t="shared" si="161"/>
        <v>29356.499450922922</v>
      </c>
      <c r="FA97" s="138">
        <f t="shared" si="280"/>
        <v>0.5</v>
      </c>
      <c r="FB97" s="116">
        <f t="shared" si="162"/>
        <v>2175570</v>
      </c>
      <c r="FC97" s="2">
        <f t="shared" si="281"/>
        <v>4.724409448818899E-2</v>
      </c>
      <c r="FD97" s="8">
        <f t="shared" si="163"/>
        <v>9.5617916445600013</v>
      </c>
      <c r="FE97" s="116">
        <f t="shared" si="164"/>
        <v>2610.6840000000002</v>
      </c>
      <c r="FF97" s="217">
        <f t="shared" si="165"/>
        <v>1.0624964445347431</v>
      </c>
      <c r="FG97" s="207">
        <f t="shared" si="166"/>
        <v>2</v>
      </c>
      <c r="FH97" s="144">
        <f t="shared" si="167"/>
        <v>29356.499450922922</v>
      </c>
      <c r="FI97" s="128">
        <f t="shared" si="168"/>
        <v>0.5</v>
      </c>
      <c r="FJ97" s="2">
        <f t="shared" si="169"/>
        <v>4.724409448818899E-2</v>
      </c>
      <c r="FK97" s="127">
        <f t="shared" si="170"/>
        <v>4.724409448818899E-2</v>
      </c>
      <c r="FL97" s="216">
        <f t="shared" si="171"/>
        <v>0</v>
      </c>
      <c r="FM97" s="138">
        <f t="shared" si="172"/>
        <v>0.5</v>
      </c>
      <c r="FN97" s="138">
        <f t="shared" si="173"/>
        <v>0</v>
      </c>
      <c r="FO97" s="238">
        <f t="shared" si="174"/>
        <v>0</v>
      </c>
      <c r="FP97" s="216">
        <f t="shared" si="282"/>
        <v>0</v>
      </c>
      <c r="FQ97" s="138">
        <f t="shared" si="283"/>
        <v>0.5</v>
      </c>
      <c r="FR97" s="138">
        <f t="shared" si="284"/>
        <v>0</v>
      </c>
      <c r="FS97" s="238">
        <f t="shared" si="285"/>
        <v>0</v>
      </c>
      <c r="FT97" s="216">
        <f t="shared" si="175"/>
        <v>0</v>
      </c>
      <c r="FU97" s="138">
        <f t="shared" si="176"/>
        <v>4.724409448818899E-2</v>
      </c>
      <c r="FV97" s="138">
        <f t="shared" si="177"/>
        <v>0</v>
      </c>
      <c r="FW97" s="238">
        <f t="shared" si="178"/>
        <v>0</v>
      </c>
      <c r="FX97" s="216">
        <f t="shared" si="286"/>
        <v>0</v>
      </c>
      <c r="FY97" s="138">
        <f t="shared" si="287"/>
        <v>5.5118110236220486E-2</v>
      </c>
      <c r="FZ97" s="138">
        <f t="shared" si="288"/>
        <v>0</v>
      </c>
      <c r="GA97" s="238">
        <f t="shared" si="289"/>
        <v>0</v>
      </c>
      <c r="GB97" s="216">
        <f t="shared" si="179"/>
        <v>0</v>
      </c>
      <c r="GC97" s="138">
        <f t="shared" si="180"/>
        <v>4.724409448818899E-2</v>
      </c>
      <c r="GD97" s="138">
        <f t="shared" si="181"/>
        <v>0</v>
      </c>
      <c r="GE97" s="238">
        <f t="shared" si="182"/>
        <v>0</v>
      </c>
      <c r="GF97" s="216">
        <f t="shared" si="290"/>
        <v>0</v>
      </c>
      <c r="GG97" s="138">
        <f t="shared" si="291"/>
        <v>5.5118110236220486E-2</v>
      </c>
      <c r="GH97" s="138">
        <f t="shared" si="292"/>
        <v>0</v>
      </c>
      <c r="GI97" s="238">
        <f t="shared" si="293"/>
        <v>0</v>
      </c>
      <c r="GJ97" s="216">
        <f t="shared" si="183"/>
        <v>0.5</v>
      </c>
      <c r="GK97" s="216">
        <f t="shared" si="184"/>
        <v>5.5118110236220486E-2</v>
      </c>
      <c r="GL97" s="17">
        <f t="shared" si="185"/>
        <v>5.5118110236220486E-2</v>
      </c>
      <c r="GM97" s="216">
        <f t="shared" si="294"/>
        <v>2.0167106981422368E-2</v>
      </c>
      <c r="GN97" s="2">
        <f t="shared" si="187"/>
        <v>3</v>
      </c>
      <c r="GO97" s="2">
        <f t="shared" si="188"/>
        <v>2</v>
      </c>
      <c r="GP97" s="142">
        <f t="shared" si="189"/>
        <v>2</v>
      </c>
      <c r="GQ97" s="2">
        <f t="shared" si="190"/>
        <v>1.5748031496062995E-2</v>
      </c>
      <c r="GR97" s="8">
        <f t="shared" si="295"/>
        <v>0.21223426982146656</v>
      </c>
      <c r="GS97" s="138">
        <f t="shared" si="191"/>
        <v>0.25</v>
      </c>
      <c r="GT97" s="12">
        <f t="shared" si="296"/>
        <v>17591.932446068091</v>
      </c>
      <c r="GU97" s="138">
        <f t="shared" si="192"/>
        <v>0.25</v>
      </c>
      <c r="GV97" s="116">
        <f t="shared" si="193"/>
        <v>2175570</v>
      </c>
      <c r="GW97" s="2">
        <f t="shared" si="297"/>
        <v>4.724409448818899E-2</v>
      </c>
      <c r="GX97" s="8">
        <f t="shared" si="298"/>
        <v>4.7808958222800007</v>
      </c>
      <c r="GY97" s="116">
        <f t="shared" si="194"/>
        <v>2610.6840000000002</v>
      </c>
      <c r="GZ97" s="217">
        <f t="shared" si="195"/>
        <v>2.1249928890694862</v>
      </c>
      <c r="HA97" s="207">
        <f t="shared" si="196"/>
        <v>2</v>
      </c>
      <c r="HB97" s="144">
        <f t="shared" si="197"/>
        <v>29356.499450922922</v>
      </c>
      <c r="HC97" s="138">
        <f t="shared" si="299"/>
        <v>0.25</v>
      </c>
      <c r="HD97" s="116">
        <f t="shared" si="198"/>
        <v>2175570</v>
      </c>
      <c r="HE97" s="2">
        <f t="shared" si="300"/>
        <v>4.724409448818899E-2</v>
      </c>
      <c r="HF97" s="8">
        <f t="shared" si="199"/>
        <v>4.7808958222800007</v>
      </c>
      <c r="HG97" s="116">
        <f t="shared" si="200"/>
        <v>2610.6840000000002</v>
      </c>
      <c r="HH97" s="217">
        <f t="shared" si="201"/>
        <v>2.1249928890694862</v>
      </c>
      <c r="HI97" s="207">
        <f t="shared" si="202"/>
        <v>2</v>
      </c>
      <c r="HJ97" s="144">
        <f t="shared" si="203"/>
        <v>29356.499450922922</v>
      </c>
      <c r="HK97" s="138">
        <f t="shared" si="301"/>
        <v>0.25</v>
      </c>
      <c r="HL97" s="116">
        <f t="shared" si="204"/>
        <v>2175570</v>
      </c>
      <c r="HM97" s="2">
        <f t="shared" si="302"/>
        <v>4.724409448818899E-2</v>
      </c>
      <c r="HN97" s="8">
        <f t="shared" si="205"/>
        <v>4.7808958222800007</v>
      </c>
      <c r="HO97" s="116">
        <f t="shared" si="206"/>
        <v>2610.6840000000002</v>
      </c>
      <c r="HP97" s="217">
        <f t="shared" si="207"/>
        <v>2.1249928890694862</v>
      </c>
      <c r="HQ97" s="207">
        <f t="shared" si="208"/>
        <v>2</v>
      </c>
      <c r="HR97" s="144">
        <f t="shared" si="209"/>
        <v>29356.499450922922</v>
      </c>
      <c r="HS97" s="128">
        <f t="shared" si="210"/>
        <v>0.25</v>
      </c>
      <c r="HT97" s="2">
        <f t="shared" si="211"/>
        <v>1.5748031496062995E-2</v>
      </c>
      <c r="HU97" s="127">
        <f t="shared" si="212"/>
        <v>1.5748031496062995E-2</v>
      </c>
      <c r="HV97" s="216">
        <f t="shared" si="213"/>
        <v>0</v>
      </c>
      <c r="HW97" s="138">
        <f t="shared" si="214"/>
        <v>0.25</v>
      </c>
      <c r="HX97" s="138">
        <f t="shared" si="215"/>
        <v>0</v>
      </c>
      <c r="HY97" s="238">
        <f t="shared" si="216"/>
        <v>0</v>
      </c>
      <c r="HZ97" s="138">
        <f t="shared" si="217"/>
        <v>0</v>
      </c>
      <c r="IA97" s="138">
        <f t="shared" si="218"/>
        <v>0.5</v>
      </c>
      <c r="IB97" s="138">
        <f t="shared" si="219"/>
        <v>0</v>
      </c>
      <c r="IC97" s="138">
        <f t="shared" si="220"/>
        <v>0</v>
      </c>
      <c r="ID97" s="216">
        <f t="shared" si="221"/>
        <v>0</v>
      </c>
      <c r="IE97" s="138">
        <f t="shared" si="222"/>
        <v>1.5748031496062995E-2</v>
      </c>
      <c r="IF97" s="138">
        <f t="shared" si="223"/>
        <v>0</v>
      </c>
      <c r="IG97" s="238">
        <f t="shared" si="224"/>
        <v>0</v>
      </c>
      <c r="IH97" s="138">
        <f t="shared" si="225"/>
        <v>0</v>
      </c>
      <c r="II97" s="138">
        <f t="shared" si="226"/>
        <v>1.5748031496062995E-2</v>
      </c>
      <c r="IJ97" s="138">
        <f t="shared" si="227"/>
        <v>0</v>
      </c>
      <c r="IK97" s="138">
        <f t="shared" si="228"/>
        <v>0</v>
      </c>
      <c r="IL97" s="216">
        <f t="shared" si="229"/>
        <v>0</v>
      </c>
      <c r="IM97" s="138">
        <f t="shared" si="230"/>
        <v>1.5748031496062995E-2</v>
      </c>
      <c r="IN97" s="138">
        <f t="shared" si="231"/>
        <v>0</v>
      </c>
      <c r="IO97" s="238">
        <f t="shared" si="232"/>
        <v>0</v>
      </c>
      <c r="IP97" s="138">
        <f t="shared" si="233"/>
        <v>0</v>
      </c>
      <c r="IQ97" s="138">
        <f t="shared" si="234"/>
        <v>1.5748031496062995E-2</v>
      </c>
      <c r="IR97" s="138">
        <f t="shared" si="235"/>
        <v>0</v>
      </c>
      <c r="IS97" s="138">
        <f t="shared" si="236"/>
        <v>0</v>
      </c>
      <c r="IT97" s="17">
        <f t="shared" si="237"/>
        <v>0.5</v>
      </c>
      <c r="IU97" s="17">
        <f t="shared" si="238"/>
        <v>1.5748031496062995E-2</v>
      </c>
      <c r="IV97" s="17">
        <f t="shared" si="239"/>
        <v>1.5748031496062995E-2</v>
      </c>
      <c r="IW97" s="253">
        <f t="shared" si="240"/>
        <v>26.560532346000002</v>
      </c>
      <c r="IX97" s="116">
        <f t="shared" si="303"/>
        <v>1690.1245150522166</v>
      </c>
      <c r="IY97" s="8">
        <f t="shared" si="242"/>
        <v>4.3698664704738148E-2</v>
      </c>
      <c r="IZ97" s="8">
        <f t="shared" si="243"/>
        <v>4.3698664704738148E-2</v>
      </c>
      <c r="JA97" s="8">
        <f t="shared" si="244"/>
        <v>2.1849332352369074E-2</v>
      </c>
      <c r="JB97" s="134">
        <f t="shared" si="245"/>
        <v>0.14781519662189363</v>
      </c>
      <c r="JC97" s="170">
        <f t="shared" si="259"/>
        <v>2.6878791448952534E-2</v>
      </c>
      <c r="JD97" s="272">
        <f t="shared" si="260"/>
        <v>0.16394752651062636</v>
      </c>
      <c r="JE97" s="8"/>
      <c r="JF97" s="8"/>
    </row>
    <row r="98" spans="1:266" x14ac:dyDescent="0.25">
      <c r="A98" s="186">
        <v>38</v>
      </c>
      <c r="B98" s="187">
        <f>A98/100*'Inputs-Imperial'!$E$5</f>
        <v>9.1509189279999994</v>
      </c>
      <c r="C98" s="188">
        <f>'Inputs-Imperial'!$E$10+('Inputs-Imperial'!$E$9-'Inputs-Imperial'!$E$10)*(100-A98)/100</f>
        <v>4.4089568340000005</v>
      </c>
      <c r="D98" s="187">
        <f t="shared" si="248"/>
        <v>0.24081365600000026</v>
      </c>
      <c r="E98" s="188">
        <f t="shared" si="249"/>
        <v>1.0638800821330736</v>
      </c>
      <c r="F98" s="423">
        <f>Loads!P58</f>
        <v>532.92710362061098</v>
      </c>
      <c r="G98" s="423">
        <f>Loads!M58</f>
        <v>5329.2710362061107</v>
      </c>
      <c r="H98" s="423">
        <f>Loads!N58</f>
        <v>36099.367867269844</v>
      </c>
      <c r="I98" s="423">
        <f>Loads!V58</f>
        <v>-11233.580273378191</v>
      </c>
      <c r="J98" s="423">
        <f>Loads!Q58</f>
        <v>3609.9367867269843</v>
      </c>
      <c r="K98" s="2">
        <v>38</v>
      </c>
      <c r="L98" s="12">
        <f t="shared" si="41"/>
        <v>109.81102713599999</v>
      </c>
      <c r="M98" s="11">
        <f t="shared" si="42"/>
        <v>52.907482008000002</v>
      </c>
      <c r="N98" s="11">
        <f t="shared" si="43"/>
        <v>2.8897638720000032</v>
      </c>
      <c r="O98" s="152">
        <f t="shared" si="44"/>
        <v>153.19873182716259</v>
      </c>
      <c r="P98" s="151">
        <f t="shared" si="45"/>
        <v>532.92710362061098</v>
      </c>
      <c r="Q98" s="12">
        <f t="shared" si="46"/>
        <v>5329.2710362061107</v>
      </c>
      <c r="R98" s="12">
        <f t="shared" si="47"/>
        <v>433192.41440723813</v>
      </c>
      <c r="S98" s="12">
        <f t="shared" si="48"/>
        <v>-134802.9632805383</v>
      </c>
      <c r="T98" s="152">
        <f t="shared" si="49"/>
        <v>43319.24144072381</v>
      </c>
      <c r="U98" s="8">
        <f t="shared" si="261"/>
        <v>9.5233467614400009</v>
      </c>
      <c r="V98" s="8">
        <f t="shared" si="262"/>
        <v>9.5233467614400009</v>
      </c>
      <c r="W98" s="134">
        <f t="shared" si="263"/>
        <v>4.7616733807200005</v>
      </c>
      <c r="X98" s="311">
        <f t="shared" si="264"/>
        <v>13.226870502000001</v>
      </c>
      <c r="Y98" s="11">
        <f t="shared" si="265"/>
        <v>39.680611506000005</v>
      </c>
      <c r="Z98" s="11">
        <f t="shared" si="266"/>
        <v>26.453741004000005</v>
      </c>
      <c r="AA98" s="316">
        <f t="shared" si="50"/>
        <v>39.680611506000005</v>
      </c>
      <c r="AB98" s="170">
        <f t="shared" si="51"/>
        <v>7.1425100710800002</v>
      </c>
      <c r="AC98" s="11">
        <f t="shared" si="52"/>
        <v>39.680611506000005</v>
      </c>
      <c r="AD98" s="152">
        <f t="shared" si="53"/>
        <v>222.59689347550849</v>
      </c>
      <c r="AE98" s="151">
        <f t="shared" si="267"/>
        <v>13.430415595788599</v>
      </c>
      <c r="AF98" s="12">
        <f t="shared" si="268"/>
        <v>302.79614682801082</v>
      </c>
      <c r="AG98" s="216">
        <f t="shared" si="269"/>
        <v>2.0717847655245137E-2</v>
      </c>
      <c r="AH98" s="2">
        <f t="shared" si="55"/>
        <v>3</v>
      </c>
      <c r="AI98" s="2">
        <f t="shared" si="56"/>
        <v>3</v>
      </c>
      <c r="AJ98" s="127">
        <f t="shared" si="57"/>
        <v>2</v>
      </c>
      <c r="AK98" s="2">
        <f t="shared" si="58"/>
        <v>1.5748031496062995E-2</v>
      </c>
      <c r="AL98" s="8">
        <f t="shared" si="270"/>
        <v>0.21803014549552488</v>
      </c>
      <c r="AM98" s="138">
        <f t="shared" si="59"/>
        <v>0.25</v>
      </c>
      <c r="AN98" s="12">
        <f t="shared" si="271"/>
        <v>18072.348042520131</v>
      </c>
      <c r="AO98" s="138">
        <f t="shared" si="60"/>
        <v>0.25</v>
      </c>
      <c r="AP98" s="116">
        <f t="shared" si="61"/>
        <v>2175570</v>
      </c>
      <c r="AQ98" s="2">
        <f t="shared" si="62"/>
        <v>1.5748031496062995E-2</v>
      </c>
      <c r="AR98" s="8">
        <f t="shared" si="63"/>
        <v>26.453741004000005</v>
      </c>
      <c r="AS98" s="116">
        <f t="shared" si="64"/>
        <v>2610.6840000000002</v>
      </c>
      <c r="AT98" s="217">
        <f t="shared" si="65"/>
        <v>2.3135590706027082E-2</v>
      </c>
      <c r="AU98" s="207">
        <f t="shared" si="66"/>
        <v>4.9047361147443764</v>
      </c>
      <c r="AV98" s="144">
        <f t="shared" si="67"/>
        <v>2351.4420742606853</v>
      </c>
      <c r="AW98" s="138">
        <f t="shared" si="68"/>
        <v>2</v>
      </c>
      <c r="AX98" s="116">
        <f t="shared" si="69"/>
        <v>2175570</v>
      </c>
      <c r="AY98" s="2">
        <f t="shared" si="70"/>
        <v>1.5748031496062995E-2</v>
      </c>
      <c r="AZ98" s="8">
        <f t="shared" si="71"/>
        <v>26.453741004000005</v>
      </c>
      <c r="BA98" s="116">
        <f t="shared" si="72"/>
        <v>2610.6840000000002</v>
      </c>
      <c r="BB98" s="217">
        <f t="shared" si="73"/>
        <v>0.18508472564821665</v>
      </c>
      <c r="BC98" s="207">
        <f t="shared" si="74"/>
        <v>3.193095325837449</v>
      </c>
      <c r="BD98" s="144">
        <f t="shared" si="75"/>
        <v>97973.922617078511</v>
      </c>
      <c r="BE98" s="138">
        <f t="shared" si="76"/>
        <v>2</v>
      </c>
      <c r="BF98" s="116">
        <f t="shared" si="77"/>
        <v>2175570</v>
      </c>
      <c r="BG98" s="2">
        <f t="shared" si="78"/>
        <v>1.5748031496062995E-2</v>
      </c>
      <c r="BH98" s="8">
        <f t="shared" si="79"/>
        <v>26.453741004000005</v>
      </c>
      <c r="BI98" s="116">
        <f t="shared" si="80"/>
        <v>2610.6840000000002</v>
      </c>
      <c r="BJ98" s="217">
        <f t="shared" si="81"/>
        <v>0.18508472564821665</v>
      </c>
      <c r="BK98" s="207">
        <f t="shared" si="82"/>
        <v>3.193095325837449</v>
      </c>
      <c r="BL98" s="144">
        <f t="shared" si="83"/>
        <v>97973.922617078511</v>
      </c>
      <c r="BM98" s="216">
        <f t="shared" si="84"/>
        <v>2</v>
      </c>
      <c r="BN98" s="216">
        <f t="shared" si="85"/>
        <v>2.3622047244094495E-2</v>
      </c>
      <c r="BO98" s="238">
        <f t="shared" si="86"/>
        <v>1.5748031496062995E-2</v>
      </c>
      <c r="BP98" s="216">
        <f t="shared" si="87"/>
        <v>0</v>
      </c>
      <c r="BQ98" s="138">
        <f t="shared" si="88"/>
        <v>2</v>
      </c>
      <c r="BR98" s="138">
        <f t="shared" si="89"/>
        <v>0</v>
      </c>
      <c r="BS98" s="238">
        <f t="shared" si="90"/>
        <v>0</v>
      </c>
      <c r="BT98" s="138">
        <f t="shared" si="91"/>
        <v>0</v>
      </c>
      <c r="BU98" s="138">
        <f t="shared" si="92"/>
        <v>2.5</v>
      </c>
      <c r="BV98" s="138">
        <f t="shared" si="93"/>
        <v>0</v>
      </c>
      <c r="BW98" s="238">
        <f t="shared" si="94"/>
        <v>0</v>
      </c>
      <c r="BX98" s="216">
        <f t="shared" si="95"/>
        <v>0</v>
      </c>
      <c r="BY98" s="138">
        <f t="shared" si="96"/>
        <v>2.3622047244094495E-2</v>
      </c>
      <c r="BZ98" s="138">
        <f t="shared" si="97"/>
        <v>0</v>
      </c>
      <c r="CA98" s="238">
        <f t="shared" si="98"/>
        <v>0</v>
      </c>
      <c r="CB98" s="138">
        <f t="shared" si="99"/>
        <v>0</v>
      </c>
      <c r="CC98" s="138">
        <f t="shared" si="100"/>
        <v>2.3622047244094495E-2</v>
      </c>
      <c r="CD98" s="138">
        <f t="shared" si="101"/>
        <v>0</v>
      </c>
      <c r="CE98" s="238">
        <f t="shared" si="102"/>
        <v>0</v>
      </c>
      <c r="CF98" s="216">
        <f t="shared" si="103"/>
        <v>0</v>
      </c>
      <c r="CG98" s="138">
        <f t="shared" si="104"/>
        <v>1.5748031496062995E-2</v>
      </c>
      <c r="CH98" s="138">
        <f t="shared" si="105"/>
        <v>0</v>
      </c>
      <c r="CI98" s="238">
        <f t="shared" si="106"/>
        <v>0</v>
      </c>
      <c r="CJ98" s="138">
        <f t="shared" si="107"/>
        <v>0</v>
      </c>
      <c r="CK98" s="138">
        <f t="shared" si="108"/>
        <v>1.5748031496062995E-2</v>
      </c>
      <c r="CL98" s="138">
        <f t="shared" si="109"/>
        <v>0</v>
      </c>
      <c r="CM98" s="238">
        <f t="shared" si="110"/>
        <v>0</v>
      </c>
      <c r="CN98" s="17">
        <f t="shared" si="111"/>
        <v>2.5</v>
      </c>
      <c r="CO98" s="17">
        <f t="shared" si="112"/>
        <v>2.3622047244094495E-2</v>
      </c>
      <c r="CP98" s="17">
        <f t="shared" si="113"/>
        <v>1.5748031496062995E-2</v>
      </c>
      <c r="CQ98" s="17">
        <f>$U98-IF('Inputs-Imperial'!$E$13,0,2)*($CO98+$CN98+$CP98)</f>
        <v>9.5233467614400009</v>
      </c>
      <c r="CR98" s="116">
        <f t="shared" si="114"/>
        <v>45487.413748413819</v>
      </c>
      <c r="CS98" s="8">
        <f t="shared" si="10"/>
        <v>1.1760904146261795</v>
      </c>
      <c r="CT98" s="8">
        <f t="shared" si="115"/>
        <v>1.0844770235584429</v>
      </c>
      <c r="CU98" s="8">
        <f t="shared" si="272"/>
        <v>1.1760904146261795</v>
      </c>
      <c r="CV98" s="8">
        <f t="shared" si="116"/>
        <v>1.0844770235584429</v>
      </c>
      <c r="CW98" s="216">
        <f t="shared" si="117"/>
        <v>8.4388697378815589</v>
      </c>
      <c r="CX98" s="116">
        <f t="shared" si="118"/>
        <v>51332.989827140533</v>
      </c>
      <c r="CY98" s="8">
        <f t="shared" si="119"/>
        <v>1.3272294974543015</v>
      </c>
      <c r="CZ98" s="8">
        <f t="shared" si="120"/>
        <v>1.1520544680935452</v>
      </c>
      <c r="DA98" s="8">
        <f t="shared" si="121"/>
        <v>1.3272294974543015</v>
      </c>
      <c r="DB98" s="8">
        <f t="shared" si="122"/>
        <v>1.1520544680935452</v>
      </c>
      <c r="DC98" s="216">
        <f t="shared" si="123"/>
        <v>8.3712922933464551</v>
      </c>
      <c r="DD98" s="116">
        <f t="shared" si="124"/>
        <v>51747.376537257172</v>
      </c>
      <c r="DE98" s="8">
        <f t="shared" si="125"/>
        <v>1.3379435872992897</v>
      </c>
      <c r="DF98" s="8">
        <f t="shared" si="126"/>
        <v>1.1566951142368025</v>
      </c>
      <c r="DG98" s="8">
        <f t="shared" si="127"/>
        <v>1.3379435872992897</v>
      </c>
      <c r="DH98" s="8">
        <f t="shared" si="128"/>
        <v>1.1566951142368025</v>
      </c>
      <c r="DI98" s="216">
        <f t="shared" si="129"/>
        <v>8.3666516472031969</v>
      </c>
      <c r="DJ98" s="116">
        <f t="shared" si="130"/>
        <v>51776.0787318121</v>
      </c>
      <c r="DK98" s="8">
        <f t="shared" si="131"/>
        <v>1.3386856909519944</v>
      </c>
      <c r="DL98" s="8">
        <f t="shared" si="132"/>
        <v>1.1570158559639512</v>
      </c>
      <c r="DM98" s="8">
        <f t="shared" si="133"/>
        <v>1.3386856909519944</v>
      </c>
      <c r="DN98" s="8">
        <f t="shared" si="134"/>
        <v>1.1570158559639512</v>
      </c>
      <c r="DO98" s="216">
        <f t="shared" si="135"/>
        <v>8.3663309054760493</v>
      </c>
      <c r="DP98" s="116">
        <f t="shared" si="136"/>
        <v>51778.063681858308</v>
      </c>
      <c r="DQ98" s="170">
        <f t="shared" si="137"/>
        <v>1.3387370124172193</v>
      </c>
      <c r="DR98" s="8">
        <f t="shared" si="138"/>
        <v>1.1570380341273225</v>
      </c>
      <c r="DS98" s="8">
        <f t="shared" si="139"/>
        <v>1.3387370124172193</v>
      </c>
      <c r="DT98" s="134">
        <f t="shared" si="140"/>
        <v>1.1570380341273225</v>
      </c>
      <c r="DU98" s="170">
        <f t="shared" si="258"/>
        <v>1.7233950944186762</v>
      </c>
      <c r="DV98" s="170">
        <f t="shared" si="258"/>
        <v>1.3127814343669995</v>
      </c>
      <c r="DW98" s="170">
        <f t="shared" si="258"/>
        <v>1.7233950944186762</v>
      </c>
      <c r="DX98" s="272">
        <f t="shared" si="258"/>
        <v>1.3127814343669995</v>
      </c>
      <c r="DY98" s="272">
        <f t="shared" si="142"/>
        <v>6.8977838927060029</v>
      </c>
      <c r="DZ98" s="22">
        <f t="shared" si="273"/>
        <v>559.60064982452502</v>
      </c>
      <c r="EA98" s="216">
        <f t="shared" si="274"/>
        <v>3.6662704492556382E-2</v>
      </c>
      <c r="EB98" s="12">
        <f t="shared" si="143"/>
        <v>5</v>
      </c>
      <c r="EC98" s="7">
        <f>ROUND(MAX(DV98,DX98)/'Inputs-Imperial'!$E$21,0)</f>
        <v>11</v>
      </c>
      <c r="ED98" s="12">
        <f t="shared" si="144"/>
        <v>11</v>
      </c>
      <c r="EE98" s="2">
        <f t="shared" si="145"/>
        <v>6</v>
      </c>
      <c r="EF98" s="127">
        <f t="shared" si="146"/>
        <v>6</v>
      </c>
      <c r="EG98" s="2">
        <f t="shared" si="147"/>
        <v>4.724409448818899E-2</v>
      </c>
      <c r="EH98" s="8">
        <f t="shared" si="275"/>
        <v>0.38583036847207286</v>
      </c>
      <c r="EI98" s="138">
        <f t="shared" si="148"/>
        <v>0.5</v>
      </c>
      <c r="EJ98" s="12">
        <f t="shared" si="276"/>
        <v>10660.3923791572</v>
      </c>
      <c r="EK98" s="138">
        <f t="shared" si="149"/>
        <v>0.5</v>
      </c>
      <c r="EL98" s="116">
        <f t="shared" si="150"/>
        <v>2175570</v>
      </c>
      <c r="EM98" s="2">
        <f t="shared" si="277"/>
        <v>4.724409448818899E-2</v>
      </c>
      <c r="EN98" s="8">
        <f t="shared" si="151"/>
        <v>9.5233467614400009</v>
      </c>
      <c r="EO98" s="116">
        <f t="shared" si="152"/>
        <v>2610.6840000000002</v>
      </c>
      <c r="EP98" s="217">
        <f t="shared" si="153"/>
        <v>1.0710921623160687</v>
      </c>
      <c r="EQ98" s="207">
        <f t="shared" si="154"/>
        <v>2</v>
      </c>
      <c r="ER98" s="144">
        <f t="shared" si="155"/>
        <v>29593.996889738606</v>
      </c>
      <c r="ES98" s="138">
        <f t="shared" si="278"/>
        <v>0.5</v>
      </c>
      <c r="ET98" s="116">
        <f t="shared" si="156"/>
        <v>2175570</v>
      </c>
      <c r="EU98" s="2">
        <f t="shared" si="279"/>
        <v>4.724409448818899E-2</v>
      </c>
      <c r="EV98" s="8">
        <f t="shared" si="157"/>
        <v>9.5233467614400009</v>
      </c>
      <c r="EW98" s="116">
        <f t="shared" si="158"/>
        <v>2610.6840000000002</v>
      </c>
      <c r="EX98" s="217">
        <f t="shared" si="159"/>
        <v>1.0710921623160687</v>
      </c>
      <c r="EY98" s="207">
        <f t="shared" si="160"/>
        <v>2</v>
      </c>
      <c r="EZ98" s="144">
        <f t="shared" si="161"/>
        <v>29593.996889738606</v>
      </c>
      <c r="FA98" s="138">
        <f t="shared" si="280"/>
        <v>0.5</v>
      </c>
      <c r="FB98" s="116">
        <f t="shared" si="162"/>
        <v>2175570</v>
      </c>
      <c r="FC98" s="2">
        <f t="shared" si="281"/>
        <v>4.724409448818899E-2</v>
      </c>
      <c r="FD98" s="8">
        <f t="shared" si="163"/>
        <v>9.5233467614400009</v>
      </c>
      <c r="FE98" s="116">
        <f t="shared" si="164"/>
        <v>2610.6840000000002</v>
      </c>
      <c r="FF98" s="217">
        <f t="shared" si="165"/>
        <v>1.0710921623160687</v>
      </c>
      <c r="FG98" s="207">
        <f t="shared" si="166"/>
        <v>2</v>
      </c>
      <c r="FH98" s="144">
        <f t="shared" si="167"/>
        <v>29593.996889738606</v>
      </c>
      <c r="FI98" s="128">
        <f t="shared" si="168"/>
        <v>0.5</v>
      </c>
      <c r="FJ98" s="2">
        <f t="shared" si="169"/>
        <v>4.724409448818899E-2</v>
      </c>
      <c r="FK98" s="127">
        <f t="shared" si="170"/>
        <v>4.724409448818899E-2</v>
      </c>
      <c r="FL98" s="216">
        <f t="shared" si="171"/>
        <v>0</v>
      </c>
      <c r="FM98" s="138">
        <f t="shared" si="172"/>
        <v>0.5</v>
      </c>
      <c r="FN98" s="138">
        <f t="shared" si="173"/>
        <v>0</v>
      </c>
      <c r="FO98" s="238">
        <f t="shared" si="174"/>
        <v>0</v>
      </c>
      <c r="FP98" s="216">
        <f t="shared" si="282"/>
        <v>0</v>
      </c>
      <c r="FQ98" s="138">
        <f t="shared" si="283"/>
        <v>0.5</v>
      </c>
      <c r="FR98" s="138">
        <f t="shared" si="284"/>
        <v>0</v>
      </c>
      <c r="FS98" s="238">
        <f t="shared" si="285"/>
        <v>0</v>
      </c>
      <c r="FT98" s="216">
        <f t="shared" si="175"/>
        <v>0</v>
      </c>
      <c r="FU98" s="138">
        <f t="shared" si="176"/>
        <v>4.724409448818899E-2</v>
      </c>
      <c r="FV98" s="138">
        <f t="shared" si="177"/>
        <v>0</v>
      </c>
      <c r="FW98" s="238">
        <f t="shared" si="178"/>
        <v>0</v>
      </c>
      <c r="FX98" s="216">
        <f t="shared" si="286"/>
        <v>0</v>
      </c>
      <c r="FY98" s="138">
        <f t="shared" si="287"/>
        <v>5.5118110236220486E-2</v>
      </c>
      <c r="FZ98" s="138">
        <f t="shared" si="288"/>
        <v>0</v>
      </c>
      <c r="GA98" s="238">
        <f t="shared" si="289"/>
        <v>0</v>
      </c>
      <c r="GB98" s="216">
        <f t="shared" si="179"/>
        <v>0</v>
      </c>
      <c r="GC98" s="138">
        <f t="shared" si="180"/>
        <v>4.724409448818899E-2</v>
      </c>
      <c r="GD98" s="138">
        <f t="shared" si="181"/>
        <v>0</v>
      </c>
      <c r="GE98" s="238">
        <f t="shared" si="182"/>
        <v>0</v>
      </c>
      <c r="GF98" s="216">
        <f t="shared" si="290"/>
        <v>0</v>
      </c>
      <c r="GG98" s="138">
        <f t="shared" si="291"/>
        <v>5.5118110236220486E-2</v>
      </c>
      <c r="GH98" s="138">
        <f t="shared" si="292"/>
        <v>0</v>
      </c>
      <c r="GI98" s="238">
        <f t="shared" si="293"/>
        <v>0</v>
      </c>
      <c r="GJ98" s="216">
        <f t="shared" si="183"/>
        <v>0.5</v>
      </c>
      <c r="GK98" s="216">
        <f t="shared" si="184"/>
        <v>5.5118110236220486E-2</v>
      </c>
      <c r="GL98" s="17">
        <f t="shared" si="185"/>
        <v>5.5118110236220486E-2</v>
      </c>
      <c r="GM98" s="216">
        <f t="shared" si="294"/>
        <v>1.9837942747423783E-2</v>
      </c>
      <c r="GN98" s="2">
        <f t="shared" si="187"/>
        <v>3</v>
      </c>
      <c r="GO98" s="2">
        <f t="shared" si="188"/>
        <v>2</v>
      </c>
      <c r="GP98" s="142">
        <f t="shared" si="189"/>
        <v>2</v>
      </c>
      <c r="GQ98" s="2">
        <f t="shared" si="190"/>
        <v>1.5748031496062995E-2</v>
      </c>
      <c r="GR98" s="8">
        <f t="shared" si="295"/>
        <v>0.20877021665219514</v>
      </c>
      <c r="GS98" s="138">
        <f t="shared" si="191"/>
        <v>0.25</v>
      </c>
      <c r="GT98" s="12">
        <f t="shared" si="296"/>
        <v>17304.799791220816</v>
      </c>
      <c r="GU98" s="138">
        <f t="shared" si="192"/>
        <v>0.25</v>
      </c>
      <c r="GV98" s="116">
        <f t="shared" si="193"/>
        <v>2175570</v>
      </c>
      <c r="GW98" s="2">
        <f t="shared" si="297"/>
        <v>4.724409448818899E-2</v>
      </c>
      <c r="GX98" s="8">
        <f t="shared" si="298"/>
        <v>4.7616733807200005</v>
      </c>
      <c r="GY98" s="116">
        <f t="shared" si="194"/>
        <v>2610.6840000000002</v>
      </c>
      <c r="GZ98" s="217">
        <f t="shared" si="195"/>
        <v>2.1421843246321375</v>
      </c>
      <c r="HA98" s="207">
        <f t="shared" si="196"/>
        <v>2</v>
      </c>
      <c r="HB98" s="144">
        <f t="shared" si="197"/>
        <v>29593.996889738606</v>
      </c>
      <c r="HC98" s="138">
        <f t="shared" si="299"/>
        <v>0.25</v>
      </c>
      <c r="HD98" s="116">
        <f t="shared" si="198"/>
        <v>2175570</v>
      </c>
      <c r="HE98" s="2">
        <f t="shared" si="300"/>
        <v>4.724409448818899E-2</v>
      </c>
      <c r="HF98" s="8">
        <f t="shared" si="199"/>
        <v>4.7616733807200005</v>
      </c>
      <c r="HG98" s="116">
        <f t="shared" si="200"/>
        <v>2610.6840000000002</v>
      </c>
      <c r="HH98" s="217">
        <f t="shared" si="201"/>
        <v>2.1421843246321375</v>
      </c>
      <c r="HI98" s="207">
        <f t="shared" si="202"/>
        <v>2</v>
      </c>
      <c r="HJ98" s="144">
        <f t="shared" si="203"/>
        <v>29593.996889738606</v>
      </c>
      <c r="HK98" s="138">
        <f t="shared" si="301"/>
        <v>0.25</v>
      </c>
      <c r="HL98" s="116">
        <f t="shared" si="204"/>
        <v>2175570</v>
      </c>
      <c r="HM98" s="2">
        <f t="shared" si="302"/>
        <v>4.724409448818899E-2</v>
      </c>
      <c r="HN98" s="8">
        <f t="shared" si="205"/>
        <v>4.7616733807200005</v>
      </c>
      <c r="HO98" s="116">
        <f t="shared" si="206"/>
        <v>2610.6840000000002</v>
      </c>
      <c r="HP98" s="217">
        <f t="shared" si="207"/>
        <v>2.1421843246321375</v>
      </c>
      <c r="HQ98" s="207">
        <f t="shared" si="208"/>
        <v>2</v>
      </c>
      <c r="HR98" s="144">
        <f t="shared" si="209"/>
        <v>29593.996889738606</v>
      </c>
      <c r="HS98" s="128">
        <f t="shared" si="210"/>
        <v>0.25</v>
      </c>
      <c r="HT98" s="2">
        <f t="shared" si="211"/>
        <v>1.5748031496062995E-2</v>
      </c>
      <c r="HU98" s="127">
        <f t="shared" si="212"/>
        <v>1.5748031496062995E-2</v>
      </c>
      <c r="HV98" s="216">
        <f t="shared" si="213"/>
        <v>0</v>
      </c>
      <c r="HW98" s="138">
        <f t="shared" si="214"/>
        <v>0.25</v>
      </c>
      <c r="HX98" s="138">
        <f t="shared" si="215"/>
        <v>0</v>
      </c>
      <c r="HY98" s="238">
        <f t="shared" si="216"/>
        <v>0</v>
      </c>
      <c r="HZ98" s="138">
        <f t="shared" si="217"/>
        <v>0</v>
      </c>
      <c r="IA98" s="138">
        <f t="shared" si="218"/>
        <v>0.5</v>
      </c>
      <c r="IB98" s="138">
        <f t="shared" si="219"/>
        <v>0</v>
      </c>
      <c r="IC98" s="138">
        <f t="shared" si="220"/>
        <v>0</v>
      </c>
      <c r="ID98" s="216">
        <f t="shared" si="221"/>
        <v>0</v>
      </c>
      <c r="IE98" s="138">
        <f t="shared" si="222"/>
        <v>1.5748031496062995E-2</v>
      </c>
      <c r="IF98" s="138">
        <f t="shared" si="223"/>
        <v>0</v>
      </c>
      <c r="IG98" s="238">
        <f t="shared" si="224"/>
        <v>0</v>
      </c>
      <c r="IH98" s="138">
        <f t="shared" si="225"/>
        <v>0</v>
      </c>
      <c r="II98" s="138">
        <f t="shared" si="226"/>
        <v>1.5748031496062995E-2</v>
      </c>
      <c r="IJ98" s="138">
        <f t="shared" si="227"/>
        <v>0</v>
      </c>
      <c r="IK98" s="138">
        <f t="shared" si="228"/>
        <v>0</v>
      </c>
      <c r="IL98" s="216">
        <f t="shared" si="229"/>
        <v>0</v>
      </c>
      <c r="IM98" s="138">
        <f t="shared" si="230"/>
        <v>1.5748031496062995E-2</v>
      </c>
      <c r="IN98" s="138">
        <f t="shared" si="231"/>
        <v>0</v>
      </c>
      <c r="IO98" s="238">
        <f t="shared" si="232"/>
        <v>0</v>
      </c>
      <c r="IP98" s="138">
        <f t="shared" si="233"/>
        <v>0</v>
      </c>
      <c r="IQ98" s="138">
        <f t="shared" si="234"/>
        <v>1.5748031496062995E-2</v>
      </c>
      <c r="IR98" s="138">
        <f t="shared" si="235"/>
        <v>0</v>
      </c>
      <c r="IS98" s="138">
        <f t="shared" si="236"/>
        <v>0</v>
      </c>
      <c r="IT98" s="17">
        <f t="shared" si="237"/>
        <v>0.5</v>
      </c>
      <c r="IU98" s="17">
        <f t="shared" si="238"/>
        <v>1.5748031496062995E-2</v>
      </c>
      <c r="IV98" s="17">
        <f t="shared" si="239"/>
        <v>1.5748031496062995E-2</v>
      </c>
      <c r="IW98" s="253">
        <f t="shared" si="240"/>
        <v>26.453741004000005</v>
      </c>
      <c r="IX98" s="116">
        <f t="shared" si="303"/>
        <v>1637.5468949428973</v>
      </c>
      <c r="IY98" s="8">
        <f t="shared" si="242"/>
        <v>4.2339254926542454E-2</v>
      </c>
      <c r="IZ98" s="8">
        <f t="shared" si="243"/>
        <v>4.2339254926542454E-2</v>
      </c>
      <c r="JA98" s="8">
        <f t="shared" si="244"/>
        <v>2.1169627463271227E-2</v>
      </c>
      <c r="JB98" s="134">
        <f t="shared" si="245"/>
        <v>0.14549786068279913</v>
      </c>
      <c r="JC98" s="170">
        <f t="shared" si="259"/>
        <v>2.6878791448952534E-2</v>
      </c>
      <c r="JD98" s="272">
        <f t="shared" si="260"/>
        <v>0.16394752651062636</v>
      </c>
      <c r="JE98" s="8"/>
      <c r="JF98" s="8"/>
    </row>
    <row r="99" spans="1:266" x14ac:dyDescent="0.25">
      <c r="A99" s="186">
        <v>39</v>
      </c>
      <c r="B99" s="187">
        <f>A99/100*'Inputs-Imperial'!$E$5</f>
        <v>9.3917325839999997</v>
      </c>
      <c r="C99" s="188">
        <f>'Inputs-Imperial'!$E$10+('Inputs-Imperial'!$E$9-'Inputs-Imperial'!$E$10)*(100-A99)/100</f>
        <v>4.3911582770000006</v>
      </c>
      <c r="D99" s="187">
        <f t="shared" si="248"/>
        <v>0.24081365600000026</v>
      </c>
      <c r="E99" s="188">
        <f t="shared" si="249"/>
        <v>1.0595939465503792</v>
      </c>
      <c r="F99" s="423">
        <f>Loads!P59</f>
        <v>522.13071476992855</v>
      </c>
      <c r="G99" s="423">
        <f>Loads!M59</f>
        <v>5221.3071476992864</v>
      </c>
      <c r="H99" s="423">
        <f>Loads!N59</f>
        <v>34816.006625226139</v>
      </c>
      <c r="I99" s="423">
        <f>Loads!V59</f>
        <v>-10957.168994321464</v>
      </c>
      <c r="J99" s="423">
        <f>Loads!Q59</f>
        <v>3481.6006625226141</v>
      </c>
      <c r="K99" s="2">
        <v>39</v>
      </c>
      <c r="L99" s="12">
        <f t="shared" si="41"/>
        <v>112.700791008</v>
      </c>
      <c r="M99" s="11">
        <f t="shared" si="42"/>
        <v>52.693899324000007</v>
      </c>
      <c r="N99" s="11">
        <f t="shared" si="43"/>
        <v>2.8897638720000032</v>
      </c>
      <c r="O99" s="152">
        <f t="shared" si="44"/>
        <v>152.58152830325463</v>
      </c>
      <c r="P99" s="151">
        <f t="shared" si="45"/>
        <v>522.13071476992855</v>
      </c>
      <c r="Q99" s="12">
        <f t="shared" si="46"/>
        <v>5221.3071476992864</v>
      </c>
      <c r="R99" s="12">
        <f t="shared" si="47"/>
        <v>417792.07950271363</v>
      </c>
      <c r="S99" s="12">
        <f t="shared" si="48"/>
        <v>-131486.02793185756</v>
      </c>
      <c r="T99" s="152">
        <f t="shared" si="49"/>
        <v>41779.207950271368</v>
      </c>
      <c r="U99" s="8">
        <f t="shared" si="261"/>
        <v>9.4849018783200005</v>
      </c>
      <c r="V99" s="8">
        <f t="shared" si="262"/>
        <v>9.4849018783200005</v>
      </c>
      <c r="W99" s="134">
        <f t="shared" si="263"/>
        <v>4.7424509391600003</v>
      </c>
      <c r="X99" s="311">
        <f t="shared" si="264"/>
        <v>13.173474831000002</v>
      </c>
      <c r="Y99" s="11">
        <f t="shared" si="265"/>
        <v>39.520424493000007</v>
      </c>
      <c r="Z99" s="11">
        <f t="shared" si="266"/>
        <v>26.346949662000007</v>
      </c>
      <c r="AA99" s="316">
        <f t="shared" si="50"/>
        <v>39.520424493000007</v>
      </c>
      <c r="AB99" s="170">
        <f t="shared" si="51"/>
        <v>7.11367640874</v>
      </c>
      <c r="AC99" s="11">
        <f t="shared" si="52"/>
        <v>39.520424493000007</v>
      </c>
      <c r="AD99" s="152">
        <f t="shared" si="53"/>
        <v>220.80331430306114</v>
      </c>
      <c r="AE99" s="151">
        <f t="shared" si="267"/>
        <v>13.211667674835075</v>
      </c>
      <c r="AF99" s="12">
        <f t="shared" si="268"/>
        <v>297.74468817842984</v>
      </c>
      <c r="AG99" s="216">
        <f t="shared" si="269"/>
        <v>2.0372565665006521E-2</v>
      </c>
      <c r="AH99" s="2">
        <f t="shared" si="55"/>
        <v>3</v>
      </c>
      <c r="AI99" s="2">
        <f t="shared" si="56"/>
        <v>3</v>
      </c>
      <c r="AJ99" s="127">
        <f t="shared" si="57"/>
        <v>2</v>
      </c>
      <c r="AK99" s="2">
        <f t="shared" si="58"/>
        <v>1.5748031496062995E-2</v>
      </c>
      <c r="AL99" s="8">
        <f t="shared" si="270"/>
        <v>0.2143964725473772</v>
      </c>
      <c r="AM99" s="138">
        <f t="shared" si="59"/>
        <v>0.25</v>
      </c>
      <c r="AN99" s="12">
        <f t="shared" si="271"/>
        <v>17771.155737014087</v>
      </c>
      <c r="AO99" s="138">
        <f t="shared" si="60"/>
        <v>0.25</v>
      </c>
      <c r="AP99" s="116">
        <f t="shared" si="61"/>
        <v>2175570</v>
      </c>
      <c r="AQ99" s="2">
        <f t="shared" si="62"/>
        <v>1.5748031496062995E-2</v>
      </c>
      <c r="AR99" s="8">
        <f t="shared" si="63"/>
        <v>26.346949662000007</v>
      </c>
      <c r="AS99" s="116">
        <f t="shared" si="64"/>
        <v>2610.6840000000002</v>
      </c>
      <c r="AT99" s="217">
        <f t="shared" si="65"/>
        <v>2.3323520464978265E-2</v>
      </c>
      <c r="AU99" s="207">
        <f t="shared" si="66"/>
        <v>4.9017236676808746</v>
      </c>
      <c r="AV99" s="144">
        <f t="shared" si="67"/>
        <v>2369.0868055991846</v>
      </c>
      <c r="AW99" s="138">
        <f t="shared" si="68"/>
        <v>2</v>
      </c>
      <c r="AX99" s="116">
        <f t="shared" si="69"/>
        <v>2175570</v>
      </c>
      <c r="AY99" s="2">
        <f t="shared" si="70"/>
        <v>1.5748031496062995E-2</v>
      </c>
      <c r="AZ99" s="8">
        <f t="shared" si="71"/>
        <v>26.346949662000007</v>
      </c>
      <c r="BA99" s="116">
        <f t="shared" si="72"/>
        <v>2610.6840000000002</v>
      </c>
      <c r="BB99" s="217">
        <f t="shared" si="73"/>
        <v>0.18658816371982612</v>
      </c>
      <c r="BC99" s="207">
        <f t="shared" si="74"/>
        <v>3.1834551023695457</v>
      </c>
      <c r="BD99" s="144">
        <f t="shared" si="75"/>
        <v>98471.567839277617</v>
      </c>
      <c r="BE99" s="138">
        <f t="shared" si="76"/>
        <v>2</v>
      </c>
      <c r="BF99" s="116">
        <f t="shared" si="77"/>
        <v>2175570</v>
      </c>
      <c r="BG99" s="2">
        <f t="shared" si="78"/>
        <v>1.5748031496062995E-2</v>
      </c>
      <c r="BH99" s="8">
        <f t="shared" si="79"/>
        <v>26.346949662000007</v>
      </c>
      <c r="BI99" s="116">
        <f t="shared" si="80"/>
        <v>2610.6840000000002</v>
      </c>
      <c r="BJ99" s="217">
        <f t="shared" si="81"/>
        <v>0.18658816371982612</v>
      </c>
      <c r="BK99" s="207">
        <f t="shared" si="82"/>
        <v>3.1834551023695457</v>
      </c>
      <c r="BL99" s="144">
        <f t="shared" si="83"/>
        <v>98471.567839277617</v>
      </c>
      <c r="BM99" s="216">
        <f t="shared" si="84"/>
        <v>2</v>
      </c>
      <c r="BN99" s="216">
        <f t="shared" si="85"/>
        <v>2.3622047244094495E-2</v>
      </c>
      <c r="BO99" s="238">
        <f t="shared" si="86"/>
        <v>1.5748031496062995E-2</v>
      </c>
      <c r="BP99" s="216">
        <f t="shared" si="87"/>
        <v>0</v>
      </c>
      <c r="BQ99" s="138">
        <f t="shared" si="88"/>
        <v>2</v>
      </c>
      <c r="BR99" s="138">
        <f t="shared" si="89"/>
        <v>0</v>
      </c>
      <c r="BS99" s="238">
        <f t="shared" si="90"/>
        <v>0</v>
      </c>
      <c r="BT99" s="138">
        <f t="shared" si="91"/>
        <v>0</v>
      </c>
      <c r="BU99" s="138">
        <f t="shared" si="92"/>
        <v>2.5</v>
      </c>
      <c r="BV99" s="138">
        <f t="shared" si="93"/>
        <v>0</v>
      </c>
      <c r="BW99" s="238">
        <f t="shared" si="94"/>
        <v>0</v>
      </c>
      <c r="BX99" s="216">
        <f t="shared" si="95"/>
        <v>0</v>
      </c>
      <c r="BY99" s="138">
        <f t="shared" si="96"/>
        <v>2.3622047244094495E-2</v>
      </c>
      <c r="BZ99" s="138">
        <f t="shared" si="97"/>
        <v>0</v>
      </c>
      <c r="CA99" s="238">
        <f t="shared" si="98"/>
        <v>0</v>
      </c>
      <c r="CB99" s="138">
        <f t="shared" si="99"/>
        <v>0</v>
      </c>
      <c r="CC99" s="138">
        <f t="shared" si="100"/>
        <v>2.3622047244094495E-2</v>
      </c>
      <c r="CD99" s="138">
        <f t="shared" si="101"/>
        <v>0</v>
      </c>
      <c r="CE99" s="238">
        <f t="shared" si="102"/>
        <v>0</v>
      </c>
      <c r="CF99" s="216">
        <f t="shared" si="103"/>
        <v>0</v>
      </c>
      <c r="CG99" s="138">
        <f t="shared" si="104"/>
        <v>1.5748031496062995E-2</v>
      </c>
      <c r="CH99" s="138">
        <f t="shared" si="105"/>
        <v>0</v>
      </c>
      <c r="CI99" s="238">
        <f t="shared" si="106"/>
        <v>0</v>
      </c>
      <c r="CJ99" s="138">
        <f t="shared" si="107"/>
        <v>0</v>
      </c>
      <c r="CK99" s="138">
        <f t="shared" si="108"/>
        <v>1.5748031496062995E-2</v>
      </c>
      <c r="CL99" s="138">
        <f t="shared" si="109"/>
        <v>0</v>
      </c>
      <c r="CM99" s="238">
        <f t="shared" si="110"/>
        <v>0</v>
      </c>
      <c r="CN99" s="17">
        <f t="shared" si="111"/>
        <v>2.5</v>
      </c>
      <c r="CO99" s="17">
        <f t="shared" si="112"/>
        <v>2.3622047244094495E-2</v>
      </c>
      <c r="CP99" s="17">
        <f t="shared" si="113"/>
        <v>1.5748031496062995E-2</v>
      </c>
      <c r="CQ99" s="17">
        <f>$U99-IF('Inputs-Imperial'!$E$13,0,2)*($CO99+$CN99+$CP99)</f>
        <v>9.4849018783200005</v>
      </c>
      <c r="CR99" s="116">
        <f t="shared" si="114"/>
        <v>44048.118247556871</v>
      </c>
      <c r="CS99" s="8">
        <f t="shared" si="10"/>
        <v>1.1388770076003409</v>
      </c>
      <c r="CT99" s="8">
        <f t="shared" si="115"/>
        <v>1.0671818062543705</v>
      </c>
      <c r="CU99" s="8">
        <f t="shared" si="272"/>
        <v>1.1388770076003409</v>
      </c>
      <c r="CV99" s="8">
        <f t="shared" si="116"/>
        <v>1.0671818062543705</v>
      </c>
      <c r="CW99" s="216">
        <f t="shared" si="117"/>
        <v>8.4177200720656291</v>
      </c>
      <c r="CX99" s="116">
        <f t="shared" si="118"/>
        <v>49632.451058709463</v>
      </c>
      <c r="CY99" s="8">
        <f t="shared" si="119"/>
        <v>1.2832615691760811</v>
      </c>
      <c r="CZ99" s="8">
        <f t="shared" si="120"/>
        <v>1.1328113563943827</v>
      </c>
      <c r="DA99" s="8">
        <f t="shared" si="121"/>
        <v>1.2832615691760811</v>
      </c>
      <c r="DB99" s="8">
        <f t="shared" si="122"/>
        <v>1.1328113563943827</v>
      </c>
      <c r="DC99" s="216">
        <f t="shared" si="123"/>
        <v>8.3520905219256178</v>
      </c>
      <c r="DD99" s="116">
        <f t="shared" si="124"/>
        <v>50022.455863707459</v>
      </c>
      <c r="DE99" s="8">
        <f t="shared" si="125"/>
        <v>1.2933452577179978</v>
      </c>
      <c r="DF99" s="8">
        <f t="shared" si="126"/>
        <v>1.137253383251946</v>
      </c>
      <c r="DG99" s="8">
        <f t="shared" si="127"/>
        <v>1.2933452577179978</v>
      </c>
      <c r="DH99" s="8">
        <f t="shared" si="128"/>
        <v>1.137253383251946</v>
      </c>
      <c r="DI99" s="216">
        <f t="shared" si="129"/>
        <v>8.3476484950680554</v>
      </c>
      <c r="DJ99" s="116">
        <f t="shared" si="130"/>
        <v>50049.074269185257</v>
      </c>
      <c r="DK99" s="8">
        <f t="shared" si="131"/>
        <v>1.2940334843933639</v>
      </c>
      <c r="DL99" s="8">
        <f t="shared" si="132"/>
        <v>1.1375559258310617</v>
      </c>
      <c r="DM99" s="8">
        <f t="shared" si="133"/>
        <v>1.2940334843933639</v>
      </c>
      <c r="DN99" s="8">
        <f t="shared" si="134"/>
        <v>1.1375559258310617</v>
      </c>
      <c r="DO99" s="216">
        <f t="shared" si="135"/>
        <v>8.3473459524889382</v>
      </c>
      <c r="DP99" s="116">
        <f t="shared" si="136"/>
        <v>50050.888256061808</v>
      </c>
      <c r="DQ99" s="170">
        <f t="shared" si="137"/>
        <v>1.2940803855557286</v>
      </c>
      <c r="DR99" s="8">
        <f t="shared" si="138"/>
        <v>1.1375765405262754</v>
      </c>
      <c r="DS99" s="8">
        <f t="shared" si="139"/>
        <v>1.2940803855557286</v>
      </c>
      <c r="DT99" s="134">
        <f t="shared" si="140"/>
        <v>1.1375765405262754</v>
      </c>
      <c r="DU99" s="170">
        <f t="shared" si="258"/>
        <v>1.7233950944186762</v>
      </c>
      <c r="DV99" s="170">
        <f t="shared" si="258"/>
        <v>1.3127814343669995</v>
      </c>
      <c r="DW99" s="170">
        <f t="shared" si="258"/>
        <v>1.7233950944186762</v>
      </c>
      <c r="DX99" s="272">
        <f t="shared" si="258"/>
        <v>1.3127814343669995</v>
      </c>
      <c r="DY99" s="272">
        <f t="shared" si="142"/>
        <v>6.8593390095860025</v>
      </c>
      <c r="DZ99" s="22">
        <f t="shared" si="273"/>
        <v>550.4861531181283</v>
      </c>
      <c r="EA99" s="216">
        <f t="shared" si="274"/>
        <v>3.6065560619600215E-2</v>
      </c>
      <c r="EB99" s="12">
        <f t="shared" si="143"/>
        <v>5</v>
      </c>
      <c r="EC99" s="7">
        <f>ROUND(MAX(DV99,DX99)/'Inputs-Imperial'!$E$21,0)</f>
        <v>11</v>
      </c>
      <c r="ED99" s="12">
        <f t="shared" si="144"/>
        <v>11</v>
      </c>
      <c r="EE99" s="2">
        <f t="shared" si="145"/>
        <v>6</v>
      </c>
      <c r="EF99" s="127">
        <f t="shared" si="146"/>
        <v>6</v>
      </c>
      <c r="EG99" s="2">
        <f t="shared" si="147"/>
        <v>4.724409448818899E-2</v>
      </c>
      <c r="EH99" s="8">
        <f t="shared" si="275"/>
        <v>0.37954615557173177</v>
      </c>
      <c r="EI99" s="138">
        <f t="shared" si="148"/>
        <v>0.5</v>
      </c>
      <c r="EJ99" s="12">
        <f t="shared" si="276"/>
        <v>10486.761216900342</v>
      </c>
      <c r="EK99" s="138">
        <f t="shared" si="149"/>
        <v>0.5</v>
      </c>
      <c r="EL99" s="116">
        <f t="shared" si="150"/>
        <v>2175570</v>
      </c>
      <c r="EM99" s="2">
        <f t="shared" si="277"/>
        <v>4.724409448818899E-2</v>
      </c>
      <c r="EN99" s="8">
        <f t="shared" si="151"/>
        <v>9.4849018783200005</v>
      </c>
      <c r="EO99" s="116">
        <f t="shared" si="152"/>
        <v>2610.6840000000002</v>
      </c>
      <c r="EP99" s="217">
        <f t="shared" si="153"/>
        <v>1.0797926141193643</v>
      </c>
      <c r="EQ99" s="207">
        <f t="shared" si="154"/>
        <v>2</v>
      </c>
      <c r="ER99" s="144">
        <f t="shared" si="155"/>
        <v>29834.38810224575</v>
      </c>
      <c r="ES99" s="138">
        <f t="shared" si="278"/>
        <v>0.5</v>
      </c>
      <c r="ET99" s="116">
        <f t="shared" si="156"/>
        <v>2175570</v>
      </c>
      <c r="EU99" s="2">
        <f t="shared" si="279"/>
        <v>4.724409448818899E-2</v>
      </c>
      <c r="EV99" s="8">
        <f t="shared" si="157"/>
        <v>9.4849018783200005</v>
      </c>
      <c r="EW99" s="116">
        <f t="shared" si="158"/>
        <v>2610.6840000000002</v>
      </c>
      <c r="EX99" s="217">
        <f t="shared" si="159"/>
        <v>1.0797926141193643</v>
      </c>
      <c r="EY99" s="207">
        <f t="shared" si="160"/>
        <v>2</v>
      </c>
      <c r="EZ99" s="144">
        <f t="shared" si="161"/>
        <v>29834.38810224575</v>
      </c>
      <c r="FA99" s="138">
        <f t="shared" si="280"/>
        <v>0.5</v>
      </c>
      <c r="FB99" s="116">
        <f t="shared" si="162"/>
        <v>2175570</v>
      </c>
      <c r="FC99" s="2">
        <f t="shared" si="281"/>
        <v>4.724409448818899E-2</v>
      </c>
      <c r="FD99" s="8">
        <f t="shared" si="163"/>
        <v>9.4849018783200005</v>
      </c>
      <c r="FE99" s="116">
        <f t="shared" si="164"/>
        <v>2610.6840000000002</v>
      </c>
      <c r="FF99" s="217">
        <f t="shared" si="165"/>
        <v>1.0797926141193643</v>
      </c>
      <c r="FG99" s="207">
        <f t="shared" si="166"/>
        <v>2</v>
      </c>
      <c r="FH99" s="144">
        <f t="shared" si="167"/>
        <v>29834.38810224575</v>
      </c>
      <c r="FI99" s="128">
        <f t="shared" si="168"/>
        <v>0.5</v>
      </c>
      <c r="FJ99" s="2">
        <f t="shared" si="169"/>
        <v>4.724409448818899E-2</v>
      </c>
      <c r="FK99" s="127">
        <f t="shared" si="170"/>
        <v>4.724409448818899E-2</v>
      </c>
      <c r="FL99" s="216">
        <f t="shared" si="171"/>
        <v>0</v>
      </c>
      <c r="FM99" s="138">
        <f t="shared" si="172"/>
        <v>0.5</v>
      </c>
      <c r="FN99" s="138">
        <f t="shared" si="173"/>
        <v>0</v>
      </c>
      <c r="FO99" s="238">
        <f t="shared" si="174"/>
        <v>0</v>
      </c>
      <c r="FP99" s="216">
        <f t="shared" si="282"/>
        <v>0</v>
      </c>
      <c r="FQ99" s="138">
        <f t="shared" si="283"/>
        <v>0.5</v>
      </c>
      <c r="FR99" s="138">
        <f t="shared" si="284"/>
        <v>0</v>
      </c>
      <c r="FS99" s="238">
        <f t="shared" si="285"/>
        <v>0</v>
      </c>
      <c r="FT99" s="216">
        <f t="shared" si="175"/>
        <v>0</v>
      </c>
      <c r="FU99" s="138">
        <f t="shared" si="176"/>
        <v>4.724409448818899E-2</v>
      </c>
      <c r="FV99" s="138">
        <f t="shared" si="177"/>
        <v>0</v>
      </c>
      <c r="FW99" s="238">
        <f t="shared" si="178"/>
        <v>0</v>
      </c>
      <c r="FX99" s="216">
        <f t="shared" si="286"/>
        <v>0</v>
      </c>
      <c r="FY99" s="138">
        <f t="shared" si="287"/>
        <v>5.5118110236220486E-2</v>
      </c>
      <c r="FZ99" s="138">
        <f t="shared" si="288"/>
        <v>0</v>
      </c>
      <c r="GA99" s="238">
        <f t="shared" si="289"/>
        <v>0</v>
      </c>
      <c r="GB99" s="216">
        <f t="shared" si="179"/>
        <v>0</v>
      </c>
      <c r="GC99" s="138">
        <f t="shared" si="180"/>
        <v>4.724409448818899E-2</v>
      </c>
      <c r="GD99" s="138">
        <f t="shared" si="181"/>
        <v>0</v>
      </c>
      <c r="GE99" s="238">
        <f t="shared" si="182"/>
        <v>0</v>
      </c>
      <c r="GF99" s="216">
        <f t="shared" si="290"/>
        <v>0</v>
      </c>
      <c r="GG99" s="138">
        <f t="shared" si="291"/>
        <v>5.5118110236220486E-2</v>
      </c>
      <c r="GH99" s="138">
        <f t="shared" si="292"/>
        <v>0</v>
      </c>
      <c r="GI99" s="238">
        <f t="shared" si="293"/>
        <v>0</v>
      </c>
      <c r="GJ99" s="216">
        <f t="shared" si="183"/>
        <v>0.5</v>
      </c>
      <c r="GK99" s="216">
        <f t="shared" si="184"/>
        <v>5.5118110236220486E-2</v>
      </c>
      <c r="GL99" s="17">
        <f t="shared" si="185"/>
        <v>5.5118110236220486E-2</v>
      </c>
      <c r="GM99" s="216">
        <f t="shared" si="294"/>
        <v>1.9506992210136114E-2</v>
      </c>
      <c r="GN99" s="2">
        <f t="shared" si="187"/>
        <v>3</v>
      </c>
      <c r="GO99" s="2">
        <f t="shared" si="188"/>
        <v>2</v>
      </c>
      <c r="GP99" s="142">
        <f t="shared" si="189"/>
        <v>2</v>
      </c>
      <c r="GQ99" s="2">
        <f t="shared" si="190"/>
        <v>1.5748031496062995E-2</v>
      </c>
      <c r="GR99" s="8">
        <f t="shared" si="295"/>
        <v>0.20528736481365559</v>
      </c>
      <c r="GS99" s="138">
        <f t="shared" si="191"/>
        <v>0.25</v>
      </c>
      <c r="GT99" s="12">
        <f t="shared" si="296"/>
        <v>17016.108929397262</v>
      </c>
      <c r="GU99" s="138">
        <f t="shared" si="192"/>
        <v>0.25</v>
      </c>
      <c r="GV99" s="116">
        <f t="shared" si="193"/>
        <v>2175570</v>
      </c>
      <c r="GW99" s="2">
        <f t="shared" si="297"/>
        <v>4.724409448818899E-2</v>
      </c>
      <c r="GX99" s="8">
        <f t="shared" si="298"/>
        <v>4.7424509391600003</v>
      </c>
      <c r="GY99" s="116">
        <f t="shared" si="194"/>
        <v>2610.6840000000002</v>
      </c>
      <c r="GZ99" s="217">
        <f t="shared" si="195"/>
        <v>2.1595852282387287</v>
      </c>
      <c r="HA99" s="207">
        <f t="shared" si="196"/>
        <v>2</v>
      </c>
      <c r="HB99" s="144">
        <f t="shared" si="197"/>
        <v>29834.38810224575</v>
      </c>
      <c r="HC99" s="138">
        <f t="shared" si="299"/>
        <v>0.25</v>
      </c>
      <c r="HD99" s="116">
        <f t="shared" si="198"/>
        <v>2175570</v>
      </c>
      <c r="HE99" s="2">
        <f t="shared" si="300"/>
        <v>4.724409448818899E-2</v>
      </c>
      <c r="HF99" s="8">
        <f t="shared" si="199"/>
        <v>4.7424509391600003</v>
      </c>
      <c r="HG99" s="116">
        <f t="shared" si="200"/>
        <v>2610.6840000000002</v>
      </c>
      <c r="HH99" s="217">
        <f t="shared" si="201"/>
        <v>2.1595852282387287</v>
      </c>
      <c r="HI99" s="207">
        <f t="shared" si="202"/>
        <v>2</v>
      </c>
      <c r="HJ99" s="144">
        <f t="shared" si="203"/>
        <v>29834.38810224575</v>
      </c>
      <c r="HK99" s="138">
        <f t="shared" si="301"/>
        <v>0.25</v>
      </c>
      <c r="HL99" s="116">
        <f t="shared" si="204"/>
        <v>2175570</v>
      </c>
      <c r="HM99" s="2">
        <f t="shared" si="302"/>
        <v>4.724409448818899E-2</v>
      </c>
      <c r="HN99" s="8">
        <f t="shared" si="205"/>
        <v>4.7424509391600003</v>
      </c>
      <c r="HO99" s="116">
        <f t="shared" si="206"/>
        <v>2610.6840000000002</v>
      </c>
      <c r="HP99" s="217">
        <f t="shared" si="207"/>
        <v>2.1595852282387287</v>
      </c>
      <c r="HQ99" s="207">
        <f t="shared" si="208"/>
        <v>2</v>
      </c>
      <c r="HR99" s="144">
        <f t="shared" si="209"/>
        <v>29834.38810224575</v>
      </c>
      <c r="HS99" s="128">
        <f t="shared" si="210"/>
        <v>0.25</v>
      </c>
      <c r="HT99" s="2">
        <f t="shared" si="211"/>
        <v>1.5748031496062995E-2</v>
      </c>
      <c r="HU99" s="127">
        <f t="shared" si="212"/>
        <v>1.5748031496062995E-2</v>
      </c>
      <c r="HV99" s="216">
        <f t="shared" si="213"/>
        <v>0</v>
      </c>
      <c r="HW99" s="138">
        <f t="shared" si="214"/>
        <v>0.25</v>
      </c>
      <c r="HX99" s="138">
        <f t="shared" si="215"/>
        <v>0</v>
      </c>
      <c r="HY99" s="238">
        <f t="shared" si="216"/>
        <v>0</v>
      </c>
      <c r="HZ99" s="138">
        <f t="shared" si="217"/>
        <v>0</v>
      </c>
      <c r="IA99" s="138">
        <f t="shared" si="218"/>
        <v>0.5</v>
      </c>
      <c r="IB99" s="138">
        <f t="shared" si="219"/>
        <v>0</v>
      </c>
      <c r="IC99" s="138">
        <f t="shared" si="220"/>
        <v>0</v>
      </c>
      <c r="ID99" s="216">
        <f t="shared" si="221"/>
        <v>0</v>
      </c>
      <c r="IE99" s="138">
        <f t="shared" si="222"/>
        <v>1.5748031496062995E-2</v>
      </c>
      <c r="IF99" s="138">
        <f t="shared" si="223"/>
        <v>0</v>
      </c>
      <c r="IG99" s="238">
        <f t="shared" si="224"/>
        <v>0</v>
      </c>
      <c r="IH99" s="138">
        <f t="shared" si="225"/>
        <v>0</v>
      </c>
      <c r="II99" s="138">
        <f t="shared" si="226"/>
        <v>1.5748031496062995E-2</v>
      </c>
      <c r="IJ99" s="138">
        <f t="shared" si="227"/>
        <v>0</v>
      </c>
      <c r="IK99" s="138">
        <f t="shared" si="228"/>
        <v>0</v>
      </c>
      <c r="IL99" s="216">
        <f t="shared" si="229"/>
        <v>0</v>
      </c>
      <c r="IM99" s="138">
        <f t="shared" si="230"/>
        <v>1.5748031496062995E-2</v>
      </c>
      <c r="IN99" s="138">
        <f t="shared" si="231"/>
        <v>0</v>
      </c>
      <c r="IO99" s="238">
        <f t="shared" si="232"/>
        <v>0</v>
      </c>
      <c r="IP99" s="138">
        <f t="shared" si="233"/>
        <v>0</v>
      </c>
      <c r="IQ99" s="138">
        <f t="shared" si="234"/>
        <v>1.5748031496062995E-2</v>
      </c>
      <c r="IR99" s="138">
        <f t="shared" si="235"/>
        <v>0</v>
      </c>
      <c r="IS99" s="138">
        <f t="shared" si="236"/>
        <v>0</v>
      </c>
      <c r="IT99" s="17">
        <f t="shared" si="237"/>
        <v>0.5</v>
      </c>
      <c r="IU99" s="17">
        <f t="shared" si="238"/>
        <v>1.5748031496062995E-2</v>
      </c>
      <c r="IV99" s="17">
        <f t="shared" si="239"/>
        <v>1.5748031496062995E-2</v>
      </c>
      <c r="IW99" s="253">
        <f t="shared" si="240"/>
        <v>26.346949662000007</v>
      </c>
      <c r="IX99" s="116">
        <f t="shared" si="303"/>
        <v>1585.7322569120472</v>
      </c>
      <c r="IY99" s="8">
        <f t="shared" si="242"/>
        <v>4.099957227361227E-2</v>
      </c>
      <c r="IZ99" s="8">
        <f t="shared" si="243"/>
        <v>4.099957227361227E-2</v>
      </c>
      <c r="JA99" s="8">
        <f t="shared" si="244"/>
        <v>2.0499786136806135E-2</v>
      </c>
      <c r="JB99" s="134">
        <f t="shared" si="245"/>
        <v>0.14317746378814697</v>
      </c>
      <c r="JC99" s="170">
        <f t="shared" si="259"/>
        <v>2.6878791448952534E-2</v>
      </c>
      <c r="JD99" s="272">
        <f t="shared" si="260"/>
        <v>0.16394752651062636</v>
      </c>
      <c r="JE99" s="8"/>
      <c r="JF99" s="8"/>
    </row>
    <row r="100" spans="1:266" x14ac:dyDescent="0.25">
      <c r="A100" s="186">
        <v>40</v>
      </c>
      <c r="B100" s="187">
        <f>A100/100*'Inputs-Imperial'!$E$5</f>
        <v>9.6325462399999999</v>
      </c>
      <c r="C100" s="188">
        <f>'Inputs-Imperial'!$E$10+('Inputs-Imperial'!$E$9-'Inputs-Imperial'!$E$10)*(100-A100)/100</f>
        <v>4.3733597200000007</v>
      </c>
      <c r="D100" s="187">
        <f t="shared" si="248"/>
        <v>0.24081365600000026</v>
      </c>
      <c r="E100" s="188">
        <f t="shared" si="249"/>
        <v>1.055307810967685</v>
      </c>
      <c r="F100" s="423">
        <f>Loads!P60</f>
        <v>511.38110404847362</v>
      </c>
      <c r="G100" s="423">
        <f>Loads!M60</f>
        <v>5113.8110404847375</v>
      </c>
      <c r="H100" s="423">
        <f>Loads!N60</f>
        <v>33558.644561889741</v>
      </c>
      <c r="I100" s="423">
        <f>Loads!V60</f>
        <v>-10683.160452055752</v>
      </c>
      <c r="J100" s="423">
        <f>Loads!Q60</f>
        <v>3355.8644561889741</v>
      </c>
      <c r="K100" s="2">
        <v>40</v>
      </c>
      <c r="L100" s="12">
        <f t="shared" si="41"/>
        <v>115.59055488</v>
      </c>
      <c r="M100" s="11">
        <f t="shared" si="42"/>
        <v>52.480316640000012</v>
      </c>
      <c r="N100" s="11">
        <f t="shared" si="43"/>
        <v>2.8897638720000032</v>
      </c>
      <c r="O100" s="152">
        <f t="shared" si="44"/>
        <v>151.96432477934664</v>
      </c>
      <c r="P100" s="151">
        <f t="shared" si="45"/>
        <v>511.38110404847362</v>
      </c>
      <c r="Q100" s="12">
        <f t="shared" si="46"/>
        <v>5113.8110404847375</v>
      </c>
      <c r="R100" s="12">
        <f t="shared" si="47"/>
        <v>402703.7347426769</v>
      </c>
      <c r="S100" s="12">
        <f t="shared" si="48"/>
        <v>-128197.92542466903</v>
      </c>
      <c r="T100" s="152">
        <f t="shared" si="49"/>
        <v>40270.37347426769</v>
      </c>
      <c r="U100" s="8">
        <f t="shared" si="261"/>
        <v>9.4464569952000019</v>
      </c>
      <c r="V100" s="8">
        <f t="shared" si="262"/>
        <v>9.4464569952000019</v>
      </c>
      <c r="W100" s="134">
        <f t="shared" si="263"/>
        <v>4.723228497600001</v>
      </c>
      <c r="X100" s="311">
        <f t="shared" si="264"/>
        <v>13.120079160000003</v>
      </c>
      <c r="Y100" s="11">
        <f t="shared" si="265"/>
        <v>39.360237480000009</v>
      </c>
      <c r="Z100" s="11">
        <f t="shared" si="266"/>
        <v>26.240158320000006</v>
      </c>
      <c r="AA100" s="316">
        <f t="shared" si="50"/>
        <v>39.360237480000009</v>
      </c>
      <c r="AB100" s="170">
        <f t="shared" si="51"/>
        <v>7.0848427464000014</v>
      </c>
      <c r="AC100" s="11">
        <f t="shared" si="52"/>
        <v>39.360237480000009</v>
      </c>
      <c r="AD100" s="152">
        <f t="shared" si="53"/>
        <v>219.01699029051395</v>
      </c>
      <c r="AE100" s="151">
        <f t="shared" si="267"/>
        <v>12.992327709107956</v>
      </c>
      <c r="AF100" s="12">
        <f t="shared" si="268"/>
        <v>292.6666220155376</v>
      </c>
      <c r="AG100" s="216">
        <f t="shared" si="269"/>
        <v>2.0025501672976613E-2</v>
      </c>
      <c r="AH100" s="2">
        <f t="shared" si="55"/>
        <v>3</v>
      </c>
      <c r="AI100" s="2">
        <f t="shared" si="56"/>
        <v>3</v>
      </c>
      <c r="AJ100" s="127">
        <f t="shared" si="57"/>
        <v>2</v>
      </c>
      <c r="AK100" s="2">
        <f t="shared" si="58"/>
        <v>1.5748031496062995E-2</v>
      </c>
      <c r="AL100" s="8">
        <f t="shared" si="270"/>
        <v>0.21074404619799331</v>
      </c>
      <c r="AM100" s="138">
        <f t="shared" si="59"/>
        <v>0.25</v>
      </c>
      <c r="AN100" s="12">
        <f t="shared" si="271"/>
        <v>17468.408976763491</v>
      </c>
      <c r="AO100" s="138">
        <f t="shared" si="60"/>
        <v>0.25</v>
      </c>
      <c r="AP100" s="116">
        <f t="shared" si="61"/>
        <v>2175570</v>
      </c>
      <c r="AQ100" s="2">
        <f t="shared" si="62"/>
        <v>1.5748031496062995E-2</v>
      </c>
      <c r="AR100" s="8">
        <f t="shared" si="63"/>
        <v>26.240158320000006</v>
      </c>
      <c r="AS100" s="116">
        <f t="shared" si="64"/>
        <v>2610.6840000000002</v>
      </c>
      <c r="AT100" s="217">
        <f t="shared" si="65"/>
        <v>2.3513749381047576E-2</v>
      </c>
      <c r="AU100" s="207">
        <f t="shared" si="66"/>
        <v>4.8986773870551961</v>
      </c>
      <c r="AV100" s="144">
        <f t="shared" si="67"/>
        <v>2386.9249816365746</v>
      </c>
      <c r="AW100" s="138">
        <f t="shared" si="68"/>
        <v>2</v>
      </c>
      <c r="AX100" s="116">
        <f t="shared" si="69"/>
        <v>2175570</v>
      </c>
      <c r="AY100" s="2">
        <f t="shared" si="70"/>
        <v>1.5748031496062995E-2</v>
      </c>
      <c r="AZ100" s="8">
        <f t="shared" si="71"/>
        <v>26.240158320000006</v>
      </c>
      <c r="BA100" s="116">
        <f t="shared" si="72"/>
        <v>2610.6840000000002</v>
      </c>
      <c r="BB100" s="217">
        <f t="shared" si="73"/>
        <v>0.18810999504838061</v>
      </c>
      <c r="BC100" s="207">
        <f t="shared" si="74"/>
        <v>3.1737752931842924</v>
      </c>
      <c r="BD100" s="144">
        <f t="shared" si="75"/>
        <v>98972.850798247324</v>
      </c>
      <c r="BE100" s="138">
        <f t="shared" si="76"/>
        <v>2</v>
      </c>
      <c r="BF100" s="116">
        <f t="shared" si="77"/>
        <v>2175570</v>
      </c>
      <c r="BG100" s="2">
        <f t="shared" si="78"/>
        <v>1.5748031496062995E-2</v>
      </c>
      <c r="BH100" s="8">
        <f t="shared" si="79"/>
        <v>26.240158320000006</v>
      </c>
      <c r="BI100" s="116">
        <f t="shared" si="80"/>
        <v>2610.6840000000002</v>
      </c>
      <c r="BJ100" s="217">
        <f t="shared" si="81"/>
        <v>0.18810999504838061</v>
      </c>
      <c r="BK100" s="207">
        <f t="shared" si="82"/>
        <v>3.1737752931842924</v>
      </c>
      <c r="BL100" s="144">
        <f t="shared" si="83"/>
        <v>98972.850798247324</v>
      </c>
      <c r="BM100" s="216">
        <f t="shared" si="84"/>
        <v>2</v>
      </c>
      <c r="BN100" s="216">
        <f t="shared" si="85"/>
        <v>2.3622047244094495E-2</v>
      </c>
      <c r="BO100" s="238">
        <f t="shared" si="86"/>
        <v>1.5748031496062995E-2</v>
      </c>
      <c r="BP100" s="216">
        <f t="shared" si="87"/>
        <v>0</v>
      </c>
      <c r="BQ100" s="138">
        <f t="shared" si="88"/>
        <v>2</v>
      </c>
      <c r="BR100" s="138">
        <f t="shared" si="89"/>
        <v>0</v>
      </c>
      <c r="BS100" s="238">
        <f t="shared" si="90"/>
        <v>0</v>
      </c>
      <c r="BT100" s="138">
        <f t="shared" si="91"/>
        <v>0</v>
      </c>
      <c r="BU100" s="138">
        <f t="shared" si="92"/>
        <v>2.5</v>
      </c>
      <c r="BV100" s="138">
        <f t="shared" si="93"/>
        <v>0</v>
      </c>
      <c r="BW100" s="238">
        <f t="shared" si="94"/>
        <v>0</v>
      </c>
      <c r="BX100" s="216">
        <f t="shared" si="95"/>
        <v>0</v>
      </c>
      <c r="BY100" s="138">
        <f t="shared" si="96"/>
        <v>2.3622047244094495E-2</v>
      </c>
      <c r="BZ100" s="138">
        <f t="shared" si="97"/>
        <v>0</v>
      </c>
      <c r="CA100" s="238">
        <f t="shared" si="98"/>
        <v>0</v>
      </c>
      <c r="CB100" s="138">
        <f t="shared" si="99"/>
        <v>0</v>
      </c>
      <c r="CC100" s="138">
        <f t="shared" si="100"/>
        <v>2.3622047244094495E-2</v>
      </c>
      <c r="CD100" s="138">
        <f t="shared" si="101"/>
        <v>0</v>
      </c>
      <c r="CE100" s="238">
        <f t="shared" si="102"/>
        <v>0</v>
      </c>
      <c r="CF100" s="216">
        <f t="shared" si="103"/>
        <v>0</v>
      </c>
      <c r="CG100" s="138">
        <f t="shared" si="104"/>
        <v>1.5748031496062995E-2</v>
      </c>
      <c r="CH100" s="138">
        <f t="shared" si="105"/>
        <v>0</v>
      </c>
      <c r="CI100" s="238">
        <f t="shared" si="106"/>
        <v>0</v>
      </c>
      <c r="CJ100" s="138">
        <f t="shared" si="107"/>
        <v>0</v>
      </c>
      <c r="CK100" s="138">
        <f t="shared" si="108"/>
        <v>1.5748031496062995E-2</v>
      </c>
      <c r="CL100" s="138">
        <f t="shared" si="109"/>
        <v>0</v>
      </c>
      <c r="CM100" s="238">
        <f t="shared" si="110"/>
        <v>0</v>
      </c>
      <c r="CN100" s="17">
        <f t="shared" si="111"/>
        <v>2.5</v>
      </c>
      <c r="CO100" s="17">
        <f t="shared" si="112"/>
        <v>2.3622047244094495E-2</v>
      </c>
      <c r="CP100" s="17">
        <f t="shared" si="113"/>
        <v>1.5748031496062995E-2</v>
      </c>
      <c r="CQ100" s="17">
        <f>$U100-IF('Inputs-Imperial'!$E$13,0,2)*($CO100+$CN100+$CP100)</f>
        <v>9.4464569952000019</v>
      </c>
      <c r="CR100" s="116">
        <f t="shared" si="114"/>
        <v>42630.134763467555</v>
      </c>
      <c r="CS100" s="8">
        <f t="shared" si="10"/>
        <v>1.1022146290144881</v>
      </c>
      <c r="CT100" s="8">
        <f t="shared" si="115"/>
        <v>1.0498641002598803</v>
      </c>
      <c r="CU100" s="8">
        <f t="shared" si="272"/>
        <v>1.1022146290144881</v>
      </c>
      <c r="CV100" s="8">
        <f t="shared" si="116"/>
        <v>1.0498641002598803</v>
      </c>
      <c r="CW100" s="216">
        <f t="shared" si="117"/>
        <v>8.3965928949401203</v>
      </c>
      <c r="CX100" s="116">
        <f t="shared" si="118"/>
        <v>47960.373901818035</v>
      </c>
      <c r="CY100" s="8">
        <f t="shared" si="119"/>
        <v>1.2400295242061916</v>
      </c>
      <c r="CZ100" s="8">
        <f t="shared" si="120"/>
        <v>1.1135661292470203</v>
      </c>
      <c r="DA100" s="8">
        <f t="shared" si="121"/>
        <v>1.2400295242061916</v>
      </c>
      <c r="DB100" s="8">
        <f t="shared" si="122"/>
        <v>1.1135661292470203</v>
      </c>
      <c r="DC100" s="216">
        <f t="shared" si="123"/>
        <v>8.332890865952983</v>
      </c>
      <c r="DD100" s="116">
        <f t="shared" si="124"/>
        <v>48327.01414440306</v>
      </c>
      <c r="DE100" s="8">
        <f t="shared" si="125"/>
        <v>1.2495091151388702</v>
      </c>
      <c r="DF100" s="8">
        <f t="shared" si="126"/>
        <v>1.1178144368091112</v>
      </c>
      <c r="DG100" s="8">
        <f t="shared" si="127"/>
        <v>1.2495091151388702</v>
      </c>
      <c r="DH100" s="8">
        <f t="shared" si="128"/>
        <v>1.1178144368091112</v>
      </c>
      <c r="DI100" s="216">
        <f t="shared" si="129"/>
        <v>8.3286425583908894</v>
      </c>
      <c r="DJ100" s="116">
        <f t="shared" si="130"/>
        <v>48351.664982544295</v>
      </c>
      <c r="DK100" s="8">
        <f t="shared" si="131"/>
        <v>1.2501464697840641</v>
      </c>
      <c r="DL100" s="8">
        <f t="shared" si="132"/>
        <v>1.1180994901099204</v>
      </c>
      <c r="DM100" s="8">
        <f t="shared" si="133"/>
        <v>1.2501464697840641</v>
      </c>
      <c r="DN100" s="8">
        <f t="shared" si="134"/>
        <v>1.1180994901099204</v>
      </c>
      <c r="DO100" s="216">
        <f t="shared" si="135"/>
        <v>8.3283575050900822</v>
      </c>
      <c r="DP100" s="116">
        <f t="shared" si="136"/>
        <v>48353.319906902958</v>
      </c>
      <c r="DQ100" s="170">
        <f t="shared" si="137"/>
        <v>1.2501892583384084</v>
      </c>
      <c r="DR100" s="8">
        <f t="shared" si="138"/>
        <v>1.1181186244484118</v>
      </c>
      <c r="DS100" s="8">
        <f t="shared" si="139"/>
        <v>1.2501892583384084</v>
      </c>
      <c r="DT100" s="134">
        <f t="shared" si="140"/>
        <v>1.1181186244484118</v>
      </c>
      <c r="DU100" s="170">
        <f>MAX(DQ$100:DQ$109)</f>
        <v>1.2501892583384084</v>
      </c>
      <c r="DV100" s="170">
        <f>MAX(DR$100:DR$109)</f>
        <v>1.1181186244484118</v>
      </c>
      <c r="DW100" s="170">
        <f>MAX(DS$100:DS$109)</f>
        <v>1.2501892583384084</v>
      </c>
      <c r="DX100" s="272">
        <f>MAX(DT$100:DT$109)</f>
        <v>1.1181186244484118</v>
      </c>
      <c r="DY100" s="272">
        <f t="shared" si="142"/>
        <v>7.2102197463031779</v>
      </c>
      <c r="DZ100" s="22">
        <f t="shared" si="273"/>
        <v>541.34698787949833</v>
      </c>
      <c r="EA100" s="216">
        <f t="shared" si="274"/>
        <v>3.5466800567127796E-2</v>
      </c>
      <c r="EB100" s="12">
        <f t="shared" si="143"/>
        <v>5</v>
      </c>
      <c r="EC100" s="7">
        <f>ROUND(MAX(DV100,DX100)/'Inputs-Imperial'!$E$21,0)</f>
        <v>9</v>
      </c>
      <c r="ED100" s="12">
        <f t="shared" si="144"/>
        <v>9</v>
      </c>
      <c r="EE100" s="2">
        <f t="shared" si="145"/>
        <v>5</v>
      </c>
      <c r="EF100" s="127">
        <f t="shared" si="146"/>
        <v>5</v>
      </c>
      <c r="EG100" s="2">
        <f t="shared" si="147"/>
        <v>3.9370078740157487E-2</v>
      </c>
      <c r="EH100" s="8">
        <f t="shared" si="275"/>
        <v>0.37324493434789385</v>
      </c>
      <c r="EI100" s="138">
        <f t="shared" si="148"/>
        <v>0.5</v>
      </c>
      <c r="EJ100" s="12">
        <f t="shared" si="276"/>
        <v>12375.192142925329</v>
      </c>
      <c r="EK100" s="138">
        <f t="shared" si="149"/>
        <v>0.5</v>
      </c>
      <c r="EL100" s="116">
        <f t="shared" si="150"/>
        <v>2175570</v>
      </c>
      <c r="EM100" s="2">
        <f t="shared" si="277"/>
        <v>3.9370078740157487E-2</v>
      </c>
      <c r="EN100" s="8">
        <f t="shared" si="151"/>
        <v>9.4464569952000019</v>
      </c>
      <c r="EO100" s="116">
        <f t="shared" si="152"/>
        <v>2610.6840000000002</v>
      </c>
      <c r="EP100" s="217">
        <f t="shared" si="153"/>
        <v>0.9071662569848602</v>
      </c>
      <c r="EQ100" s="207">
        <f t="shared" si="154"/>
        <v>2</v>
      </c>
      <c r="ER100" s="144">
        <f t="shared" si="155"/>
        <v>30077.720292118334</v>
      </c>
      <c r="ES100" s="138">
        <f t="shared" si="278"/>
        <v>0.5</v>
      </c>
      <c r="ET100" s="116">
        <f t="shared" si="156"/>
        <v>2175570</v>
      </c>
      <c r="EU100" s="2">
        <f t="shared" si="279"/>
        <v>3.9370078740157487E-2</v>
      </c>
      <c r="EV100" s="8">
        <f t="shared" si="157"/>
        <v>9.4464569952000019</v>
      </c>
      <c r="EW100" s="116">
        <f t="shared" si="158"/>
        <v>2610.6840000000002</v>
      </c>
      <c r="EX100" s="217">
        <f t="shared" si="159"/>
        <v>0.9071662569848602</v>
      </c>
      <c r="EY100" s="207">
        <f t="shared" si="160"/>
        <v>2</v>
      </c>
      <c r="EZ100" s="144">
        <f t="shared" si="161"/>
        <v>30077.720292118334</v>
      </c>
      <c r="FA100" s="138">
        <f t="shared" si="280"/>
        <v>0.5</v>
      </c>
      <c r="FB100" s="116">
        <f t="shared" si="162"/>
        <v>2175570</v>
      </c>
      <c r="FC100" s="2">
        <f t="shared" si="281"/>
        <v>3.9370078740157487E-2</v>
      </c>
      <c r="FD100" s="8">
        <f t="shared" si="163"/>
        <v>9.4464569952000019</v>
      </c>
      <c r="FE100" s="116">
        <f t="shared" si="164"/>
        <v>2610.6840000000002</v>
      </c>
      <c r="FF100" s="217">
        <f t="shared" si="165"/>
        <v>0.9071662569848602</v>
      </c>
      <c r="FG100" s="207">
        <f t="shared" si="166"/>
        <v>2</v>
      </c>
      <c r="FH100" s="144">
        <f t="shared" si="167"/>
        <v>30077.720292118334</v>
      </c>
      <c r="FI100" s="128">
        <f t="shared" si="168"/>
        <v>0.5</v>
      </c>
      <c r="FJ100" s="2">
        <f t="shared" si="169"/>
        <v>3.9370078740157487E-2</v>
      </c>
      <c r="FK100" s="127">
        <f t="shared" si="170"/>
        <v>3.9370078740157487E-2</v>
      </c>
      <c r="FL100" s="216">
        <f t="shared" si="171"/>
        <v>0</v>
      </c>
      <c r="FM100" s="138">
        <f t="shared" si="172"/>
        <v>0.5</v>
      </c>
      <c r="FN100" s="138">
        <f t="shared" si="173"/>
        <v>0</v>
      </c>
      <c r="FO100" s="238">
        <f t="shared" si="174"/>
        <v>0</v>
      </c>
      <c r="FP100" s="216">
        <f t="shared" si="282"/>
        <v>0</v>
      </c>
      <c r="FQ100" s="138">
        <f t="shared" si="283"/>
        <v>0.5</v>
      </c>
      <c r="FR100" s="138">
        <f t="shared" si="284"/>
        <v>0</v>
      </c>
      <c r="FS100" s="238">
        <f t="shared" si="285"/>
        <v>0</v>
      </c>
      <c r="FT100" s="216">
        <f t="shared" si="175"/>
        <v>0</v>
      </c>
      <c r="FU100" s="138">
        <f t="shared" si="176"/>
        <v>3.9370078740157487E-2</v>
      </c>
      <c r="FV100" s="138">
        <f t="shared" si="177"/>
        <v>0</v>
      </c>
      <c r="FW100" s="238">
        <f t="shared" si="178"/>
        <v>0</v>
      </c>
      <c r="FX100" s="216">
        <f t="shared" si="286"/>
        <v>0</v>
      </c>
      <c r="FY100" s="138">
        <f t="shared" si="287"/>
        <v>5.5118110236220486E-2</v>
      </c>
      <c r="FZ100" s="138">
        <f t="shared" si="288"/>
        <v>0</v>
      </c>
      <c r="GA100" s="238">
        <f t="shared" si="289"/>
        <v>0</v>
      </c>
      <c r="GB100" s="216">
        <f t="shared" si="179"/>
        <v>0</v>
      </c>
      <c r="GC100" s="138">
        <f t="shared" si="180"/>
        <v>3.9370078740157487E-2</v>
      </c>
      <c r="GD100" s="138">
        <f t="shared" si="181"/>
        <v>0</v>
      </c>
      <c r="GE100" s="238">
        <f t="shared" si="182"/>
        <v>0</v>
      </c>
      <c r="GF100" s="216">
        <f t="shared" si="290"/>
        <v>0</v>
      </c>
      <c r="GG100" s="138">
        <f t="shared" si="291"/>
        <v>5.5118110236220486E-2</v>
      </c>
      <c r="GH100" s="138">
        <f t="shared" si="292"/>
        <v>0</v>
      </c>
      <c r="GI100" s="238">
        <f t="shared" si="293"/>
        <v>0</v>
      </c>
      <c r="GJ100" s="216">
        <f t="shared" si="183"/>
        <v>0.5</v>
      </c>
      <c r="GK100" s="216">
        <f t="shared" si="184"/>
        <v>5.5118110236220486E-2</v>
      </c>
      <c r="GL100" s="17">
        <f t="shared" si="185"/>
        <v>5.5118110236220486E-2</v>
      </c>
      <c r="GM100" s="216">
        <f t="shared" si="294"/>
        <v>1.9174298459365548E-2</v>
      </c>
      <c r="GN100" s="2">
        <f t="shared" si="187"/>
        <v>3</v>
      </c>
      <c r="GO100" s="2">
        <f t="shared" si="188"/>
        <v>2</v>
      </c>
      <c r="GP100" s="142">
        <f t="shared" si="189"/>
        <v>2</v>
      </c>
      <c r="GQ100" s="2">
        <f t="shared" si="190"/>
        <v>1.5748031496062995E-2</v>
      </c>
      <c r="GR100" s="8">
        <f t="shared" si="295"/>
        <v>0.20178616777364386</v>
      </c>
      <c r="GS100" s="138">
        <f t="shared" si="191"/>
        <v>0.25</v>
      </c>
      <c r="GT100" s="12">
        <f t="shared" si="296"/>
        <v>16725.89744818797</v>
      </c>
      <c r="GU100" s="138">
        <f t="shared" si="192"/>
        <v>0.25</v>
      </c>
      <c r="GV100" s="116">
        <f t="shared" si="193"/>
        <v>2175570</v>
      </c>
      <c r="GW100" s="2">
        <f t="shared" si="297"/>
        <v>3.9370078740157487E-2</v>
      </c>
      <c r="GX100" s="8">
        <f t="shared" si="298"/>
        <v>4.723228497600001</v>
      </c>
      <c r="GY100" s="116">
        <f t="shared" si="194"/>
        <v>2610.6840000000002</v>
      </c>
      <c r="GZ100" s="217">
        <f t="shared" si="195"/>
        <v>1.8143325139697204</v>
      </c>
      <c r="HA100" s="207">
        <f t="shared" si="196"/>
        <v>2</v>
      </c>
      <c r="HB100" s="144">
        <f t="shared" si="197"/>
        <v>30077.720292118334</v>
      </c>
      <c r="HC100" s="138">
        <f t="shared" si="299"/>
        <v>0.25</v>
      </c>
      <c r="HD100" s="116">
        <f t="shared" si="198"/>
        <v>2175570</v>
      </c>
      <c r="HE100" s="2">
        <f t="shared" si="300"/>
        <v>3.9370078740157487E-2</v>
      </c>
      <c r="HF100" s="8">
        <f t="shared" si="199"/>
        <v>4.723228497600001</v>
      </c>
      <c r="HG100" s="116">
        <f t="shared" si="200"/>
        <v>2610.6840000000002</v>
      </c>
      <c r="HH100" s="217">
        <f t="shared" si="201"/>
        <v>1.8143325139697204</v>
      </c>
      <c r="HI100" s="207">
        <f t="shared" si="202"/>
        <v>2</v>
      </c>
      <c r="HJ100" s="144">
        <f t="shared" si="203"/>
        <v>30077.720292118334</v>
      </c>
      <c r="HK100" s="138">
        <f t="shared" si="301"/>
        <v>0.25</v>
      </c>
      <c r="HL100" s="116">
        <f t="shared" si="204"/>
        <v>2175570</v>
      </c>
      <c r="HM100" s="2">
        <f t="shared" si="302"/>
        <v>3.9370078740157487E-2</v>
      </c>
      <c r="HN100" s="8">
        <f t="shared" si="205"/>
        <v>4.723228497600001</v>
      </c>
      <c r="HO100" s="116">
        <f t="shared" si="206"/>
        <v>2610.6840000000002</v>
      </c>
      <c r="HP100" s="217">
        <f t="shared" si="207"/>
        <v>1.8143325139697204</v>
      </c>
      <c r="HQ100" s="207">
        <f t="shared" si="208"/>
        <v>2</v>
      </c>
      <c r="HR100" s="144">
        <f t="shared" si="209"/>
        <v>30077.720292118334</v>
      </c>
      <c r="HS100" s="128">
        <f t="shared" si="210"/>
        <v>0.25</v>
      </c>
      <c r="HT100" s="2">
        <f t="shared" si="211"/>
        <v>1.5748031496062995E-2</v>
      </c>
      <c r="HU100" s="127">
        <f t="shared" si="212"/>
        <v>1.5748031496062995E-2</v>
      </c>
      <c r="HV100" s="216">
        <f t="shared" si="213"/>
        <v>0</v>
      </c>
      <c r="HW100" s="138">
        <f t="shared" si="214"/>
        <v>0.25</v>
      </c>
      <c r="HX100" s="138">
        <f t="shared" si="215"/>
        <v>0</v>
      </c>
      <c r="HY100" s="238">
        <f t="shared" si="216"/>
        <v>0</v>
      </c>
      <c r="HZ100" s="138">
        <f t="shared" si="217"/>
        <v>0</v>
      </c>
      <c r="IA100" s="138">
        <f t="shared" si="218"/>
        <v>0.5</v>
      </c>
      <c r="IB100" s="138">
        <f t="shared" si="219"/>
        <v>0</v>
      </c>
      <c r="IC100" s="138">
        <f t="shared" si="220"/>
        <v>0</v>
      </c>
      <c r="ID100" s="216">
        <f t="shared" si="221"/>
        <v>0</v>
      </c>
      <c r="IE100" s="138">
        <f t="shared" si="222"/>
        <v>1.5748031496062995E-2</v>
      </c>
      <c r="IF100" s="138">
        <f t="shared" si="223"/>
        <v>0</v>
      </c>
      <c r="IG100" s="238">
        <f t="shared" si="224"/>
        <v>0</v>
      </c>
      <c r="IH100" s="138">
        <f t="shared" si="225"/>
        <v>0</v>
      </c>
      <c r="II100" s="138">
        <f t="shared" si="226"/>
        <v>1.5748031496062995E-2</v>
      </c>
      <c r="IJ100" s="138">
        <f t="shared" si="227"/>
        <v>0</v>
      </c>
      <c r="IK100" s="138">
        <f t="shared" si="228"/>
        <v>0</v>
      </c>
      <c r="IL100" s="216">
        <f t="shared" si="229"/>
        <v>0</v>
      </c>
      <c r="IM100" s="138">
        <f t="shared" si="230"/>
        <v>1.5748031496062995E-2</v>
      </c>
      <c r="IN100" s="138">
        <f t="shared" si="231"/>
        <v>0</v>
      </c>
      <c r="IO100" s="238">
        <f t="shared" si="232"/>
        <v>0</v>
      </c>
      <c r="IP100" s="138">
        <f t="shared" si="233"/>
        <v>0</v>
      </c>
      <c r="IQ100" s="138">
        <f t="shared" si="234"/>
        <v>1.5748031496062995E-2</v>
      </c>
      <c r="IR100" s="138">
        <f t="shared" si="235"/>
        <v>0</v>
      </c>
      <c r="IS100" s="138">
        <f t="shared" si="236"/>
        <v>0</v>
      </c>
      <c r="IT100" s="17">
        <f t="shared" si="237"/>
        <v>0.5</v>
      </c>
      <c r="IU100" s="17">
        <f t="shared" si="238"/>
        <v>1.5748031496062995E-2</v>
      </c>
      <c r="IV100" s="17">
        <f t="shared" si="239"/>
        <v>1.5748031496062995E-2</v>
      </c>
      <c r="IW100" s="253">
        <f t="shared" si="240"/>
        <v>26.240158320000006</v>
      </c>
      <c r="IX100" s="116">
        <f t="shared" si="303"/>
        <v>1534.6848514848321</v>
      </c>
      <c r="IY100" s="8">
        <f t="shared" si="242"/>
        <v>3.9679726644521573E-2</v>
      </c>
      <c r="IZ100" s="8">
        <f t="shared" si="243"/>
        <v>3.9679726644521573E-2</v>
      </c>
      <c r="JA100" s="8">
        <f t="shared" si="244"/>
        <v>1.9839863322260787E-2</v>
      </c>
      <c r="JB100" s="134">
        <f t="shared" si="245"/>
        <v>0.14085404971906482</v>
      </c>
      <c r="JC100" s="170">
        <f>MAX(JA$100:JA$109)</f>
        <v>1.9839863322260787E-2</v>
      </c>
      <c r="JD100" s="272">
        <f>MAX(JB$100:JB$109)</f>
        <v>0.14085404971906482</v>
      </c>
      <c r="JE100" s="8"/>
      <c r="JF100" s="8"/>
    </row>
    <row r="101" spans="1:266" x14ac:dyDescent="0.25">
      <c r="A101" s="186">
        <v>41</v>
      </c>
      <c r="B101" s="187">
        <f>A101/100*'Inputs-Imperial'!$E$5</f>
        <v>9.8733598959999984</v>
      </c>
      <c r="C101" s="188">
        <f>'Inputs-Imperial'!$E$10+('Inputs-Imperial'!$E$9-'Inputs-Imperial'!$E$10)*(100-A101)/100</f>
        <v>4.3555611630000008</v>
      </c>
      <c r="D101" s="187">
        <f t="shared" si="248"/>
        <v>0.24081365599999849</v>
      </c>
      <c r="E101" s="188">
        <f t="shared" si="249"/>
        <v>1.0510216753849826</v>
      </c>
      <c r="F101" s="423">
        <f>Loads!P61</f>
        <v>500.67906880520064</v>
      </c>
      <c r="G101" s="423">
        <f>Loads!M61</f>
        <v>5006.7906880520077</v>
      </c>
      <c r="H101" s="423">
        <f>Loads!N61</f>
        <v>32327.169029137454</v>
      </c>
      <c r="I101" s="423">
        <f>Loads!V61</f>
        <v>-10411.584814745875</v>
      </c>
      <c r="J101" s="423">
        <f>Loads!Q61</f>
        <v>3232.7169029137458</v>
      </c>
      <c r="K101" s="2">
        <v>41</v>
      </c>
      <c r="L101" s="12">
        <f t="shared" si="41"/>
        <v>118.48031875199999</v>
      </c>
      <c r="M101" s="11">
        <f t="shared" si="42"/>
        <v>52.26673395600001</v>
      </c>
      <c r="N101" s="11">
        <f t="shared" si="43"/>
        <v>2.8897638719999819</v>
      </c>
      <c r="O101" s="152">
        <f t="shared" si="44"/>
        <v>151.34712125543749</v>
      </c>
      <c r="P101" s="151">
        <f t="shared" si="45"/>
        <v>500.67906880520064</v>
      </c>
      <c r="Q101" s="12">
        <f t="shared" si="46"/>
        <v>5006.7906880520077</v>
      </c>
      <c r="R101" s="12">
        <f t="shared" si="47"/>
        <v>387926.02834964945</v>
      </c>
      <c r="S101" s="12">
        <f t="shared" si="48"/>
        <v>-124939.0177769505</v>
      </c>
      <c r="T101" s="152">
        <f t="shared" si="49"/>
        <v>38792.60283496495</v>
      </c>
      <c r="U101" s="8">
        <f t="shared" si="261"/>
        <v>9.4080121120800015</v>
      </c>
      <c r="V101" s="8">
        <f t="shared" si="262"/>
        <v>9.4080121120800015</v>
      </c>
      <c r="W101" s="134">
        <f t="shared" si="263"/>
        <v>4.7040060560400008</v>
      </c>
      <c r="X101" s="311">
        <f t="shared" si="264"/>
        <v>13.066683489000003</v>
      </c>
      <c r="Y101" s="11">
        <f t="shared" si="265"/>
        <v>39.200050467000011</v>
      </c>
      <c r="Z101" s="11">
        <f t="shared" si="266"/>
        <v>26.133366978000009</v>
      </c>
      <c r="AA101" s="316">
        <f t="shared" si="50"/>
        <v>39.200050467000011</v>
      </c>
      <c r="AB101" s="170">
        <f t="shared" si="51"/>
        <v>7.0560090840600012</v>
      </c>
      <c r="AC101" s="11">
        <f t="shared" si="52"/>
        <v>39.200050467000011</v>
      </c>
      <c r="AD101" s="152">
        <f t="shared" si="53"/>
        <v>217.23792143786679</v>
      </c>
      <c r="AE101" s="151">
        <f t="shared" si="267"/>
        <v>12.772408781123636</v>
      </c>
      <c r="AF101" s="12">
        <f t="shared" si="268"/>
        <v>287.56263397752332</v>
      </c>
      <c r="AG101" s="216">
        <f t="shared" si="269"/>
        <v>1.96767014564267E-2</v>
      </c>
      <c r="AH101" s="2">
        <f t="shared" si="55"/>
        <v>3</v>
      </c>
      <c r="AI101" s="2">
        <f t="shared" si="56"/>
        <v>3</v>
      </c>
      <c r="AJ101" s="127">
        <f t="shared" si="57"/>
        <v>2</v>
      </c>
      <c r="AK101" s="2">
        <f t="shared" si="58"/>
        <v>1.5748031496062995E-2</v>
      </c>
      <c r="AL101" s="8">
        <f t="shared" si="270"/>
        <v>0.20707334819747031</v>
      </c>
      <c r="AM101" s="138">
        <f t="shared" si="59"/>
        <v>0.25</v>
      </c>
      <c r="AN101" s="12">
        <f t="shared" si="271"/>
        <v>17164.147693656672</v>
      </c>
      <c r="AO101" s="138">
        <f t="shared" si="60"/>
        <v>0.25</v>
      </c>
      <c r="AP101" s="116">
        <f t="shared" si="61"/>
        <v>2175570</v>
      </c>
      <c r="AQ101" s="2">
        <f t="shared" si="62"/>
        <v>1.5748031496062995E-2</v>
      </c>
      <c r="AR101" s="8">
        <f t="shared" si="63"/>
        <v>26.133366978000009</v>
      </c>
      <c r="AS101" s="116">
        <f t="shared" si="64"/>
        <v>2610.6840000000002</v>
      </c>
      <c r="AT101" s="217">
        <f t="shared" si="65"/>
        <v>2.3706315112002319E-2</v>
      </c>
      <c r="AU101" s="207">
        <f t="shared" si="66"/>
        <v>4.8955967787970343</v>
      </c>
      <c r="AV101" s="144">
        <f t="shared" si="67"/>
        <v>2404.9593444450834</v>
      </c>
      <c r="AW101" s="138">
        <f t="shared" si="68"/>
        <v>2</v>
      </c>
      <c r="AX101" s="116">
        <f t="shared" si="69"/>
        <v>2175570</v>
      </c>
      <c r="AY101" s="2">
        <f t="shared" si="70"/>
        <v>1.5748031496062995E-2</v>
      </c>
      <c r="AZ101" s="8">
        <f t="shared" si="71"/>
        <v>26.133366978000009</v>
      </c>
      <c r="BA101" s="116">
        <f t="shared" si="72"/>
        <v>2610.6840000000002</v>
      </c>
      <c r="BB101" s="217">
        <f t="shared" si="73"/>
        <v>0.18965052089601855</v>
      </c>
      <c r="BC101" s="207">
        <f t="shared" si="74"/>
        <v>3.1640557655368986</v>
      </c>
      <c r="BD101" s="144">
        <f t="shared" si="75"/>
        <v>99477.8068341568</v>
      </c>
      <c r="BE101" s="138">
        <f t="shared" si="76"/>
        <v>2</v>
      </c>
      <c r="BF101" s="116">
        <f t="shared" si="77"/>
        <v>2175570</v>
      </c>
      <c r="BG101" s="2">
        <f t="shared" si="78"/>
        <v>1.5748031496062995E-2</v>
      </c>
      <c r="BH101" s="8">
        <f t="shared" si="79"/>
        <v>26.133366978000009</v>
      </c>
      <c r="BI101" s="116">
        <f t="shared" si="80"/>
        <v>2610.6840000000002</v>
      </c>
      <c r="BJ101" s="217">
        <f t="shared" si="81"/>
        <v>0.18965052089601855</v>
      </c>
      <c r="BK101" s="207">
        <f t="shared" si="82"/>
        <v>3.1640557655368986</v>
      </c>
      <c r="BL101" s="144">
        <f t="shared" si="83"/>
        <v>99477.8068341568</v>
      </c>
      <c r="BM101" s="216">
        <f t="shared" si="84"/>
        <v>2</v>
      </c>
      <c r="BN101" s="216">
        <f t="shared" si="85"/>
        <v>2.3622047244094495E-2</v>
      </c>
      <c r="BO101" s="238">
        <f t="shared" si="86"/>
        <v>1.5748031496062995E-2</v>
      </c>
      <c r="BP101" s="216">
        <f t="shared" si="87"/>
        <v>0</v>
      </c>
      <c r="BQ101" s="138">
        <f t="shared" si="88"/>
        <v>2</v>
      </c>
      <c r="BR101" s="138">
        <f t="shared" si="89"/>
        <v>0</v>
      </c>
      <c r="BS101" s="238">
        <f t="shared" si="90"/>
        <v>0</v>
      </c>
      <c r="BT101" s="138">
        <f t="shared" si="91"/>
        <v>0</v>
      </c>
      <c r="BU101" s="138">
        <f t="shared" si="92"/>
        <v>2.5</v>
      </c>
      <c r="BV101" s="138">
        <f t="shared" si="93"/>
        <v>0</v>
      </c>
      <c r="BW101" s="238">
        <f t="shared" si="94"/>
        <v>0</v>
      </c>
      <c r="BX101" s="216">
        <f t="shared" si="95"/>
        <v>0</v>
      </c>
      <c r="BY101" s="138">
        <f t="shared" si="96"/>
        <v>2.3622047244094495E-2</v>
      </c>
      <c r="BZ101" s="138">
        <f t="shared" si="97"/>
        <v>0</v>
      </c>
      <c r="CA101" s="238">
        <f t="shared" si="98"/>
        <v>0</v>
      </c>
      <c r="CB101" s="138">
        <f t="shared" si="99"/>
        <v>0</v>
      </c>
      <c r="CC101" s="138">
        <f t="shared" si="100"/>
        <v>2.3622047244094495E-2</v>
      </c>
      <c r="CD101" s="138">
        <f t="shared" si="101"/>
        <v>0</v>
      </c>
      <c r="CE101" s="238">
        <f t="shared" si="102"/>
        <v>0</v>
      </c>
      <c r="CF101" s="216">
        <f t="shared" si="103"/>
        <v>0</v>
      </c>
      <c r="CG101" s="138">
        <f t="shared" si="104"/>
        <v>1.5748031496062995E-2</v>
      </c>
      <c r="CH101" s="138">
        <f t="shared" si="105"/>
        <v>0</v>
      </c>
      <c r="CI101" s="238">
        <f t="shared" si="106"/>
        <v>0</v>
      </c>
      <c r="CJ101" s="138">
        <f t="shared" si="107"/>
        <v>0</v>
      </c>
      <c r="CK101" s="138">
        <f t="shared" si="108"/>
        <v>1.5748031496062995E-2</v>
      </c>
      <c r="CL101" s="138">
        <f t="shared" si="109"/>
        <v>0</v>
      </c>
      <c r="CM101" s="238">
        <f t="shared" si="110"/>
        <v>0</v>
      </c>
      <c r="CN101" s="17">
        <f t="shared" si="111"/>
        <v>2.5</v>
      </c>
      <c r="CO101" s="17">
        <f t="shared" si="112"/>
        <v>2.3622047244094495E-2</v>
      </c>
      <c r="CP101" s="17">
        <f t="shared" si="113"/>
        <v>1.5748031496062995E-2</v>
      </c>
      <c r="CQ101" s="17">
        <f>$U101-IF('Inputs-Imperial'!$E$13,0,2)*($CO101+$CN101+$CP101)</f>
        <v>9.4080121120800015</v>
      </c>
      <c r="CR101" s="116">
        <f t="shared" si="114"/>
        <v>41233.580880656787</v>
      </c>
      <c r="CS101" s="8">
        <f t="shared" si="10"/>
        <v>1.0661063190506139</v>
      </c>
      <c r="CT101" s="8">
        <f t="shared" si="115"/>
        <v>1.032524246228927</v>
      </c>
      <c r="CU101" s="8">
        <f t="shared" si="272"/>
        <v>1.0661063190506139</v>
      </c>
      <c r="CV101" s="8">
        <f t="shared" si="116"/>
        <v>1.032524246228927</v>
      </c>
      <c r="CW101" s="216">
        <f t="shared" si="117"/>
        <v>8.3754878658510741</v>
      </c>
      <c r="CX101" s="116">
        <f t="shared" si="118"/>
        <v>46316.827695652137</v>
      </c>
      <c r="CY101" s="8">
        <f t="shared" si="119"/>
        <v>1.1975351553296067</v>
      </c>
      <c r="CZ101" s="8">
        <f t="shared" si="120"/>
        <v>1.0943194941741679</v>
      </c>
      <c r="DA101" s="8">
        <f t="shared" si="121"/>
        <v>1.1975351553296067</v>
      </c>
      <c r="DB101" s="8">
        <f t="shared" si="122"/>
        <v>1.0943194941741679</v>
      </c>
      <c r="DC101" s="216">
        <f t="shared" si="123"/>
        <v>8.3136926179058328</v>
      </c>
      <c r="DD101" s="116">
        <f t="shared" si="124"/>
        <v>46661.098284310348</v>
      </c>
      <c r="DE101" s="8">
        <f t="shared" si="125"/>
        <v>1.2064363723035605</v>
      </c>
      <c r="DF101" s="8">
        <f t="shared" si="126"/>
        <v>1.0983789748094965</v>
      </c>
      <c r="DG101" s="8">
        <f t="shared" si="127"/>
        <v>1.2064363723035605</v>
      </c>
      <c r="DH101" s="8">
        <f t="shared" si="128"/>
        <v>1.0983789748094965</v>
      </c>
      <c r="DI101" s="216">
        <f t="shared" si="129"/>
        <v>8.3096331372705059</v>
      </c>
      <c r="DJ101" s="116">
        <f t="shared" si="130"/>
        <v>46683.893493410331</v>
      </c>
      <c r="DK101" s="8">
        <f t="shared" si="131"/>
        <v>1.2070257491160159</v>
      </c>
      <c r="DL101" s="8">
        <f t="shared" si="132"/>
        <v>1.0986472359752315</v>
      </c>
      <c r="DM101" s="8">
        <f t="shared" si="133"/>
        <v>1.2070257491160159</v>
      </c>
      <c r="DN101" s="8">
        <f t="shared" si="134"/>
        <v>1.0986472359752315</v>
      </c>
      <c r="DO101" s="216">
        <f t="shared" si="135"/>
        <v>8.3093648761047696</v>
      </c>
      <c r="DP101" s="116">
        <f t="shared" si="136"/>
        <v>46685.400645386013</v>
      </c>
      <c r="DQ101" s="170">
        <f t="shared" si="137"/>
        <v>1.2070647169720869</v>
      </c>
      <c r="DR101" s="8">
        <f t="shared" si="138"/>
        <v>1.0986649703035438</v>
      </c>
      <c r="DS101" s="8">
        <f t="shared" si="139"/>
        <v>1.2070647169720869</v>
      </c>
      <c r="DT101" s="134">
        <f t="shared" si="140"/>
        <v>1.0986649703035438</v>
      </c>
      <c r="DU101" s="170">
        <f t="shared" ref="DU101:DX109" si="304">MAX(DQ$100:DQ$109)</f>
        <v>1.2501892583384084</v>
      </c>
      <c r="DV101" s="170">
        <f t="shared" si="304"/>
        <v>1.1181186244484118</v>
      </c>
      <c r="DW101" s="170">
        <f t="shared" si="304"/>
        <v>1.2501892583384084</v>
      </c>
      <c r="DX101" s="272">
        <f t="shared" si="304"/>
        <v>1.1181186244484118</v>
      </c>
      <c r="DY101" s="272">
        <f t="shared" si="142"/>
        <v>7.1717748631831775</v>
      </c>
      <c r="DZ101" s="22">
        <f t="shared" si="273"/>
        <v>532.18369921348506</v>
      </c>
      <c r="EA101" s="216">
        <f t="shared" si="274"/>
        <v>3.4866460048139154E-2</v>
      </c>
      <c r="EB101" s="12">
        <f t="shared" si="143"/>
        <v>5</v>
      </c>
      <c r="EC101" s="7">
        <f>ROUND(MAX(DV101,DX101)/'Inputs-Imperial'!$E$21,0)</f>
        <v>9</v>
      </c>
      <c r="ED101" s="12">
        <f t="shared" si="144"/>
        <v>9</v>
      </c>
      <c r="EE101" s="2">
        <f t="shared" si="145"/>
        <v>5</v>
      </c>
      <c r="EF101" s="127">
        <f t="shared" si="146"/>
        <v>5</v>
      </c>
      <c r="EG101" s="2">
        <f t="shared" si="147"/>
        <v>3.9370078740157487E-2</v>
      </c>
      <c r="EH101" s="8">
        <f t="shared" si="275"/>
        <v>0.36692708063644358</v>
      </c>
      <c r="EI101" s="138">
        <f t="shared" si="148"/>
        <v>0.5</v>
      </c>
      <c r="EJ101" s="12">
        <f t="shared" si="276"/>
        <v>12165.719364020268</v>
      </c>
      <c r="EK101" s="138">
        <f t="shared" si="149"/>
        <v>0.5</v>
      </c>
      <c r="EL101" s="116">
        <f t="shared" si="150"/>
        <v>2175570</v>
      </c>
      <c r="EM101" s="2">
        <f t="shared" si="277"/>
        <v>3.9370078740157487E-2</v>
      </c>
      <c r="EN101" s="8">
        <f t="shared" si="151"/>
        <v>9.4080121120800015</v>
      </c>
      <c r="EO101" s="116">
        <f t="shared" si="152"/>
        <v>2610.6840000000002</v>
      </c>
      <c r="EP101" s="217">
        <f t="shared" si="153"/>
        <v>0.91459549043218857</v>
      </c>
      <c r="EQ101" s="207">
        <f t="shared" si="154"/>
        <v>2</v>
      </c>
      <c r="ER101" s="144">
        <f t="shared" si="155"/>
        <v>30324.041629462037</v>
      </c>
      <c r="ES101" s="138">
        <f t="shared" si="278"/>
        <v>0.5</v>
      </c>
      <c r="ET101" s="116">
        <f t="shared" si="156"/>
        <v>2175570</v>
      </c>
      <c r="EU101" s="2">
        <f t="shared" si="279"/>
        <v>3.9370078740157487E-2</v>
      </c>
      <c r="EV101" s="8">
        <f t="shared" si="157"/>
        <v>9.4080121120800015</v>
      </c>
      <c r="EW101" s="116">
        <f t="shared" si="158"/>
        <v>2610.6840000000002</v>
      </c>
      <c r="EX101" s="217">
        <f t="shared" si="159"/>
        <v>0.91459549043218857</v>
      </c>
      <c r="EY101" s="207">
        <f t="shared" si="160"/>
        <v>2</v>
      </c>
      <c r="EZ101" s="144">
        <f t="shared" si="161"/>
        <v>30324.041629462037</v>
      </c>
      <c r="FA101" s="138">
        <f t="shared" si="280"/>
        <v>0.5</v>
      </c>
      <c r="FB101" s="116">
        <f t="shared" si="162"/>
        <v>2175570</v>
      </c>
      <c r="FC101" s="2">
        <f t="shared" si="281"/>
        <v>3.9370078740157487E-2</v>
      </c>
      <c r="FD101" s="8">
        <f t="shared" si="163"/>
        <v>9.4080121120800015</v>
      </c>
      <c r="FE101" s="116">
        <f t="shared" si="164"/>
        <v>2610.6840000000002</v>
      </c>
      <c r="FF101" s="217">
        <f t="shared" si="165"/>
        <v>0.91459549043218857</v>
      </c>
      <c r="FG101" s="207">
        <f t="shared" si="166"/>
        <v>2</v>
      </c>
      <c r="FH101" s="144">
        <f t="shared" si="167"/>
        <v>30324.041629462037</v>
      </c>
      <c r="FI101" s="128">
        <f t="shared" si="168"/>
        <v>0.5</v>
      </c>
      <c r="FJ101" s="2">
        <f t="shared" si="169"/>
        <v>3.9370078740157487E-2</v>
      </c>
      <c r="FK101" s="127">
        <f t="shared" si="170"/>
        <v>3.9370078740157487E-2</v>
      </c>
      <c r="FL101" s="216">
        <f t="shared" si="171"/>
        <v>0</v>
      </c>
      <c r="FM101" s="138">
        <f t="shared" si="172"/>
        <v>0.5</v>
      </c>
      <c r="FN101" s="138">
        <f t="shared" si="173"/>
        <v>0</v>
      </c>
      <c r="FO101" s="238">
        <f t="shared" si="174"/>
        <v>0</v>
      </c>
      <c r="FP101" s="216">
        <f t="shared" si="282"/>
        <v>0</v>
      </c>
      <c r="FQ101" s="138">
        <f t="shared" si="283"/>
        <v>0.5</v>
      </c>
      <c r="FR101" s="138">
        <f t="shared" si="284"/>
        <v>0</v>
      </c>
      <c r="FS101" s="238">
        <f t="shared" si="285"/>
        <v>0</v>
      </c>
      <c r="FT101" s="216">
        <f t="shared" si="175"/>
        <v>0</v>
      </c>
      <c r="FU101" s="138">
        <f t="shared" si="176"/>
        <v>3.9370078740157487E-2</v>
      </c>
      <c r="FV101" s="138">
        <f t="shared" si="177"/>
        <v>0</v>
      </c>
      <c r="FW101" s="238">
        <f t="shared" si="178"/>
        <v>0</v>
      </c>
      <c r="FX101" s="216">
        <f t="shared" si="286"/>
        <v>0</v>
      </c>
      <c r="FY101" s="138">
        <f t="shared" si="287"/>
        <v>5.5118110236220486E-2</v>
      </c>
      <c r="FZ101" s="138">
        <f t="shared" si="288"/>
        <v>0</v>
      </c>
      <c r="GA101" s="238">
        <f t="shared" si="289"/>
        <v>0</v>
      </c>
      <c r="GB101" s="216">
        <f t="shared" si="179"/>
        <v>0</v>
      </c>
      <c r="GC101" s="138">
        <f t="shared" si="180"/>
        <v>3.9370078740157487E-2</v>
      </c>
      <c r="GD101" s="138">
        <f t="shared" si="181"/>
        <v>0</v>
      </c>
      <c r="GE101" s="238">
        <f t="shared" si="182"/>
        <v>0</v>
      </c>
      <c r="GF101" s="216">
        <f t="shared" si="290"/>
        <v>0</v>
      </c>
      <c r="GG101" s="138">
        <f t="shared" si="291"/>
        <v>5.5118110236220486E-2</v>
      </c>
      <c r="GH101" s="138">
        <f t="shared" si="292"/>
        <v>0</v>
      </c>
      <c r="GI101" s="238">
        <f t="shared" si="293"/>
        <v>0</v>
      </c>
      <c r="GJ101" s="216">
        <f t="shared" si="183"/>
        <v>0.5</v>
      </c>
      <c r="GK101" s="216">
        <f t="shared" si="184"/>
        <v>5.5118110236220486E-2</v>
      </c>
      <c r="GL101" s="17">
        <f t="shared" si="185"/>
        <v>5.5118110236220486E-2</v>
      </c>
      <c r="GM101" s="216">
        <f t="shared" si="294"/>
        <v>1.8839906415271359E-2</v>
      </c>
      <c r="GN101" s="2">
        <f t="shared" si="187"/>
        <v>3</v>
      </c>
      <c r="GO101" s="2">
        <f t="shared" si="188"/>
        <v>2</v>
      </c>
      <c r="GP101" s="142">
        <f t="shared" si="189"/>
        <v>2</v>
      </c>
      <c r="GQ101" s="2">
        <f t="shared" si="190"/>
        <v>1.5748031496062995E-2</v>
      </c>
      <c r="GR101" s="8">
        <f t="shared" si="295"/>
        <v>0.19826709826219563</v>
      </c>
      <c r="GS101" s="138">
        <f t="shared" si="191"/>
        <v>0.25</v>
      </c>
      <c r="GT101" s="12">
        <f t="shared" si="296"/>
        <v>16434.204531815456</v>
      </c>
      <c r="GU101" s="138">
        <f t="shared" si="192"/>
        <v>0.25</v>
      </c>
      <c r="GV101" s="116">
        <f t="shared" si="193"/>
        <v>2175570</v>
      </c>
      <c r="GW101" s="2">
        <f t="shared" si="297"/>
        <v>3.9370078740157487E-2</v>
      </c>
      <c r="GX101" s="8">
        <f t="shared" si="298"/>
        <v>4.7040060560400008</v>
      </c>
      <c r="GY101" s="116">
        <f t="shared" si="194"/>
        <v>2610.6840000000002</v>
      </c>
      <c r="GZ101" s="217">
        <f t="shared" si="195"/>
        <v>1.8291909808643771</v>
      </c>
      <c r="HA101" s="207">
        <f t="shared" si="196"/>
        <v>2</v>
      </c>
      <c r="HB101" s="144">
        <f t="shared" si="197"/>
        <v>30324.041629462037</v>
      </c>
      <c r="HC101" s="138">
        <f t="shared" si="299"/>
        <v>0.25</v>
      </c>
      <c r="HD101" s="116">
        <f t="shared" si="198"/>
        <v>2175570</v>
      </c>
      <c r="HE101" s="2">
        <f t="shared" si="300"/>
        <v>3.9370078740157487E-2</v>
      </c>
      <c r="HF101" s="8">
        <f t="shared" si="199"/>
        <v>4.7040060560400008</v>
      </c>
      <c r="HG101" s="116">
        <f t="shared" si="200"/>
        <v>2610.6840000000002</v>
      </c>
      <c r="HH101" s="217">
        <f t="shared" si="201"/>
        <v>1.8291909808643771</v>
      </c>
      <c r="HI101" s="207">
        <f t="shared" si="202"/>
        <v>2</v>
      </c>
      <c r="HJ101" s="144">
        <f t="shared" si="203"/>
        <v>30324.041629462037</v>
      </c>
      <c r="HK101" s="138">
        <f t="shared" si="301"/>
        <v>0.25</v>
      </c>
      <c r="HL101" s="116">
        <f t="shared" si="204"/>
        <v>2175570</v>
      </c>
      <c r="HM101" s="2">
        <f t="shared" si="302"/>
        <v>3.9370078740157487E-2</v>
      </c>
      <c r="HN101" s="8">
        <f t="shared" si="205"/>
        <v>4.7040060560400008</v>
      </c>
      <c r="HO101" s="116">
        <f t="shared" si="206"/>
        <v>2610.6840000000002</v>
      </c>
      <c r="HP101" s="217">
        <f t="shared" si="207"/>
        <v>1.8291909808643771</v>
      </c>
      <c r="HQ101" s="207">
        <f t="shared" si="208"/>
        <v>2</v>
      </c>
      <c r="HR101" s="144">
        <f t="shared" si="209"/>
        <v>30324.041629462037</v>
      </c>
      <c r="HS101" s="128">
        <f t="shared" si="210"/>
        <v>0.25</v>
      </c>
      <c r="HT101" s="2">
        <f t="shared" si="211"/>
        <v>1.5748031496062995E-2</v>
      </c>
      <c r="HU101" s="127">
        <f t="shared" si="212"/>
        <v>1.5748031496062995E-2</v>
      </c>
      <c r="HV101" s="216">
        <f t="shared" si="213"/>
        <v>0</v>
      </c>
      <c r="HW101" s="138">
        <f t="shared" si="214"/>
        <v>0.25</v>
      </c>
      <c r="HX101" s="138">
        <f t="shared" si="215"/>
        <v>0</v>
      </c>
      <c r="HY101" s="238">
        <f t="shared" si="216"/>
        <v>0</v>
      </c>
      <c r="HZ101" s="138">
        <f t="shared" si="217"/>
        <v>0</v>
      </c>
      <c r="IA101" s="138">
        <f t="shared" si="218"/>
        <v>0.5</v>
      </c>
      <c r="IB101" s="138">
        <f t="shared" si="219"/>
        <v>0</v>
      </c>
      <c r="IC101" s="138">
        <f t="shared" si="220"/>
        <v>0</v>
      </c>
      <c r="ID101" s="216">
        <f t="shared" si="221"/>
        <v>0</v>
      </c>
      <c r="IE101" s="138">
        <f t="shared" si="222"/>
        <v>1.5748031496062995E-2</v>
      </c>
      <c r="IF101" s="138">
        <f t="shared" si="223"/>
        <v>0</v>
      </c>
      <c r="IG101" s="238">
        <f t="shared" si="224"/>
        <v>0</v>
      </c>
      <c r="IH101" s="138">
        <f t="shared" si="225"/>
        <v>0</v>
      </c>
      <c r="II101" s="138">
        <f t="shared" si="226"/>
        <v>1.5748031496062995E-2</v>
      </c>
      <c r="IJ101" s="138">
        <f t="shared" si="227"/>
        <v>0</v>
      </c>
      <c r="IK101" s="138">
        <f t="shared" si="228"/>
        <v>0</v>
      </c>
      <c r="IL101" s="216">
        <f t="shared" si="229"/>
        <v>0</v>
      </c>
      <c r="IM101" s="138">
        <f t="shared" si="230"/>
        <v>1.5748031496062995E-2</v>
      </c>
      <c r="IN101" s="138">
        <f t="shared" si="231"/>
        <v>0</v>
      </c>
      <c r="IO101" s="238">
        <f t="shared" si="232"/>
        <v>0</v>
      </c>
      <c r="IP101" s="138">
        <f t="shared" si="233"/>
        <v>0</v>
      </c>
      <c r="IQ101" s="138">
        <f t="shared" si="234"/>
        <v>1.5748031496062995E-2</v>
      </c>
      <c r="IR101" s="138">
        <f t="shared" si="235"/>
        <v>0</v>
      </c>
      <c r="IS101" s="138">
        <f t="shared" si="236"/>
        <v>0</v>
      </c>
      <c r="IT101" s="17">
        <f t="shared" si="237"/>
        <v>0.5</v>
      </c>
      <c r="IU101" s="17">
        <f t="shared" si="238"/>
        <v>1.5748031496062995E-2</v>
      </c>
      <c r="IV101" s="17">
        <f t="shared" si="239"/>
        <v>1.5748031496062995E-2</v>
      </c>
      <c r="IW101" s="253">
        <f t="shared" si="240"/>
        <v>26.133366978000009</v>
      </c>
      <c r="IX101" s="116">
        <f t="shared" si="303"/>
        <v>1484.4089117036444</v>
      </c>
      <c r="IY101" s="8">
        <f t="shared" si="242"/>
        <v>3.8379827485822103E-2</v>
      </c>
      <c r="IZ101" s="8">
        <f t="shared" si="243"/>
        <v>3.8379827485822103E-2</v>
      </c>
      <c r="JA101" s="8">
        <f t="shared" si="244"/>
        <v>1.9189913742911052E-2</v>
      </c>
      <c r="JB101" s="134">
        <f t="shared" si="245"/>
        <v>0.13852766417907669</v>
      </c>
      <c r="JC101" s="170">
        <f t="shared" ref="JC101:JC109" si="305">MAX(JA$100:JA$109)</f>
        <v>1.9839863322260787E-2</v>
      </c>
      <c r="JD101" s="272">
        <f t="shared" ref="JD101:JD109" si="306">MAX(JB$100:JB$109)</f>
        <v>0.14085404971906482</v>
      </c>
      <c r="JE101" s="8"/>
      <c r="JF101" s="8"/>
    </row>
    <row r="102" spans="1:266" x14ac:dyDescent="0.25">
      <c r="A102" s="186">
        <v>42</v>
      </c>
      <c r="B102" s="187">
        <f>A102/100*'Inputs-Imperial'!$E$5</f>
        <v>10.114173551999999</v>
      </c>
      <c r="C102" s="188">
        <f>'Inputs-Imperial'!$E$10+('Inputs-Imperial'!$E$9-'Inputs-Imperial'!$E$10)*(100-A102)/100</f>
        <v>4.3377626060000001</v>
      </c>
      <c r="D102" s="187">
        <f t="shared" si="248"/>
        <v>0.24081365600000026</v>
      </c>
      <c r="E102" s="188">
        <f t="shared" si="249"/>
        <v>1.0467355398022959</v>
      </c>
      <c r="F102" s="423">
        <f>Loads!P62</f>
        <v>490.02541786647868</v>
      </c>
      <c r="G102" s="423">
        <f>Loads!M62</f>
        <v>4900.254178664788</v>
      </c>
      <c r="H102" s="423">
        <f>Loads!N62</f>
        <v>31121.465458720893</v>
      </c>
      <c r="I102" s="423">
        <f>Loads!V62</f>
        <v>-10142.472293076775</v>
      </c>
      <c r="J102" s="423">
        <f>Loads!Q62</f>
        <v>3112.14654587209</v>
      </c>
      <c r="K102" s="2">
        <v>42</v>
      </c>
      <c r="L102" s="12">
        <f t="shared" si="41"/>
        <v>121.37008262399999</v>
      </c>
      <c r="M102" s="11">
        <f t="shared" si="42"/>
        <v>52.053151272000001</v>
      </c>
      <c r="N102" s="11">
        <f t="shared" si="43"/>
        <v>2.8897638720000032</v>
      </c>
      <c r="O102" s="152">
        <f t="shared" si="44"/>
        <v>150.72991773153061</v>
      </c>
      <c r="P102" s="151">
        <f t="shared" si="45"/>
        <v>490.02541786647868</v>
      </c>
      <c r="Q102" s="12">
        <f t="shared" si="46"/>
        <v>4900.254178664788</v>
      </c>
      <c r="R102" s="12">
        <f t="shared" si="47"/>
        <v>373457.58550465072</v>
      </c>
      <c r="S102" s="12">
        <f t="shared" si="48"/>
        <v>-121709.6675169213</v>
      </c>
      <c r="T102" s="152">
        <f t="shared" si="49"/>
        <v>37345.758550465078</v>
      </c>
      <c r="U102" s="8">
        <f t="shared" si="261"/>
        <v>9.3695672289599994</v>
      </c>
      <c r="V102" s="8">
        <f t="shared" si="262"/>
        <v>9.3695672289599994</v>
      </c>
      <c r="W102" s="134">
        <f t="shared" si="263"/>
        <v>4.6847836144799997</v>
      </c>
      <c r="X102" s="311">
        <f t="shared" si="264"/>
        <v>13.013287818</v>
      </c>
      <c r="Y102" s="11">
        <f t="shared" si="265"/>
        <v>39.039863453999999</v>
      </c>
      <c r="Z102" s="11">
        <f t="shared" si="266"/>
        <v>26.026575635999997</v>
      </c>
      <c r="AA102" s="316">
        <f t="shared" si="50"/>
        <v>39.039863453999999</v>
      </c>
      <c r="AB102" s="170">
        <f t="shared" si="51"/>
        <v>7.0271754217199991</v>
      </c>
      <c r="AC102" s="11">
        <f t="shared" si="52"/>
        <v>39.039863453999999</v>
      </c>
      <c r="AD102" s="152">
        <f t="shared" si="53"/>
        <v>215.46610774511961</v>
      </c>
      <c r="AE102" s="151">
        <f t="shared" si="267"/>
        <v>12.551924482109607</v>
      </c>
      <c r="AF102" s="12">
        <f t="shared" si="268"/>
        <v>282.43343881464364</v>
      </c>
      <c r="AG102" s="216">
        <f t="shared" si="269"/>
        <v>1.9326212733258113E-2</v>
      </c>
      <c r="AH102" s="2">
        <f t="shared" si="55"/>
        <v>3</v>
      </c>
      <c r="AI102" s="2">
        <f t="shared" si="56"/>
        <v>3</v>
      </c>
      <c r="AJ102" s="127">
        <f t="shared" si="57"/>
        <v>2</v>
      </c>
      <c r="AK102" s="2">
        <f t="shared" si="58"/>
        <v>1.5748031496062995E-2</v>
      </c>
      <c r="AL102" s="8">
        <f t="shared" si="270"/>
        <v>0.20338488071867597</v>
      </c>
      <c r="AM102" s="138">
        <f t="shared" si="59"/>
        <v>0.25</v>
      </c>
      <c r="AN102" s="12">
        <f t="shared" si="271"/>
        <v>16858.413512409446</v>
      </c>
      <c r="AO102" s="138">
        <f t="shared" si="60"/>
        <v>0.25</v>
      </c>
      <c r="AP102" s="116">
        <f t="shared" si="61"/>
        <v>2175570</v>
      </c>
      <c r="AQ102" s="2">
        <f t="shared" si="62"/>
        <v>1.5748031496062995E-2</v>
      </c>
      <c r="AR102" s="8">
        <f t="shared" si="63"/>
        <v>26.026575635999997</v>
      </c>
      <c r="AS102" s="116">
        <f t="shared" si="64"/>
        <v>2610.6840000000002</v>
      </c>
      <c r="AT102" s="217">
        <f t="shared" si="65"/>
        <v>2.3901256089771842E-2</v>
      </c>
      <c r="AU102" s="207">
        <f t="shared" si="66"/>
        <v>4.8924813401080272</v>
      </c>
      <c r="AV102" s="144">
        <f t="shared" si="67"/>
        <v>2423.192682886161</v>
      </c>
      <c r="AW102" s="138">
        <f t="shared" si="68"/>
        <v>1.75</v>
      </c>
      <c r="AX102" s="116">
        <f t="shared" si="69"/>
        <v>2175570</v>
      </c>
      <c r="AY102" s="2">
        <f t="shared" si="70"/>
        <v>1.5748031496062995E-2</v>
      </c>
      <c r="AZ102" s="8">
        <f t="shared" si="71"/>
        <v>26.026575635999997</v>
      </c>
      <c r="BA102" s="116">
        <f t="shared" si="72"/>
        <v>2610.6840000000002</v>
      </c>
      <c r="BB102" s="217">
        <f t="shared" si="73"/>
        <v>0.16730879262840284</v>
      </c>
      <c r="BC102" s="207">
        <f t="shared" si="74"/>
        <v>3.3132727676512621</v>
      </c>
      <c r="BD102" s="144">
        <f t="shared" si="75"/>
        <v>80410.366575513763</v>
      </c>
      <c r="BE102" s="138">
        <f t="shared" si="76"/>
        <v>1.75</v>
      </c>
      <c r="BF102" s="116">
        <f t="shared" si="77"/>
        <v>2175570</v>
      </c>
      <c r="BG102" s="2">
        <f t="shared" si="78"/>
        <v>1.5748031496062995E-2</v>
      </c>
      <c r="BH102" s="8">
        <f t="shared" si="79"/>
        <v>26.026575635999997</v>
      </c>
      <c r="BI102" s="116">
        <f t="shared" si="80"/>
        <v>2610.6840000000002</v>
      </c>
      <c r="BJ102" s="217">
        <f t="shared" si="81"/>
        <v>0.16730879262840284</v>
      </c>
      <c r="BK102" s="207">
        <f t="shared" si="82"/>
        <v>3.3132727676512621</v>
      </c>
      <c r="BL102" s="144">
        <f t="shared" si="83"/>
        <v>80410.366575513763</v>
      </c>
      <c r="BM102" s="216">
        <f t="shared" si="84"/>
        <v>1.75</v>
      </c>
      <c r="BN102" s="216">
        <f t="shared" si="85"/>
        <v>2.3622047244094495E-2</v>
      </c>
      <c r="BO102" s="238">
        <f t="shared" si="86"/>
        <v>1.5748031496062995E-2</v>
      </c>
      <c r="BP102" s="216">
        <f t="shared" si="87"/>
        <v>0</v>
      </c>
      <c r="BQ102" s="138">
        <f t="shared" si="88"/>
        <v>1.75</v>
      </c>
      <c r="BR102" s="138">
        <f t="shared" si="89"/>
        <v>0</v>
      </c>
      <c r="BS102" s="238">
        <f t="shared" si="90"/>
        <v>0</v>
      </c>
      <c r="BT102" s="138">
        <f t="shared" si="91"/>
        <v>0</v>
      </c>
      <c r="BU102" s="138">
        <f t="shared" si="92"/>
        <v>2.5</v>
      </c>
      <c r="BV102" s="138">
        <f t="shared" si="93"/>
        <v>0</v>
      </c>
      <c r="BW102" s="238">
        <f t="shared" si="94"/>
        <v>0</v>
      </c>
      <c r="BX102" s="216">
        <f t="shared" si="95"/>
        <v>0</v>
      </c>
      <c r="BY102" s="138">
        <f t="shared" si="96"/>
        <v>2.3622047244094495E-2</v>
      </c>
      <c r="BZ102" s="138">
        <f t="shared" si="97"/>
        <v>0</v>
      </c>
      <c r="CA102" s="238">
        <f t="shared" si="98"/>
        <v>0</v>
      </c>
      <c r="CB102" s="138">
        <f t="shared" si="99"/>
        <v>0</v>
      </c>
      <c r="CC102" s="138">
        <f t="shared" si="100"/>
        <v>2.3622047244094495E-2</v>
      </c>
      <c r="CD102" s="138">
        <f t="shared" si="101"/>
        <v>0</v>
      </c>
      <c r="CE102" s="238">
        <f t="shared" si="102"/>
        <v>0</v>
      </c>
      <c r="CF102" s="216">
        <f t="shared" si="103"/>
        <v>0</v>
      </c>
      <c r="CG102" s="138">
        <f t="shared" si="104"/>
        <v>1.5748031496062995E-2</v>
      </c>
      <c r="CH102" s="138">
        <f t="shared" si="105"/>
        <v>0</v>
      </c>
      <c r="CI102" s="238">
        <f t="shared" si="106"/>
        <v>0</v>
      </c>
      <c r="CJ102" s="138">
        <f t="shared" si="107"/>
        <v>0</v>
      </c>
      <c r="CK102" s="138">
        <f t="shared" si="108"/>
        <v>1.5748031496062995E-2</v>
      </c>
      <c r="CL102" s="138">
        <f t="shared" si="109"/>
        <v>0</v>
      </c>
      <c r="CM102" s="238">
        <f t="shared" si="110"/>
        <v>0</v>
      </c>
      <c r="CN102" s="17">
        <f t="shared" si="111"/>
        <v>2.5</v>
      </c>
      <c r="CO102" s="17">
        <f t="shared" si="112"/>
        <v>2.3622047244094495E-2</v>
      </c>
      <c r="CP102" s="17">
        <f t="shared" si="113"/>
        <v>1.5748031496062995E-2</v>
      </c>
      <c r="CQ102" s="17">
        <f>$U102-IF('Inputs-Imperial'!$E$13,0,2)*($CO102+$CN102+$CP102)</f>
        <v>9.3695672289599994</v>
      </c>
      <c r="CR102" s="116">
        <f t="shared" si="114"/>
        <v>39858.573654324871</v>
      </c>
      <c r="CS102" s="8">
        <f t="shared" si="10"/>
        <v>1.0305551042052308</v>
      </c>
      <c r="CT102" s="8">
        <f t="shared" si="115"/>
        <v>1.0151625998849794</v>
      </c>
      <c r="CU102" s="8">
        <f t="shared" si="272"/>
        <v>1.0305551042052308</v>
      </c>
      <c r="CV102" s="8">
        <f t="shared" si="116"/>
        <v>1.0151625998849794</v>
      </c>
      <c r="CW102" s="216">
        <f t="shared" si="117"/>
        <v>8.3544046290750185</v>
      </c>
      <c r="CX102" s="116">
        <f t="shared" si="118"/>
        <v>44701.879078844562</v>
      </c>
      <c r="CY102" s="8">
        <f t="shared" si="119"/>
        <v>1.155780185507709</v>
      </c>
      <c r="CZ102" s="8">
        <f t="shared" si="120"/>
        <v>1.0750721768828868</v>
      </c>
      <c r="DA102" s="8">
        <f t="shared" si="121"/>
        <v>1.155780185507709</v>
      </c>
      <c r="DB102" s="8">
        <f t="shared" si="122"/>
        <v>1.0750721768828868</v>
      </c>
      <c r="DC102" s="216">
        <f t="shared" si="123"/>
        <v>8.2944950520771119</v>
      </c>
      <c r="DD102" s="116">
        <f t="shared" si="124"/>
        <v>45024.752339942534</v>
      </c>
      <c r="DE102" s="8">
        <f t="shared" si="125"/>
        <v>1.16412816830613</v>
      </c>
      <c r="DF102" s="8">
        <f t="shared" si="126"/>
        <v>1.078947713425507</v>
      </c>
      <c r="DG102" s="8">
        <f t="shared" si="127"/>
        <v>1.16412816830613</v>
      </c>
      <c r="DH102" s="8">
        <f t="shared" si="128"/>
        <v>1.078947713425507</v>
      </c>
      <c r="DI102" s="216">
        <f t="shared" si="129"/>
        <v>8.2906195155344928</v>
      </c>
      <c r="DJ102" s="116">
        <f t="shared" si="130"/>
        <v>45045.799629917528</v>
      </c>
      <c r="DK102" s="8">
        <f t="shared" si="131"/>
        <v>1.1646723521573017</v>
      </c>
      <c r="DL102" s="8">
        <f t="shared" si="132"/>
        <v>1.0791998666406986</v>
      </c>
      <c r="DM102" s="8">
        <f t="shared" si="133"/>
        <v>1.1646723521573017</v>
      </c>
      <c r="DN102" s="8">
        <f t="shared" si="134"/>
        <v>1.0791998666406986</v>
      </c>
      <c r="DO102" s="216">
        <f t="shared" si="135"/>
        <v>8.2903673623192997</v>
      </c>
      <c r="DP102" s="116">
        <f t="shared" si="136"/>
        <v>45047.169707106063</v>
      </c>
      <c r="DQ102" s="170">
        <f t="shared" si="137"/>
        <v>1.1647077759045747</v>
      </c>
      <c r="DR102" s="8">
        <f t="shared" si="138"/>
        <v>1.0792162785579982</v>
      </c>
      <c r="DS102" s="8">
        <f t="shared" si="139"/>
        <v>1.1647077759045747</v>
      </c>
      <c r="DT102" s="134">
        <f t="shared" si="140"/>
        <v>1.0792162785579982</v>
      </c>
      <c r="DU102" s="170">
        <f t="shared" si="304"/>
        <v>1.2501892583384084</v>
      </c>
      <c r="DV102" s="170">
        <f t="shared" si="304"/>
        <v>1.1181186244484118</v>
      </c>
      <c r="DW102" s="170">
        <f t="shared" si="304"/>
        <v>1.2501892583384084</v>
      </c>
      <c r="DX102" s="272">
        <f t="shared" si="304"/>
        <v>1.1181186244484118</v>
      </c>
      <c r="DY102" s="272">
        <f t="shared" si="142"/>
        <v>7.1333299800631753</v>
      </c>
      <c r="DZ102" s="22">
        <f t="shared" si="273"/>
        <v>522.99685342123371</v>
      </c>
      <c r="EA102" s="216">
        <f t="shared" si="274"/>
        <v>3.4264576164327348E-2</v>
      </c>
      <c r="EB102" s="12">
        <f t="shared" si="143"/>
        <v>5</v>
      </c>
      <c r="EC102" s="7">
        <f>ROUND(MAX(DV102,DX102)/'Inputs-Imperial'!$E$21,0)</f>
        <v>9</v>
      </c>
      <c r="ED102" s="12">
        <f t="shared" si="144"/>
        <v>9</v>
      </c>
      <c r="EE102" s="2">
        <f t="shared" si="145"/>
        <v>5</v>
      </c>
      <c r="EF102" s="127">
        <f t="shared" si="146"/>
        <v>5</v>
      </c>
      <c r="EG102" s="2">
        <f t="shared" si="147"/>
        <v>3.9370078740157487E-2</v>
      </c>
      <c r="EH102" s="8">
        <f t="shared" si="275"/>
        <v>0.36059298488756991</v>
      </c>
      <c r="EI102" s="138">
        <f t="shared" si="148"/>
        <v>0.5</v>
      </c>
      <c r="EJ102" s="12">
        <f t="shared" si="276"/>
        <v>11955.7080692094</v>
      </c>
      <c r="EK102" s="138">
        <f t="shared" si="149"/>
        <v>0.5</v>
      </c>
      <c r="EL102" s="116">
        <f t="shared" si="150"/>
        <v>2175570</v>
      </c>
      <c r="EM102" s="2">
        <f t="shared" si="277"/>
        <v>3.9370078740157487E-2</v>
      </c>
      <c r="EN102" s="8">
        <f t="shared" si="151"/>
        <v>9.3695672289599994</v>
      </c>
      <c r="EO102" s="116">
        <f t="shared" si="152"/>
        <v>2610.6840000000002</v>
      </c>
      <c r="EP102" s="217">
        <f t="shared" si="153"/>
        <v>0.92211636148811116</v>
      </c>
      <c r="EQ102" s="207">
        <f t="shared" si="154"/>
        <v>2</v>
      </c>
      <c r="ER102" s="144">
        <f t="shared" si="155"/>
        <v>30573.401274655389</v>
      </c>
      <c r="ES102" s="138">
        <f t="shared" si="278"/>
        <v>0.5</v>
      </c>
      <c r="ET102" s="116">
        <f t="shared" si="156"/>
        <v>2175570</v>
      </c>
      <c r="EU102" s="2">
        <f t="shared" si="279"/>
        <v>3.9370078740157487E-2</v>
      </c>
      <c r="EV102" s="8">
        <f t="shared" si="157"/>
        <v>9.3695672289599994</v>
      </c>
      <c r="EW102" s="116">
        <f t="shared" si="158"/>
        <v>2610.6840000000002</v>
      </c>
      <c r="EX102" s="217">
        <f t="shared" si="159"/>
        <v>0.92211636148811116</v>
      </c>
      <c r="EY102" s="207">
        <f t="shared" si="160"/>
        <v>2</v>
      </c>
      <c r="EZ102" s="144">
        <f t="shared" si="161"/>
        <v>30573.401274655389</v>
      </c>
      <c r="FA102" s="138">
        <f t="shared" si="280"/>
        <v>0.5</v>
      </c>
      <c r="FB102" s="116">
        <f t="shared" si="162"/>
        <v>2175570</v>
      </c>
      <c r="FC102" s="2">
        <f t="shared" si="281"/>
        <v>3.9370078740157487E-2</v>
      </c>
      <c r="FD102" s="8">
        <f t="shared" si="163"/>
        <v>9.3695672289599994</v>
      </c>
      <c r="FE102" s="116">
        <f t="shared" si="164"/>
        <v>2610.6840000000002</v>
      </c>
      <c r="FF102" s="217">
        <f t="shared" si="165"/>
        <v>0.92211636148811116</v>
      </c>
      <c r="FG102" s="207">
        <f t="shared" si="166"/>
        <v>2</v>
      </c>
      <c r="FH102" s="144">
        <f t="shared" si="167"/>
        <v>30573.401274655389</v>
      </c>
      <c r="FI102" s="128">
        <f t="shared" si="168"/>
        <v>0.5</v>
      </c>
      <c r="FJ102" s="2">
        <f t="shared" si="169"/>
        <v>3.9370078740157487E-2</v>
      </c>
      <c r="FK102" s="127">
        <f t="shared" si="170"/>
        <v>3.9370078740157487E-2</v>
      </c>
      <c r="FL102" s="216">
        <f t="shared" si="171"/>
        <v>0</v>
      </c>
      <c r="FM102" s="138">
        <f t="shared" si="172"/>
        <v>0.5</v>
      </c>
      <c r="FN102" s="138">
        <f t="shared" si="173"/>
        <v>0</v>
      </c>
      <c r="FO102" s="238">
        <f t="shared" si="174"/>
        <v>0</v>
      </c>
      <c r="FP102" s="216">
        <f t="shared" si="282"/>
        <v>0</v>
      </c>
      <c r="FQ102" s="138">
        <f t="shared" si="283"/>
        <v>0.5</v>
      </c>
      <c r="FR102" s="138">
        <f t="shared" si="284"/>
        <v>0</v>
      </c>
      <c r="FS102" s="238">
        <f t="shared" si="285"/>
        <v>0</v>
      </c>
      <c r="FT102" s="216">
        <f t="shared" si="175"/>
        <v>0</v>
      </c>
      <c r="FU102" s="138">
        <f t="shared" si="176"/>
        <v>3.9370078740157487E-2</v>
      </c>
      <c r="FV102" s="138">
        <f t="shared" si="177"/>
        <v>0</v>
      </c>
      <c r="FW102" s="238">
        <f t="shared" si="178"/>
        <v>0</v>
      </c>
      <c r="FX102" s="216">
        <f t="shared" si="286"/>
        <v>0</v>
      </c>
      <c r="FY102" s="138">
        <f t="shared" si="287"/>
        <v>5.5118110236220486E-2</v>
      </c>
      <c r="FZ102" s="138">
        <f t="shared" si="288"/>
        <v>0</v>
      </c>
      <c r="GA102" s="238">
        <f t="shared" si="289"/>
        <v>0</v>
      </c>
      <c r="GB102" s="216">
        <f t="shared" si="179"/>
        <v>0</v>
      </c>
      <c r="GC102" s="138">
        <f t="shared" si="180"/>
        <v>3.9370078740157487E-2</v>
      </c>
      <c r="GD102" s="138">
        <f t="shared" si="181"/>
        <v>0</v>
      </c>
      <c r="GE102" s="238">
        <f t="shared" si="182"/>
        <v>0</v>
      </c>
      <c r="GF102" s="216">
        <f t="shared" si="290"/>
        <v>0</v>
      </c>
      <c r="GG102" s="138">
        <f t="shared" si="291"/>
        <v>5.5118110236220486E-2</v>
      </c>
      <c r="GH102" s="138">
        <f t="shared" si="292"/>
        <v>0</v>
      </c>
      <c r="GI102" s="238">
        <f t="shared" si="293"/>
        <v>0</v>
      </c>
      <c r="GJ102" s="216">
        <f t="shared" si="183"/>
        <v>0.5</v>
      </c>
      <c r="GK102" s="216">
        <f t="shared" si="184"/>
        <v>5.5118110236220486E-2</v>
      </c>
      <c r="GL102" s="17">
        <f t="shared" si="185"/>
        <v>5.5118110236220486E-2</v>
      </c>
      <c r="GM102" s="216">
        <f t="shared" si="294"/>
        <v>1.8503862905314257E-2</v>
      </c>
      <c r="GN102" s="2">
        <f t="shared" si="187"/>
        <v>3</v>
      </c>
      <c r="GO102" s="2">
        <f t="shared" si="188"/>
        <v>2</v>
      </c>
      <c r="GP102" s="142">
        <f t="shared" si="189"/>
        <v>2</v>
      </c>
      <c r="GQ102" s="2">
        <f t="shared" si="190"/>
        <v>1.5748031496062995E-2</v>
      </c>
      <c r="GR102" s="8">
        <f t="shared" si="295"/>
        <v>0.19473064908137427</v>
      </c>
      <c r="GS102" s="138">
        <f t="shared" si="191"/>
        <v>0.25</v>
      </c>
      <c r="GT102" s="12">
        <f t="shared" si="296"/>
        <v>16141.07102825688</v>
      </c>
      <c r="GU102" s="138">
        <f t="shared" si="192"/>
        <v>0.25</v>
      </c>
      <c r="GV102" s="116">
        <f t="shared" si="193"/>
        <v>2175570</v>
      </c>
      <c r="GW102" s="2">
        <f t="shared" si="297"/>
        <v>3.9370078740157487E-2</v>
      </c>
      <c r="GX102" s="8">
        <f t="shared" si="298"/>
        <v>4.6847836144799997</v>
      </c>
      <c r="GY102" s="116">
        <f t="shared" si="194"/>
        <v>2610.6840000000002</v>
      </c>
      <c r="GZ102" s="217">
        <f t="shared" si="195"/>
        <v>1.8442327229762223</v>
      </c>
      <c r="HA102" s="207">
        <f t="shared" si="196"/>
        <v>2</v>
      </c>
      <c r="HB102" s="144">
        <f t="shared" si="197"/>
        <v>30573.401274655389</v>
      </c>
      <c r="HC102" s="138">
        <f t="shared" si="299"/>
        <v>0.25</v>
      </c>
      <c r="HD102" s="116">
        <f t="shared" si="198"/>
        <v>2175570</v>
      </c>
      <c r="HE102" s="2">
        <f t="shared" si="300"/>
        <v>3.9370078740157487E-2</v>
      </c>
      <c r="HF102" s="8">
        <f t="shared" si="199"/>
        <v>4.6847836144799997</v>
      </c>
      <c r="HG102" s="116">
        <f t="shared" si="200"/>
        <v>2610.6840000000002</v>
      </c>
      <c r="HH102" s="217">
        <f t="shared" si="201"/>
        <v>1.8442327229762223</v>
      </c>
      <c r="HI102" s="207">
        <f t="shared" si="202"/>
        <v>2</v>
      </c>
      <c r="HJ102" s="144">
        <f t="shared" si="203"/>
        <v>30573.401274655389</v>
      </c>
      <c r="HK102" s="138">
        <f t="shared" si="301"/>
        <v>0.25</v>
      </c>
      <c r="HL102" s="116">
        <f t="shared" si="204"/>
        <v>2175570</v>
      </c>
      <c r="HM102" s="2">
        <f t="shared" si="302"/>
        <v>3.9370078740157487E-2</v>
      </c>
      <c r="HN102" s="8">
        <f t="shared" si="205"/>
        <v>4.6847836144799997</v>
      </c>
      <c r="HO102" s="116">
        <f t="shared" si="206"/>
        <v>2610.6840000000002</v>
      </c>
      <c r="HP102" s="217">
        <f t="shared" si="207"/>
        <v>1.8442327229762223</v>
      </c>
      <c r="HQ102" s="207">
        <f t="shared" si="208"/>
        <v>2</v>
      </c>
      <c r="HR102" s="144">
        <f t="shared" si="209"/>
        <v>30573.401274655389</v>
      </c>
      <c r="HS102" s="128">
        <f t="shared" si="210"/>
        <v>0.25</v>
      </c>
      <c r="HT102" s="2">
        <f t="shared" si="211"/>
        <v>1.5748031496062995E-2</v>
      </c>
      <c r="HU102" s="127">
        <f t="shared" si="212"/>
        <v>1.5748031496062995E-2</v>
      </c>
      <c r="HV102" s="216">
        <f t="shared" si="213"/>
        <v>0</v>
      </c>
      <c r="HW102" s="138">
        <f t="shared" si="214"/>
        <v>0.25</v>
      </c>
      <c r="HX102" s="138">
        <f t="shared" si="215"/>
        <v>0</v>
      </c>
      <c r="HY102" s="238">
        <f t="shared" si="216"/>
        <v>0</v>
      </c>
      <c r="HZ102" s="138">
        <f t="shared" si="217"/>
        <v>0</v>
      </c>
      <c r="IA102" s="138">
        <f t="shared" si="218"/>
        <v>0.5</v>
      </c>
      <c r="IB102" s="138">
        <f t="shared" si="219"/>
        <v>0</v>
      </c>
      <c r="IC102" s="138">
        <f t="shared" si="220"/>
        <v>0</v>
      </c>
      <c r="ID102" s="216">
        <f t="shared" si="221"/>
        <v>0</v>
      </c>
      <c r="IE102" s="138">
        <f t="shared" si="222"/>
        <v>1.5748031496062995E-2</v>
      </c>
      <c r="IF102" s="138">
        <f t="shared" si="223"/>
        <v>0</v>
      </c>
      <c r="IG102" s="238">
        <f t="shared" si="224"/>
        <v>0</v>
      </c>
      <c r="IH102" s="138">
        <f t="shared" si="225"/>
        <v>0</v>
      </c>
      <c r="II102" s="138">
        <f t="shared" si="226"/>
        <v>1.5748031496062995E-2</v>
      </c>
      <c r="IJ102" s="138">
        <f t="shared" si="227"/>
        <v>0</v>
      </c>
      <c r="IK102" s="138">
        <f t="shared" si="228"/>
        <v>0</v>
      </c>
      <c r="IL102" s="216">
        <f t="shared" si="229"/>
        <v>0</v>
      </c>
      <c r="IM102" s="138">
        <f t="shared" si="230"/>
        <v>1.5748031496062995E-2</v>
      </c>
      <c r="IN102" s="138">
        <f t="shared" si="231"/>
        <v>0</v>
      </c>
      <c r="IO102" s="238">
        <f t="shared" si="232"/>
        <v>0</v>
      </c>
      <c r="IP102" s="138">
        <f t="shared" si="233"/>
        <v>0</v>
      </c>
      <c r="IQ102" s="138">
        <f t="shared" si="234"/>
        <v>1.5748031496062995E-2</v>
      </c>
      <c r="IR102" s="138">
        <f t="shared" si="235"/>
        <v>0</v>
      </c>
      <c r="IS102" s="138">
        <f t="shared" si="236"/>
        <v>0</v>
      </c>
      <c r="IT102" s="17">
        <f t="shared" si="237"/>
        <v>0.5</v>
      </c>
      <c r="IU102" s="17">
        <f t="shared" si="238"/>
        <v>1.5748031496062995E-2</v>
      </c>
      <c r="IV102" s="17">
        <f t="shared" si="239"/>
        <v>1.5748031496062995E-2</v>
      </c>
      <c r="IW102" s="253">
        <f t="shared" si="240"/>
        <v>26.026575635999997</v>
      </c>
      <c r="IX102" s="116">
        <f t="shared" si="303"/>
        <v>1434.9086515556958</v>
      </c>
      <c r="IY102" s="8">
        <f t="shared" si="242"/>
        <v>3.7099983751388316E-2</v>
      </c>
      <c r="IZ102" s="8">
        <f t="shared" si="243"/>
        <v>3.7099983751388316E-2</v>
      </c>
      <c r="JA102" s="8">
        <f t="shared" si="244"/>
        <v>1.8549991875694158E-2</v>
      </c>
      <c r="JB102" s="134">
        <f t="shared" si="245"/>
        <v>0.13619835489349405</v>
      </c>
      <c r="JC102" s="170">
        <f t="shared" si="305"/>
        <v>1.9839863322260787E-2</v>
      </c>
      <c r="JD102" s="272">
        <f t="shared" si="306"/>
        <v>0.14085404971906482</v>
      </c>
      <c r="JE102" s="8"/>
      <c r="JF102" s="8"/>
    </row>
    <row r="103" spans="1:266" x14ac:dyDescent="0.25">
      <c r="A103" s="186">
        <v>43</v>
      </c>
      <c r="B103" s="187">
        <f>A103/100*'Inputs-Imperial'!$E$5</f>
        <v>10.354987207999999</v>
      </c>
      <c r="C103" s="188">
        <f>'Inputs-Imperial'!$E$10+('Inputs-Imperial'!$E$9-'Inputs-Imperial'!$E$10)*(100-A103)/100</f>
        <v>4.3199640490000002</v>
      </c>
      <c r="D103" s="187">
        <f t="shared" si="248"/>
        <v>0.24081365600000026</v>
      </c>
      <c r="E103" s="188">
        <f t="shared" si="249"/>
        <v>1.0424494042196015</v>
      </c>
      <c r="F103" s="423">
        <f>Loads!P63</f>
        <v>479.42097211171102</v>
      </c>
      <c r="G103" s="423">
        <f>Loads!M63</f>
        <v>4794.2097211171113</v>
      </c>
      <c r="H103" s="423">
        <f>Loads!N63</f>
        <v>29941.417334627349</v>
      </c>
      <c r="I103" s="423">
        <f>Loads!V63</f>
        <v>-9875.8531495821608</v>
      </c>
      <c r="J103" s="423">
        <f>Loads!Q63</f>
        <v>2994.1417334627354</v>
      </c>
      <c r="K103" s="2">
        <v>43</v>
      </c>
      <c r="L103" s="12">
        <f t="shared" si="41"/>
        <v>124.25984649599999</v>
      </c>
      <c r="M103" s="11">
        <f t="shared" si="42"/>
        <v>51.839568588000006</v>
      </c>
      <c r="N103" s="11">
        <f t="shared" si="43"/>
        <v>2.8897638720000032</v>
      </c>
      <c r="O103" s="152">
        <f t="shared" si="44"/>
        <v>150.11271420762262</v>
      </c>
      <c r="P103" s="151">
        <f t="shared" si="45"/>
        <v>479.42097211171102</v>
      </c>
      <c r="Q103" s="12">
        <f t="shared" si="46"/>
        <v>4794.2097211171113</v>
      </c>
      <c r="R103" s="12">
        <f t="shared" si="47"/>
        <v>359297.0080155282</v>
      </c>
      <c r="S103" s="12">
        <f t="shared" si="48"/>
        <v>-118510.23779498594</v>
      </c>
      <c r="T103" s="152">
        <f t="shared" si="49"/>
        <v>35929.700801552826</v>
      </c>
      <c r="U103" s="8">
        <f t="shared" si="261"/>
        <v>9.3311223458400008</v>
      </c>
      <c r="V103" s="8">
        <f t="shared" si="262"/>
        <v>9.3311223458400008</v>
      </c>
      <c r="W103" s="134">
        <f t="shared" si="263"/>
        <v>4.6655611729200004</v>
      </c>
      <c r="X103" s="311">
        <f t="shared" si="264"/>
        <v>12.959892147000001</v>
      </c>
      <c r="Y103" s="11">
        <f t="shared" si="265"/>
        <v>38.879676441000001</v>
      </c>
      <c r="Z103" s="11">
        <f t="shared" si="266"/>
        <v>25.919784293999999</v>
      </c>
      <c r="AA103" s="316">
        <f t="shared" si="50"/>
        <v>38.879676441000001</v>
      </c>
      <c r="AB103" s="170">
        <f t="shared" si="51"/>
        <v>6.9983417593800006</v>
      </c>
      <c r="AC103" s="11">
        <f t="shared" si="52"/>
        <v>38.879676441000001</v>
      </c>
      <c r="AD103" s="152">
        <f t="shared" si="53"/>
        <v>213.70154921227274</v>
      </c>
      <c r="AE103" s="151">
        <f t="shared" si="267"/>
        <v>12.330888937289215</v>
      </c>
      <c r="AF103" s="12">
        <f t="shared" si="268"/>
        <v>277.27978162027279</v>
      </c>
      <c r="AG103" s="216">
        <f t="shared" si="269"/>
        <v>1.8974085244312121E-2</v>
      </c>
      <c r="AH103" s="2">
        <f t="shared" si="55"/>
        <v>3</v>
      </c>
      <c r="AI103" s="2">
        <f t="shared" si="56"/>
        <v>3</v>
      </c>
      <c r="AJ103" s="127">
        <f t="shared" si="57"/>
        <v>2</v>
      </c>
      <c r="AK103" s="2">
        <f t="shared" si="58"/>
        <v>1.5748031496062995E-2</v>
      </c>
      <c r="AL103" s="8">
        <f t="shared" si="270"/>
        <v>0.19967916722346005</v>
      </c>
      <c r="AM103" s="138">
        <f t="shared" si="59"/>
        <v>0.25</v>
      </c>
      <c r="AN103" s="12">
        <f t="shared" si="271"/>
        <v>16551.249822364665</v>
      </c>
      <c r="AO103" s="138">
        <f t="shared" si="60"/>
        <v>0.25</v>
      </c>
      <c r="AP103" s="116">
        <f t="shared" si="61"/>
        <v>2175570</v>
      </c>
      <c r="AQ103" s="2">
        <f t="shared" si="62"/>
        <v>1.5748031496062995E-2</v>
      </c>
      <c r="AR103" s="8">
        <f t="shared" si="63"/>
        <v>25.919784293999999</v>
      </c>
      <c r="AS103" s="116">
        <f t="shared" si="64"/>
        <v>2610.6840000000002</v>
      </c>
      <c r="AT103" s="217">
        <f t="shared" si="65"/>
        <v>2.4098611539624351E-2</v>
      </c>
      <c r="AU103" s="207">
        <f t="shared" si="66"/>
        <v>4.8893305592850167</v>
      </c>
      <c r="AV103" s="144">
        <f t="shared" si="67"/>
        <v>2441.6278335229904</v>
      </c>
      <c r="AW103" s="138">
        <f t="shared" si="68"/>
        <v>1.75</v>
      </c>
      <c r="AX103" s="116">
        <f t="shared" si="69"/>
        <v>2175570</v>
      </c>
      <c r="AY103" s="2">
        <f t="shared" si="70"/>
        <v>1.5748031496062995E-2</v>
      </c>
      <c r="AZ103" s="8">
        <f t="shared" si="71"/>
        <v>25.919784293999999</v>
      </c>
      <c r="BA103" s="116">
        <f t="shared" si="72"/>
        <v>2610.6840000000002</v>
      </c>
      <c r="BB103" s="217">
        <f t="shared" si="73"/>
        <v>0.16869028077737039</v>
      </c>
      <c r="BC103" s="207">
        <f t="shared" si="74"/>
        <v>3.3035028124856458</v>
      </c>
      <c r="BD103" s="144">
        <f t="shared" si="75"/>
        <v>80835.257822500571</v>
      </c>
      <c r="BE103" s="138">
        <f t="shared" si="76"/>
        <v>1.75</v>
      </c>
      <c r="BF103" s="116">
        <f t="shared" si="77"/>
        <v>2175570</v>
      </c>
      <c r="BG103" s="2">
        <f t="shared" si="78"/>
        <v>1.5748031496062995E-2</v>
      </c>
      <c r="BH103" s="8">
        <f t="shared" si="79"/>
        <v>25.919784293999999</v>
      </c>
      <c r="BI103" s="116">
        <f t="shared" si="80"/>
        <v>2610.6840000000002</v>
      </c>
      <c r="BJ103" s="217">
        <f t="shared" si="81"/>
        <v>0.16869028077737039</v>
      </c>
      <c r="BK103" s="207">
        <f t="shared" si="82"/>
        <v>3.3035028124856458</v>
      </c>
      <c r="BL103" s="144">
        <f t="shared" si="83"/>
        <v>80835.257822500571</v>
      </c>
      <c r="BM103" s="216">
        <f t="shared" si="84"/>
        <v>1.75</v>
      </c>
      <c r="BN103" s="216">
        <f t="shared" si="85"/>
        <v>2.3622047244094495E-2</v>
      </c>
      <c r="BO103" s="238">
        <f t="shared" si="86"/>
        <v>1.5748031496062995E-2</v>
      </c>
      <c r="BP103" s="216">
        <f t="shared" si="87"/>
        <v>0</v>
      </c>
      <c r="BQ103" s="138">
        <f t="shared" si="88"/>
        <v>1.75</v>
      </c>
      <c r="BR103" s="138">
        <f t="shared" si="89"/>
        <v>0</v>
      </c>
      <c r="BS103" s="238">
        <f t="shared" si="90"/>
        <v>0</v>
      </c>
      <c r="BT103" s="138">
        <f t="shared" si="91"/>
        <v>0</v>
      </c>
      <c r="BU103" s="138">
        <f t="shared" si="92"/>
        <v>2.5</v>
      </c>
      <c r="BV103" s="138">
        <f t="shared" si="93"/>
        <v>0</v>
      </c>
      <c r="BW103" s="238">
        <f t="shared" si="94"/>
        <v>0</v>
      </c>
      <c r="BX103" s="216">
        <f t="shared" si="95"/>
        <v>0</v>
      </c>
      <c r="BY103" s="138">
        <f t="shared" si="96"/>
        <v>2.3622047244094495E-2</v>
      </c>
      <c r="BZ103" s="138">
        <f t="shared" si="97"/>
        <v>0</v>
      </c>
      <c r="CA103" s="238">
        <f t="shared" si="98"/>
        <v>0</v>
      </c>
      <c r="CB103" s="138">
        <f t="shared" si="99"/>
        <v>0</v>
      </c>
      <c r="CC103" s="138">
        <f t="shared" si="100"/>
        <v>2.3622047244094495E-2</v>
      </c>
      <c r="CD103" s="138">
        <f t="shared" si="101"/>
        <v>0</v>
      </c>
      <c r="CE103" s="238">
        <f t="shared" si="102"/>
        <v>0</v>
      </c>
      <c r="CF103" s="216">
        <f t="shared" si="103"/>
        <v>0</v>
      </c>
      <c r="CG103" s="138">
        <f t="shared" si="104"/>
        <v>1.5748031496062995E-2</v>
      </c>
      <c r="CH103" s="138">
        <f t="shared" si="105"/>
        <v>0</v>
      </c>
      <c r="CI103" s="238">
        <f t="shared" si="106"/>
        <v>0</v>
      </c>
      <c r="CJ103" s="138">
        <f t="shared" si="107"/>
        <v>0</v>
      </c>
      <c r="CK103" s="138">
        <f t="shared" si="108"/>
        <v>1.5748031496062995E-2</v>
      </c>
      <c r="CL103" s="138">
        <f t="shared" si="109"/>
        <v>0</v>
      </c>
      <c r="CM103" s="238">
        <f t="shared" si="110"/>
        <v>0</v>
      </c>
      <c r="CN103" s="17">
        <f t="shared" si="111"/>
        <v>2.5</v>
      </c>
      <c r="CO103" s="17">
        <f t="shared" si="112"/>
        <v>2.3622047244094495E-2</v>
      </c>
      <c r="CP103" s="17">
        <f t="shared" si="113"/>
        <v>1.5748031496062995E-2</v>
      </c>
      <c r="CQ103" s="17">
        <f>$U103-IF('Inputs-Imperial'!$E$13,0,2)*($CO103+$CN103+$CP103)</f>
        <v>9.3311223458400008</v>
      </c>
      <c r="CR103" s="116">
        <f t="shared" si="114"/>
        <v>38505.229563913061</v>
      </c>
      <c r="CS103" s="8">
        <f t="shared" si="10"/>
        <v>0.99556399608843171</v>
      </c>
      <c r="CT103" s="8">
        <f t="shared" si="115"/>
        <v>0.9977795328069381</v>
      </c>
      <c r="CU103" s="8">
        <f t="shared" si="272"/>
        <v>0.99556399608843171</v>
      </c>
      <c r="CV103" s="8">
        <f t="shared" si="116"/>
        <v>0.9977795328069381</v>
      </c>
      <c r="CW103" s="216">
        <f t="shared" si="117"/>
        <v>8.3333428130330631</v>
      </c>
      <c r="CX103" s="116">
        <f t="shared" si="118"/>
        <v>43115.591915119585</v>
      </c>
      <c r="CY103" s="8">
        <f t="shared" si="119"/>
        <v>1.1147662659558077</v>
      </c>
      <c r="CZ103" s="8">
        <f t="shared" si="120"/>
        <v>1.0558249220187066</v>
      </c>
      <c r="DA103" s="8">
        <f t="shared" si="121"/>
        <v>1.1147662659558077</v>
      </c>
      <c r="DB103" s="8">
        <f t="shared" si="122"/>
        <v>1.0558249220187066</v>
      </c>
      <c r="DC103" s="216">
        <f t="shared" si="123"/>
        <v>8.2752974238212929</v>
      </c>
      <c r="DD103" s="116">
        <f t="shared" si="124"/>
        <v>43418.017457747788</v>
      </c>
      <c r="DE103" s="8">
        <f t="shared" si="125"/>
        <v>1.1225855670000564</v>
      </c>
      <c r="DF103" s="8">
        <f t="shared" si="126"/>
        <v>1.0595213858153389</v>
      </c>
      <c r="DG103" s="8">
        <f t="shared" si="127"/>
        <v>1.1225855670000564</v>
      </c>
      <c r="DH103" s="8">
        <f t="shared" si="128"/>
        <v>1.0595213858153389</v>
      </c>
      <c r="DI103" s="216">
        <f t="shared" si="129"/>
        <v>8.2716009600246636</v>
      </c>
      <c r="DJ103" s="116">
        <f t="shared" si="130"/>
        <v>43437.420367828876</v>
      </c>
      <c r="DK103" s="8">
        <f t="shared" si="131"/>
        <v>1.1230872349271106</v>
      </c>
      <c r="DL103" s="8">
        <f t="shared" si="132"/>
        <v>1.0597581020813716</v>
      </c>
      <c r="DM103" s="8">
        <f t="shared" si="133"/>
        <v>1.1230872349271106</v>
      </c>
      <c r="DN103" s="8">
        <f t="shared" si="134"/>
        <v>1.0597581020813716</v>
      </c>
      <c r="DO103" s="216">
        <f t="shared" si="135"/>
        <v>8.2713642437586294</v>
      </c>
      <c r="DP103" s="116">
        <f t="shared" si="136"/>
        <v>43438.663493346336</v>
      </c>
      <c r="DQ103" s="170">
        <f t="shared" si="137"/>
        <v>1.1231193763017191</v>
      </c>
      <c r="DR103" s="8">
        <f t="shared" si="138"/>
        <v>1.059773266459255</v>
      </c>
      <c r="DS103" s="8">
        <f t="shared" si="139"/>
        <v>1.1231193763017191</v>
      </c>
      <c r="DT103" s="134">
        <f t="shared" si="140"/>
        <v>1.059773266459255</v>
      </c>
      <c r="DU103" s="170">
        <f t="shared" si="304"/>
        <v>1.2501892583384084</v>
      </c>
      <c r="DV103" s="170">
        <f t="shared" si="304"/>
        <v>1.1181186244484118</v>
      </c>
      <c r="DW103" s="170">
        <f t="shared" si="304"/>
        <v>1.2501892583384084</v>
      </c>
      <c r="DX103" s="272">
        <f t="shared" si="304"/>
        <v>1.1181186244484118</v>
      </c>
      <c r="DY103" s="272">
        <f t="shared" si="142"/>
        <v>7.0948850969431767</v>
      </c>
      <c r="DZ103" s="22">
        <f t="shared" si="273"/>
        <v>513.78703905371731</v>
      </c>
      <c r="EA103" s="216">
        <f t="shared" si="274"/>
        <v>3.3661187475101502E-2</v>
      </c>
      <c r="EB103" s="12">
        <f t="shared" si="143"/>
        <v>5</v>
      </c>
      <c r="EC103" s="7">
        <f>ROUND(MAX(DV103,DX103)/'Inputs-Imperial'!$E$21,0)</f>
        <v>9</v>
      </c>
      <c r="ED103" s="12">
        <f t="shared" si="144"/>
        <v>9</v>
      </c>
      <c r="EE103" s="2">
        <f t="shared" si="145"/>
        <v>5</v>
      </c>
      <c r="EF103" s="127">
        <f t="shared" si="146"/>
        <v>5</v>
      </c>
      <c r="EG103" s="2">
        <f t="shared" si="147"/>
        <v>3.9370078740157487E-2</v>
      </c>
      <c r="EH103" s="8">
        <f t="shared" si="275"/>
        <v>0.35424305289215052</v>
      </c>
      <c r="EI103" s="138">
        <f t="shared" si="148"/>
        <v>0.5</v>
      </c>
      <c r="EJ103" s="12">
        <f t="shared" si="276"/>
        <v>11745.171712767977</v>
      </c>
      <c r="EK103" s="138">
        <f t="shared" si="149"/>
        <v>0.5</v>
      </c>
      <c r="EL103" s="116">
        <f t="shared" si="150"/>
        <v>2175570</v>
      </c>
      <c r="EM103" s="2">
        <f t="shared" si="277"/>
        <v>3.9370078740157487E-2</v>
      </c>
      <c r="EN103" s="8">
        <f t="shared" si="151"/>
        <v>9.3311223458400008</v>
      </c>
      <c r="EO103" s="116">
        <f t="shared" si="152"/>
        <v>2610.6840000000002</v>
      </c>
      <c r="EP103" s="217">
        <f t="shared" si="153"/>
        <v>0.92973038347316139</v>
      </c>
      <c r="EQ103" s="207">
        <f t="shared" si="154"/>
        <v>2</v>
      </c>
      <c r="ER103" s="144">
        <f t="shared" si="155"/>
        <v>30825.849402880031</v>
      </c>
      <c r="ES103" s="138">
        <f t="shared" si="278"/>
        <v>0.5</v>
      </c>
      <c r="ET103" s="116">
        <f t="shared" si="156"/>
        <v>2175570</v>
      </c>
      <c r="EU103" s="2">
        <f t="shared" si="279"/>
        <v>3.9370078740157487E-2</v>
      </c>
      <c r="EV103" s="8">
        <f t="shared" si="157"/>
        <v>9.3311223458400008</v>
      </c>
      <c r="EW103" s="116">
        <f t="shared" si="158"/>
        <v>2610.6840000000002</v>
      </c>
      <c r="EX103" s="217">
        <f t="shared" si="159"/>
        <v>0.92973038347316139</v>
      </c>
      <c r="EY103" s="207">
        <f t="shared" si="160"/>
        <v>2</v>
      </c>
      <c r="EZ103" s="144">
        <f t="shared" si="161"/>
        <v>30825.849402880031</v>
      </c>
      <c r="FA103" s="138">
        <f t="shared" si="280"/>
        <v>0.5</v>
      </c>
      <c r="FB103" s="116">
        <f t="shared" si="162"/>
        <v>2175570</v>
      </c>
      <c r="FC103" s="2">
        <f t="shared" si="281"/>
        <v>3.9370078740157487E-2</v>
      </c>
      <c r="FD103" s="8">
        <f t="shared" si="163"/>
        <v>9.3311223458400008</v>
      </c>
      <c r="FE103" s="116">
        <f t="shared" si="164"/>
        <v>2610.6840000000002</v>
      </c>
      <c r="FF103" s="217">
        <f t="shared" si="165"/>
        <v>0.92973038347316139</v>
      </c>
      <c r="FG103" s="207">
        <f t="shared" si="166"/>
        <v>2</v>
      </c>
      <c r="FH103" s="144">
        <f t="shared" si="167"/>
        <v>30825.849402880031</v>
      </c>
      <c r="FI103" s="128">
        <f t="shared" si="168"/>
        <v>0.5</v>
      </c>
      <c r="FJ103" s="2">
        <f t="shared" si="169"/>
        <v>3.9370078740157487E-2</v>
      </c>
      <c r="FK103" s="127">
        <f t="shared" si="170"/>
        <v>3.9370078740157487E-2</v>
      </c>
      <c r="FL103" s="216">
        <f t="shared" si="171"/>
        <v>0</v>
      </c>
      <c r="FM103" s="138">
        <f t="shared" si="172"/>
        <v>0.5</v>
      </c>
      <c r="FN103" s="138">
        <f t="shared" si="173"/>
        <v>0</v>
      </c>
      <c r="FO103" s="238">
        <f t="shared" si="174"/>
        <v>0</v>
      </c>
      <c r="FP103" s="216">
        <f t="shared" si="282"/>
        <v>0</v>
      </c>
      <c r="FQ103" s="138">
        <f t="shared" si="283"/>
        <v>0.5</v>
      </c>
      <c r="FR103" s="138">
        <f t="shared" si="284"/>
        <v>0</v>
      </c>
      <c r="FS103" s="238">
        <f t="shared" si="285"/>
        <v>0</v>
      </c>
      <c r="FT103" s="216">
        <f t="shared" si="175"/>
        <v>0</v>
      </c>
      <c r="FU103" s="138">
        <f t="shared" si="176"/>
        <v>3.9370078740157487E-2</v>
      </c>
      <c r="FV103" s="138">
        <f t="shared" si="177"/>
        <v>0</v>
      </c>
      <c r="FW103" s="238">
        <f t="shared" si="178"/>
        <v>0</v>
      </c>
      <c r="FX103" s="216">
        <f t="shared" si="286"/>
        <v>0</v>
      </c>
      <c r="FY103" s="138">
        <f t="shared" si="287"/>
        <v>5.5118110236220486E-2</v>
      </c>
      <c r="FZ103" s="138">
        <f t="shared" si="288"/>
        <v>0</v>
      </c>
      <c r="GA103" s="238">
        <f t="shared" si="289"/>
        <v>0</v>
      </c>
      <c r="GB103" s="216">
        <f t="shared" si="179"/>
        <v>0</v>
      </c>
      <c r="GC103" s="138">
        <f t="shared" si="180"/>
        <v>3.9370078740157487E-2</v>
      </c>
      <c r="GD103" s="138">
        <f t="shared" si="181"/>
        <v>0</v>
      </c>
      <c r="GE103" s="238">
        <f t="shared" si="182"/>
        <v>0</v>
      </c>
      <c r="GF103" s="216">
        <f t="shared" si="290"/>
        <v>0</v>
      </c>
      <c r="GG103" s="138">
        <f t="shared" si="291"/>
        <v>5.5118110236220486E-2</v>
      </c>
      <c r="GH103" s="138">
        <f t="shared" si="292"/>
        <v>0</v>
      </c>
      <c r="GI103" s="238">
        <f t="shared" si="293"/>
        <v>0</v>
      </c>
      <c r="GJ103" s="216">
        <f t="shared" si="183"/>
        <v>0.5</v>
      </c>
      <c r="GK103" s="216">
        <f t="shared" si="184"/>
        <v>5.5118110236220486E-2</v>
      </c>
      <c r="GL103" s="17">
        <f t="shared" si="185"/>
        <v>5.5118110236220486E-2</v>
      </c>
      <c r="GM103" s="216">
        <f t="shared" si="294"/>
        <v>1.8166216744909685E-2</v>
      </c>
      <c r="GN103" s="2">
        <f t="shared" si="187"/>
        <v>3</v>
      </c>
      <c r="GO103" s="2">
        <f t="shared" si="188"/>
        <v>2</v>
      </c>
      <c r="GP103" s="142">
        <f t="shared" si="189"/>
        <v>2</v>
      </c>
      <c r="GQ103" s="2">
        <f t="shared" si="190"/>
        <v>1.5748031496062995E-2</v>
      </c>
      <c r="GR103" s="8">
        <f t="shared" si="295"/>
        <v>0.19117733395404843</v>
      </c>
      <c r="GS103" s="138">
        <f t="shared" si="191"/>
        <v>0.25</v>
      </c>
      <c r="GT103" s="12">
        <f t="shared" si="296"/>
        <v>15846.539519598586</v>
      </c>
      <c r="GU103" s="138">
        <f t="shared" si="192"/>
        <v>0.25</v>
      </c>
      <c r="GV103" s="116">
        <f t="shared" si="193"/>
        <v>2175570</v>
      </c>
      <c r="GW103" s="2">
        <f t="shared" si="297"/>
        <v>3.9370078740157487E-2</v>
      </c>
      <c r="GX103" s="8">
        <f t="shared" si="298"/>
        <v>4.6655611729200004</v>
      </c>
      <c r="GY103" s="116">
        <f t="shared" si="194"/>
        <v>2610.6840000000002</v>
      </c>
      <c r="GZ103" s="217">
        <f t="shared" si="195"/>
        <v>1.8594607669463228</v>
      </c>
      <c r="HA103" s="207">
        <f t="shared" si="196"/>
        <v>2</v>
      </c>
      <c r="HB103" s="144">
        <f t="shared" si="197"/>
        <v>30825.849402880031</v>
      </c>
      <c r="HC103" s="138">
        <f t="shared" si="299"/>
        <v>0.25</v>
      </c>
      <c r="HD103" s="116">
        <f t="shared" si="198"/>
        <v>2175570</v>
      </c>
      <c r="HE103" s="2">
        <f t="shared" si="300"/>
        <v>3.9370078740157487E-2</v>
      </c>
      <c r="HF103" s="8">
        <f t="shared" si="199"/>
        <v>4.6655611729200004</v>
      </c>
      <c r="HG103" s="116">
        <f t="shared" si="200"/>
        <v>2610.6840000000002</v>
      </c>
      <c r="HH103" s="217">
        <f t="shared" si="201"/>
        <v>1.8594607669463228</v>
      </c>
      <c r="HI103" s="207">
        <f t="shared" si="202"/>
        <v>2</v>
      </c>
      <c r="HJ103" s="144">
        <f t="shared" si="203"/>
        <v>30825.849402880031</v>
      </c>
      <c r="HK103" s="138">
        <f t="shared" si="301"/>
        <v>0.25</v>
      </c>
      <c r="HL103" s="116">
        <f t="shared" si="204"/>
        <v>2175570</v>
      </c>
      <c r="HM103" s="2">
        <f t="shared" si="302"/>
        <v>3.9370078740157487E-2</v>
      </c>
      <c r="HN103" s="8">
        <f t="shared" si="205"/>
        <v>4.6655611729200004</v>
      </c>
      <c r="HO103" s="116">
        <f t="shared" si="206"/>
        <v>2610.6840000000002</v>
      </c>
      <c r="HP103" s="217">
        <f t="shared" si="207"/>
        <v>1.8594607669463228</v>
      </c>
      <c r="HQ103" s="207">
        <f t="shared" si="208"/>
        <v>2</v>
      </c>
      <c r="HR103" s="144">
        <f t="shared" si="209"/>
        <v>30825.849402880031</v>
      </c>
      <c r="HS103" s="128">
        <f t="shared" si="210"/>
        <v>0.25</v>
      </c>
      <c r="HT103" s="2">
        <f t="shared" si="211"/>
        <v>1.5748031496062995E-2</v>
      </c>
      <c r="HU103" s="127">
        <f t="shared" si="212"/>
        <v>1.5748031496062995E-2</v>
      </c>
      <c r="HV103" s="216">
        <f t="shared" si="213"/>
        <v>0</v>
      </c>
      <c r="HW103" s="138">
        <f t="shared" si="214"/>
        <v>0.25</v>
      </c>
      <c r="HX103" s="138">
        <f t="shared" si="215"/>
        <v>0</v>
      </c>
      <c r="HY103" s="238">
        <f t="shared" si="216"/>
        <v>0</v>
      </c>
      <c r="HZ103" s="138">
        <f t="shared" si="217"/>
        <v>0</v>
      </c>
      <c r="IA103" s="138">
        <f t="shared" si="218"/>
        <v>0.5</v>
      </c>
      <c r="IB103" s="138">
        <f t="shared" si="219"/>
        <v>0</v>
      </c>
      <c r="IC103" s="138">
        <f t="shared" si="220"/>
        <v>0</v>
      </c>
      <c r="ID103" s="216">
        <f t="shared" si="221"/>
        <v>0</v>
      </c>
      <c r="IE103" s="138">
        <f t="shared" si="222"/>
        <v>1.5748031496062995E-2</v>
      </c>
      <c r="IF103" s="138">
        <f t="shared" si="223"/>
        <v>0</v>
      </c>
      <c r="IG103" s="238">
        <f t="shared" si="224"/>
        <v>0</v>
      </c>
      <c r="IH103" s="138">
        <f t="shared" si="225"/>
        <v>0</v>
      </c>
      <c r="II103" s="138">
        <f t="shared" si="226"/>
        <v>1.5748031496062995E-2</v>
      </c>
      <c r="IJ103" s="138">
        <f t="shared" si="227"/>
        <v>0</v>
      </c>
      <c r="IK103" s="138">
        <f t="shared" si="228"/>
        <v>0</v>
      </c>
      <c r="IL103" s="216">
        <f t="shared" si="229"/>
        <v>0</v>
      </c>
      <c r="IM103" s="138">
        <f t="shared" si="230"/>
        <v>1.5748031496062995E-2</v>
      </c>
      <c r="IN103" s="138">
        <f t="shared" si="231"/>
        <v>0</v>
      </c>
      <c r="IO103" s="238">
        <f t="shared" si="232"/>
        <v>0</v>
      </c>
      <c r="IP103" s="138">
        <f t="shared" si="233"/>
        <v>0</v>
      </c>
      <c r="IQ103" s="138">
        <f t="shared" si="234"/>
        <v>1.5748031496062995E-2</v>
      </c>
      <c r="IR103" s="138">
        <f t="shared" si="235"/>
        <v>0</v>
      </c>
      <c r="IS103" s="138">
        <f t="shared" si="236"/>
        <v>0</v>
      </c>
      <c r="IT103" s="17">
        <f t="shared" si="237"/>
        <v>0.5</v>
      </c>
      <c r="IU103" s="17">
        <f t="shared" si="238"/>
        <v>1.5748031496062995E-2</v>
      </c>
      <c r="IV103" s="17">
        <f t="shared" si="239"/>
        <v>1.5748031496062995E-2</v>
      </c>
      <c r="IW103" s="253">
        <f t="shared" si="240"/>
        <v>25.919784293999999</v>
      </c>
      <c r="IX103" s="116">
        <f t="shared" si="303"/>
        <v>1386.1882643008705</v>
      </c>
      <c r="IY103" s="8">
        <f t="shared" si="242"/>
        <v>3.5840303859183555E-2</v>
      </c>
      <c r="IZ103" s="8">
        <f t="shared" si="243"/>
        <v>3.5840303859183555E-2</v>
      </c>
      <c r="JA103" s="8">
        <f t="shared" si="244"/>
        <v>1.7920151929591777E-2</v>
      </c>
      <c r="JB103" s="134">
        <f t="shared" si="245"/>
        <v>0.13386617171485773</v>
      </c>
      <c r="JC103" s="170">
        <f t="shared" si="305"/>
        <v>1.9839863322260787E-2</v>
      </c>
      <c r="JD103" s="272">
        <f t="shared" si="306"/>
        <v>0.14085404971906482</v>
      </c>
      <c r="JE103" s="8"/>
      <c r="JF103" s="8"/>
    </row>
    <row r="104" spans="1:266" x14ac:dyDescent="0.25">
      <c r="A104" s="186">
        <v>44</v>
      </c>
      <c r="B104" s="187">
        <f>A104/100*'Inputs-Imperial'!$E$5</f>
        <v>10.595800863999999</v>
      </c>
      <c r="C104" s="188">
        <f>'Inputs-Imperial'!$E$10+('Inputs-Imperial'!$E$9-'Inputs-Imperial'!$E$10)*(100-A104)/100</f>
        <v>4.3021654920000003</v>
      </c>
      <c r="D104" s="187">
        <f t="shared" si="248"/>
        <v>0.24081365600000026</v>
      </c>
      <c r="E104" s="188">
        <f t="shared" si="249"/>
        <v>1.0381632686369071</v>
      </c>
      <c r="F104" s="423">
        <f>Loads!P64</f>
        <v>468.86656508098815</v>
      </c>
      <c r="G104" s="423">
        <f>Loads!M64</f>
        <v>4688.6656508098822</v>
      </c>
      <c r="H104" s="423">
        <f>Loads!N64</f>
        <v>28786.906164054395</v>
      </c>
      <c r="I104" s="423">
        <f>Loads!V64</f>
        <v>-9611.7577084614622</v>
      </c>
      <c r="J104" s="423">
        <f>Loads!Q64</f>
        <v>2878.6906164054399</v>
      </c>
      <c r="K104" s="2">
        <v>44</v>
      </c>
      <c r="L104" s="12">
        <f t="shared" si="41"/>
        <v>127.149610368</v>
      </c>
      <c r="M104" s="11">
        <f t="shared" si="42"/>
        <v>51.625985904000004</v>
      </c>
      <c r="N104" s="11">
        <f t="shared" si="43"/>
        <v>2.8897638720000032</v>
      </c>
      <c r="O104" s="152">
        <f t="shared" si="44"/>
        <v>149.4955106837146</v>
      </c>
      <c r="P104" s="151">
        <f t="shared" si="45"/>
        <v>468.86656508098815</v>
      </c>
      <c r="Q104" s="12">
        <f t="shared" si="46"/>
        <v>4688.6656508098822</v>
      </c>
      <c r="R104" s="12">
        <f t="shared" si="47"/>
        <v>345442.87396865274</v>
      </c>
      <c r="S104" s="12">
        <f t="shared" si="48"/>
        <v>-115341.09250153755</v>
      </c>
      <c r="T104" s="152">
        <f t="shared" si="49"/>
        <v>34544.287396865278</v>
      </c>
      <c r="U104" s="8">
        <f t="shared" si="261"/>
        <v>9.2926774627200004</v>
      </c>
      <c r="V104" s="8">
        <f t="shared" si="262"/>
        <v>9.2926774627200004</v>
      </c>
      <c r="W104" s="134">
        <f t="shared" si="263"/>
        <v>4.6463387313600002</v>
      </c>
      <c r="X104" s="311">
        <f t="shared" si="264"/>
        <v>12.906496476000001</v>
      </c>
      <c r="Y104" s="11">
        <f t="shared" si="265"/>
        <v>38.719489428000003</v>
      </c>
      <c r="Z104" s="11">
        <f t="shared" si="266"/>
        <v>25.812992952000002</v>
      </c>
      <c r="AA104" s="316">
        <f t="shared" si="50"/>
        <v>38.719489428000003</v>
      </c>
      <c r="AB104" s="170">
        <f t="shared" si="51"/>
        <v>6.9695080970400003</v>
      </c>
      <c r="AC104" s="11">
        <f t="shared" si="52"/>
        <v>38.719489428000003</v>
      </c>
      <c r="AD104" s="152">
        <f t="shared" si="53"/>
        <v>211.9442458393259</v>
      </c>
      <c r="AE104" s="151">
        <f t="shared" si="267"/>
        <v>12.109316832621435</v>
      </c>
      <c r="AF104" s="12">
        <f t="shared" si="268"/>
        <v>272.10243912207267</v>
      </c>
      <c r="AG104" s="216">
        <f t="shared" si="269"/>
        <v>1.8620370839713841E-2</v>
      </c>
      <c r="AH104" s="2">
        <f t="shared" si="55"/>
        <v>3</v>
      </c>
      <c r="AI104" s="2">
        <f t="shared" si="56"/>
        <v>3</v>
      </c>
      <c r="AJ104" s="127">
        <f t="shared" si="57"/>
        <v>2</v>
      </c>
      <c r="AK104" s="2">
        <f t="shared" si="58"/>
        <v>1.5748031496062995E-2</v>
      </c>
      <c r="AL104" s="8">
        <f t="shared" si="270"/>
        <v>0.19595675337131932</v>
      </c>
      <c r="AM104" s="138">
        <f t="shared" si="59"/>
        <v>0.25</v>
      </c>
      <c r="AN104" s="12">
        <f t="shared" si="271"/>
        <v>16242.701852810766</v>
      </c>
      <c r="AO104" s="138">
        <f t="shared" si="60"/>
        <v>0.25</v>
      </c>
      <c r="AP104" s="116">
        <f t="shared" si="61"/>
        <v>2175570</v>
      </c>
      <c r="AQ104" s="2">
        <f t="shared" si="62"/>
        <v>1.5748031496062995E-2</v>
      </c>
      <c r="AR104" s="8">
        <f t="shared" si="63"/>
        <v>25.812992952000002</v>
      </c>
      <c r="AS104" s="116">
        <f t="shared" si="64"/>
        <v>2610.6840000000002</v>
      </c>
      <c r="AT104" s="217">
        <f t="shared" si="65"/>
        <v>2.4298421499900507E-2</v>
      </c>
      <c r="AU104" s="207">
        <f t="shared" si="66"/>
        <v>4.8861439155394129</v>
      </c>
      <c r="AV104" s="144">
        <f t="shared" si="67"/>
        <v>2460.2676815524446</v>
      </c>
      <c r="AW104" s="138">
        <f t="shared" si="68"/>
        <v>1.75</v>
      </c>
      <c r="AX104" s="116">
        <f t="shared" si="69"/>
        <v>2175570</v>
      </c>
      <c r="AY104" s="2">
        <f t="shared" si="70"/>
        <v>1.5748031496062995E-2</v>
      </c>
      <c r="AZ104" s="8">
        <f t="shared" si="71"/>
        <v>25.812992952000002</v>
      </c>
      <c r="BA104" s="116">
        <f t="shared" si="72"/>
        <v>2610.6840000000002</v>
      </c>
      <c r="BB104" s="217">
        <f t="shared" si="73"/>
        <v>0.1700889504993035</v>
      </c>
      <c r="BC104" s="207">
        <f t="shared" si="74"/>
        <v>3.2936881740552995</v>
      </c>
      <c r="BD104" s="144">
        <f t="shared" si="75"/>
        <v>81263.339902138876</v>
      </c>
      <c r="BE104" s="138">
        <f t="shared" si="76"/>
        <v>1.75</v>
      </c>
      <c r="BF104" s="116">
        <f t="shared" si="77"/>
        <v>2175570</v>
      </c>
      <c r="BG104" s="2">
        <f t="shared" si="78"/>
        <v>1.5748031496062995E-2</v>
      </c>
      <c r="BH104" s="8">
        <f t="shared" si="79"/>
        <v>25.812992952000002</v>
      </c>
      <c r="BI104" s="116">
        <f t="shared" si="80"/>
        <v>2610.6840000000002</v>
      </c>
      <c r="BJ104" s="217">
        <f t="shared" si="81"/>
        <v>0.1700889504993035</v>
      </c>
      <c r="BK104" s="207">
        <f t="shared" si="82"/>
        <v>3.2936881740552995</v>
      </c>
      <c r="BL104" s="144">
        <f t="shared" si="83"/>
        <v>81263.339902138876</v>
      </c>
      <c r="BM104" s="216">
        <f t="shared" si="84"/>
        <v>1.75</v>
      </c>
      <c r="BN104" s="216">
        <f t="shared" si="85"/>
        <v>2.3622047244094495E-2</v>
      </c>
      <c r="BO104" s="238">
        <f t="shared" si="86"/>
        <v>1.5748031496062995E-2</v>
      </c>
      <c r="BP104" s="216">
        <f t="shared" si="87"/>
        <v>0</v>
      </c>
      <c r="BQ104" s="138">
        <f t="shared" si="88"/>
        <v>1.75</v>
      </c>
      <c r="BR104" s="138">
        <f t="shared" si="89"/>
        <v>0</v>
      </c>
      <c r="BS104" s="238">
        <f t="shared" si="90"/>
        <v>0</v>
      </c>
      <c r="BT104" s="138">
        <f t="shared" si="91"/>
        <v>0</v>
      </c>
      <c r="BU104" s="138">
        <f t="shared" si="92"/>
        <v>2.5</v>
      </c>
      <c r="BV104" s="138">
        <f t="shared" si="93"/>
        <v>0</v>
      </c>
      <c r="BW104" s="238">
        <f t="shared" si="94"/>
        <v>0</v>
      </c>
      <c r="BX104" s="216">
        <f t="shared" si="95"/>
        <v>0</v>
      </c>
      <c r="BY104" s="138">
        <f t="shared" si="96"/>
        <v>2.3622047244094495E-2</v>
      </c>
      <c r="BZ104" s="138">
        <f t="shared" si="97"/>
        <v>0</v>
      </c>
      <c r="CA104" s="238">
        <f t="shared" si="98"/>
        <v>0</v>
      </c>
      <c r="CB104" s="138">
        <f t="shared" si="99"/>
        <v>0</v>
      </c>
      <c r="CC104" s="138">
        <f t="shared" si="100"/>
        <v>2.3622047244094495E-2</v>
      </c>
      <c r="CD104" s="138">
        <f t="shared" si="101"/>
        <v>0</v>
      </c>
      <c r="CE104" s="238">
        <f t="shared" si="102"/>
        <v>0</v>
      </c>
      <c r="CF104" s="216">
        <f t="shared" si="103"/>
        <v>0</v>
      </c>
      <c r="CG104" s="138">
        <f t="shared" si="104"/>
        <v>1.5748031496062995E-2</v>
      </c>
      <c r="CH104" s="138">
        <f t="shared" si="105"/>
        <v>0</v>
      </c>
      <c r="CI104" s="238">
        <f t="shared" si="106"/>
        <v>0</v>
      </c>
      <c r="CJ104" s="138">
        <f t="shared" si="107"/>
        <v>0</v>
      </c>
      <c r="CK104" s="138">
        <f t="shared" si="108"/>
        <v>1.5748031496062995E-2</v>
      </c>
      <c r="CL104" s="138">
        <f t="shared" si="109"/>
        <v>0</v>
      </c>
      <c r="CM104" s="238">
        <f t="shared" si="110"/>
        <v>0</v>
      </c>
      <c r="CN104" s="17">
        <f t="shared" si="111"/>
        <v>2.5</v>
      </c>
      <c r="CO104" s="17">
        <f t="shared" si="112"/>
        <v>2.3622047244094495E-2</v>
      </c>
      <c r="CP104" s="17">
        <f t="shared" si="113"/>
        <v>1.5748031496062995E-2</v>
      </c>
      <c r="CQ104" s="17">
        <f>$U104-IF('Inputs-Imperial'!$E$13,0,2)*($CO104+$CN104+$CP104)</f>
        <v>9.2926774627200004</v>
      </c>
      <c r="CR104" s="116">
        <f t="shared" si="114"/>
        <v>37173.664463712092</v>
      </c>
      <c r="CS104" s="8">
        <f t="shared" si="10"/>
        <v>0.96113599014686035</v>
      </c>
      <c r="CT104" s="8">
        <f t="shared" si="115"/>
        <v>0.98037543326363519</v>
      </c>
      <c r="CU104" s="8">
        <f t="shared" si="272"/>
        <v>0.96113599014686035</v>
      </c>
      <c r="CV104" s="8">
        <f t="shared" si="116"/>
        <v>0.98037543326363519</v>
      </c>
      <c r="CW104" s="216">
        <f t="shared" si="117"/>
        <v>8.3123020294563652</v>
      </c>
      <c r="CX104" s="116">
        <f t="shared" si="118"/>
        <v>41558.027216107439</v>
      </c>
      <c r="CY104" s="8">
        <f t="shared" si="119"/>
        <v>1.0744949741474847</v>
      </c>
      <c r="CZ104" s="8">
        <f t="shared" si="120"/>
        <v>1.0365784939634262</v>
      </c>
      <c r="DA104" s="8">
        <f t="shared" si="121"/>
        <v>1.0744949741474847</v>
      </c>
      <c r="DB104" s="8">
        <f t="shared" si="122"/>
        <v>1.0365784939634262</v>
      </c>
      <c r="DC104" s="216">
        <f t="shared" si="123"/>
        <v>8.2560989687565751</v>
      </c>
      <c r="DD104" s="116">
        <f t="shared" si="124"/>
        <v>41840.93181003604</v>
      </c>
      <c r="DE104" s="8">
        <f t="shared" si="125"/>
        <v>1.0818095553416012</v>
      </c>
      <c r="DF104" s="8">
        <f t="shared" si="126"/>
        <v>1.0401007428809967</v>
      </c>
      <c r="DG104" s="8">
        <f t="shared" si="127"/>
        <v>1.0818095553416012</v>
      </c>
      <c r="DH104" s="8">
        <f t="shared" si="128"/>
        <v>1.0401007428809967</v>
      </c>
      <c r="DI104" s="216">
        <f t="shared" si="129"/>
        <v>8.2525767198390021</v>
      </c>
      <c r="DJ104" s="116">
        <f t="shared" si="130"/>
        <v>41858.789769044633</v>
      </c>
      <c r="DK104" s="8">
        <f t="shared" si="131"/>
        <v>1.0822712781058574</v>
      </c>
      <c r="DL104" s="8">
        <f t="shared" si="132"/>
        <v>1.0403226797998097</v>
      </c>
      <c r="DM104" s="8">
        <f t="shared" si="133"/>
        <v>1.0822712781058574</v>
      </c>
      <c r="DN104" s="8">
        <f t="shared" si="134"/>
        <v>1.0403226797998097</v>
      </c>
      <c r="DO104" s="216">
        <f t="shared" si="135"/>
        <v>8.2523547829201895</v>
      </c>
      <c r="DP104" s="116">
        <f t="shared" si="136"/>
        <v>41859.915509644852</v>
      </c>
      <c r="DQ104" s="170">
        <f t="shared" si="137"/>
        <v>1.0823003844590258</v>
      </c>
      <c r="DR104" s="8">
        <f t="shared" si="138"/>
        <v>1.0403366688043951</v>
      </c>
      <c r="DS104" s="8">
        <f t="shared" si="139"/>
        <v>1.0823003844590258</v>
      </c>
      <c r="DT104" s="134">
        <f t="shared" si="140"/>
        <v>1.0403366688043951</v>
      </c>
      <c r="DU104" s="170">
        <f t="shared" si="304"/>
        <v>1.2501892583384084</v>
      </c>
      <c r="DV104" s="170">
        <f t="shared" si="304"/>
        <v>1.1181186244484118</v>
      </c>
      <c r="DW104" s="170">
        <f t="shared" si="304"/>
        <v>1.2501892583384084</v>
      </c>
      <c r="DX104" s="272">
        <f t="shared" si="304"/>
        <v>1.1181186244484118</v>
      </c>
      <c r="DY104" s="272">
        <f t="shared" si="142"/>
        <v>7.0564402138231763</v>
      </c>
      <c r="DZ104" s="22">
        <f t="shared" si="273"/>
        <v>504.55486802589326</v>
      </c>
      <c r="EA104" s="216">
        <f t="shared" si="274"/>
        <v>3.3056334070581707E-2</v>
      </c>
      <c r="EB104" s="12">
        <f t="shared" si="143"/>
        <v>5</v>
      </c>
      <c r="EC104" s="7">
        <f>ROUND(MAX(DV104,DX104)/'Inputs-Imperial'!$E$21,0)</f>
        <v>9</v>
      </c>
      <c r="ED104" s="12">
        <f t="shared" si="144"/>
        <v>9</v>
      </c>
      <c r="EE104" s="2">
        <f t="shared" si="145"/>
        <v>5</v>
      </c>
      <c r="EF104" s="127">
        <f t="shared" si="146"/>
        <v>5</v>
      </c>
      <c r="EG104" s="2">
        <f t="shared" si="147"/>
        <v>3.9370078740157487E-2</v>
      </c>
      <c r="EH104" s="8">
        <f t="shared" si="275"/>
        <v>0.347877706549934</v>
      </c>
      <c r="EI104" s="138">
        <f t="shared" si="148"/>
        <v>0.5</v>
      </c>
      <c r="EJ104" s="12">
        <f t="shared" si="276"/>
        <v>11534.124283071918</v>
      </c>
      <c r="EK104" s="138">
        <f t="shared" si="149"/>
        <v>0.5</v>
      </c>
      <c r="EL104" s="116">
        <f t="shared" si="150"/>
        <v>2175570</v>
      </c>
      <c r="EM104" s="2">
        <f t="shared" si="277"/>
        <v>3.9370078740157487E-2</v>
      </c>
      <c r="EN104" s="8">
        <f t="shared" si="151"/>
        <v>9.2926774627200004</v>
      </c>
      <c r="EO104" s="116">
        <f t="shared" si="152"/>
        <v>2610.6840000000002</v>
      </c>
      <c r="EP104" s="217">
        <f t="shared" si="153"/>
        <v>0.93743910107640849</v>
      </c>
      <c r="EQ104" s="207">
        <f t="shared" si="154"/>
        <v>2</v>
      </c>
      <c r="ER104" s="144">
        <f t="shared" si="155"/>
        <v>31081.437229362942</v>
      </c>
      <c r="ES104" s="138">
        <f t="shared" si="278"/>
        <v>0.5</v>
      </c>
      <c r="ET104" s="116">
        <f t="shared" si="156"/>
        <v>2175570</v>
      </c>
      <c r="EU104" s="2">
        <f t="shared" si="279"/>
        <v>3.9370078740157487E-2</v>
      </c>
      <c r="EV104" s="8">
        <f t="shared" si="157"/>
        <v>9.2926774627200004</v>
      </c>
      <c r="EW104" s="116">
        <f t="shared" si="158"/>
        <v>2610.6840000000002</v>
      </c>
      <c r="EX104" s="217">
        <f t="shared" si="159"/>
        <v>0.93743910107640849</v>
      </c>
      <c r="EY104" s="207">
        <f t="shared" si="160"/>
        <v>2</v>
      </c>
      <c r="EZ104" s="144">
        <f t="shared" si="161"/>
        <v>31081.437229362942</v>
      </c>
      <c r="FA104" s="138">
        <f t="shared" si="280"/>
        <v>0.5</v>
      </c>
      <c r="FB104" s="116">
        <f t="shared" si="162"/>
        <v>2175570</v>
      </c>
      <c r="FC104" s="2">
        <f t="shared" si="281"/>
        <v>3.9370078740157487E-2</v>
      </c>
      <c r="FD104" s="8">
        <f t="shared" si="163"/>
        <v>9.2926774627200004</v>
      </c>
      <c r="FE104" s="116">
        <f t="shared" si="164"/>
        <v>2610.6840000000002</v>
      </c>
      <c r="FF104" s="217">
        <f t="shared" si="165"/>
        <v>0.93743910107640849</v>
      </c>
      <c r="FG104" s="207">
        <f t="shared" si="166"/>
        <v>2</v>
      </c>
      <c r="FH104" s="144">
        <f t="shared" si="167"/>
        <v>31081.437229362942</v>
      </c>
      <c r="FI104" s="128">
        <f t="shared" si="168"/>
        <v>0.5</v>
      </c>
      <c r="FJ104" s="2">
        <f t="shared" si="169"/>
        <v>3.9370078740157487E-2</v>
      </c>
      <c r="FK104" s="127">
        <f t="shared" si="170"/>
        <v>3.9370078740157487E-2</v>
      </c>
      <c r="FL104" s="216">
        <f t="shared" si="171"/>
        <v>0</v>
      </c>
      <c r="FM104" s="138">
        <f t="shared" si="172"/>
        <v>0.5</v>
      </c>
      <c r="FN104" s="138">
        <f t="shared" si="173"/>
        <v>0</v>
      </c>
      <c r="FO104" s="238">
        <f t="shared" si="174"/>
        <v>0</v>
      </c>
      <c r="FP104" s="216">
        <f t="shared" si="282"/>
        <v>0</v>
      </c>
      <c r="FQ104" s="138">
        <f t="shared" si="283"/>
        <v>0.5</v>
      </c>
      <c r="FR104" s="138">
        <f t="shared" si="284"/>
        <v>0</v>
      </c>
      <c r="FS104" s="238">
        <f t="shared" si="285"/>
        <v>0</v>
      </c>
      <c r="FT104" s="216">
        <f t="shared" si="175"/>
        <v>0</v>
      </c>
      <c r="FU104" s="138">
        <f t="shared" si="176"/>
        <v>3.9370078740157487E-2</v>
      </c>
      <c r="FV104" s="138">
        <f t="shared" si="177"/>
        <v>0</v>
      </c>
      <c r="FW104" s="238">
        <f t="shared" si="178"/>
        <v>0</v>
      </c>
      <c r="FX104" s="216">
        <f t="shared" si="286"/>
        <v>0</v>
      </c>
      <c r="FY104" s="138">
        <f t="shared" si="287"/>
        <v>5.5118110236220486E-2</v>
      </c>
      <c r="FZ104" s="138">
        <f t="shared" si="288"/>
        <v>0</v>
      </c>
      <c r="GA104" s="238">
        <f t="shared" si="289"/>
        <v>0</v>
      </c>
      <c r="GB104" s="216">
        <f t="shared" si="179"/>
        <v>0</v>
      </c>
      <c r="GC104" s="138">
        <f t="shared" si="180"/>
        <v>3.9370078740157487E-2</v>
      </c>
      <c r="GD104" s="138">
        <f t="shared" si="181"/>
        <v>0</v>
      </c>
      <c r="GE104" s="238">
        <f t="shared" si="182"/>
        <v>0</v>
      </c>
      <c r="GF104" s="216">
        <f t="shared" si="290"/>
        <v>0</v>
      </c>
      <c r="GG104" s="138">
        <f t="shared" si="291"/>
        <v>5.5118110236220486E-2</v>
      </c>
      <c r="GH104" s="138">
        <f t="shared" si="292"/>
        <v>0</v>
      </c>
      <c r="GI104" s="238">
        <f t="shared" si="293"/>
        <v>0</v>
      </c>
      <c r="GJ104" s="216">
        <f t="shared" si="183"/>
        <v>0.5</v>
      </c>
      <c r="GK104" s="216">
        <f t="shared" si="184"/>
        <v>5.5118110236220486E-2</v>
      </c>
      <c r="GL104" s="17">
        <f t="shared" si="185"/>
        <v>5.5118110236220486E-2</v>
      </c>
      <c r="GM104" s="216">
        <f t="shared" si="294"/>
        <v>1.7827018822019879E-2</v>
      </c>
      <c r="GN104" s="2">
        <f t="shared" si="187"/>
        <v>3</v>
      </c>
      <c r="GO104" s="2">
        <f t="shared" si="188"/>
        <v>2</v>
      </c>
      <c r="GP104" s="142">
        <f t="shared" si="189"/>
        <v>2</v>
      </c>
      <c r="GQ104" s="2">
        <f t="shared" si="190"/>
        <v>1.5748031496062995E-2</v>
      </c>
      <c r="GR104" s="8">
        <f t="shared" si="295"/>
        <v>0.1876076884141209</v>
      </c>
      <c r="GS104" s="138">
        <f t="shared" si="191"/>
        <v>0.25</v>
      </c>
      <c r="GT104" s="12">
        <f t="shared" si="296"/>
        <v>15550.65439582645</v>
      </c>
      <c r="GU104" s="138">
        <f t="shared" si="192"/>
        <v>0.25</v>
      </c>
      <c r="GV104" s="116">
        <f t="shared" si="193"/>
        <v>2175570</v>
      </c>
      <c r="GW104" s="2">
        <f t="shared" si="297"/>
        <v>3.9370078740157487E-2</v>
      </c>
      <c r="GX104" s="8">
        <f t="shared" si="298"/>
        <v>4.6463387313600002</v>
      </c>
      <c r="GY104" s="116">
        <f t="shared" si="194"/>
        <v>2610.6840000000002</v>
      </c>
      <c r="GZ104" s="217">
        <f t="shared" si="195"/>
        <v>1.874878202152817</v>
      </c>
      <c r="HA104" s="207">
        <f t="shared" si="196"/>
        <v>2</v>
      </c>
      <c r="HB104" s="144">
        <f t="shared" si="197"/>
        <v>31081.437229362942</v>
      </c>
      <c r="HC104" s="138">
        <f t="shared" si="299"/>
        <v>0.25</v>
      </c>
      <c r="HD104" s="116">
        <f t="shared" si="198"/>
        <v>2175570</v>
      </c>
      <c r="HE104" s="2">
        <f t="shared" si="300"/>
        <v>3.9370078740157487E-2</v>
      </c>
      <c r="HF104" s="8">
        <f t="shared" si="199"/>
        <v>4.6463387313600002</v>
      </c>
      <c r="HG104" s="116">
        <f t="shared" si="200"/>
        <v>2610.6840000000002</v>
      </c>
      <c r="HH104" s="217">
        <f t="shared" si="201"/>
        <v>1.874878202152817</v>
      </c>
      <c r="HI104" s="207">
        <f t="shared" si="202"/>
        <v>2</v>
      </c>
      <c r="HJ104" s="144">
        <f t="shared" si="203"/>
        <v>31081.437229362942</v>
      </c>
      <c r="HK104" s="138">
        <f t="shared" si="301"/>
        <v>0.25</v>
      </c>
      <c r="HL104" s="116">
        <f t="shared" si="204"/>
        <v>2175570</v>
      </c>
      <c r="HM104" s="2">
        <f t="shared" si="302"/>
        <v>3.9370078740157487E-2</v>
      </c>
      <c r="HN104" s="8">
        <f t="shared" si="205"/>
        <v>4.6463387313600002</v>
      </c>
      <c r="HO104" s="116">
        <f t="shared" si="206"/>
        <v>2610.6840000000002</v>
      </c>
      <c r="HP104" s="217">
        <f t="shared" si="207"/>
        <v>1.874878202152817</v>
      </c>
      <c r="HQ104" s="207">
        <f t="shared" si="208"/>
        <v>2</v>
      </c>
      <c r="HR104" s="144">
        <f t="shared" si="209"/>
        <v>31081.437229362942</v>
      </c>
      <c r="HS104" s="128">
        <f t="shared" si="210"/>
        <v>0.25</v>
      </c>
      <c r="HT104" s="2">
        <f t="shared" si="211"/>
        <v>1.5748031496062995E-2</v>
      </c>
      <c r="HU104" s="127">
        <f t="shared" si="212"/>
        <v>1.5748031496062995E-2</v>
      </c>
      <c r="HV104" s="216">
        <f t="shared" si="213"/>
        <v>0</v>
      </c>
      <c r="HW104" s="138">
        <f t="shared" si="214"/>
        <v>0.25</v>
      </c>
      <c r="HX104" s="138">
        <f t="shared" si="215"/>
        <v>0</v>
      </c>
      <c r="HY104" s="238">
        <f t="shared" si="216"/>
        <v>0</v>
      </c>
      <c r="HZ104" s="138">
        <f t="shared" si="217"/>
        <v>0</v>
      </c>
      <c r="IA104" s="138">
        <f t="shared" si="218"/>
        <v>0.5</v>
      </c>
      <c r="IB104" s="138">
        <f t="shared" si="219"/>
        <v>0</v>
      </c>
      <c r="IC104" s="138">
        <f t="shared" si="220"/>
        <v>0</v>
      </c>
      <c r="ID104" s="216">
        <f t="shared" si="221"/>
        <v>0</v>
      </c>
      <c r="IE104" s="138">
        <f t="shared" si="222"/>
        <v>1.5748031496062995E-2</v>
      </c>
      <c r="IF104" s="138">
        <f t="shared" si="223"/>
        <v>0</v>
      </c>
      <c r="IG104" s="238">
        <f t="shared" si="224"/>
        <v>0</v>
      </c>
      <c r="IH104" s="138">
        <f t="shared" si="225"/>
        <v>0</v>
      </c>
      <c r="II104" s="138">
        <f t="shared" si="226"/>
        <v>1.5748031496062995E-2</v>
      </c>
      <c r="IJ104" s="138">
        <f t="shared" si="227"/>
        <v>0</v>
      </c>
      <c r="IK104" s="138">
        <f t="shared" si="228"/>
        <v>0</v>
      </c>
      <c r="IL104" s="216">
        <f t="shared" si="229"/>
        <v>0</v>
      </c>
      <c r="IM104" s="138">
        <f t="shared" si="230"/>
        <v>1.5748031496062995E-2</v>
      </c>
      <c r="IN104" s="138">
        <f t="shared" si="231"/>
        <v>0</v>
      </c>
      <c r="IO104" s="238">
        <f t="shared" si="232"/>
        <v>0</v>
      </c>
      <c r="IP104" s="138">
        <f t="shared" si="233"/>
        <v>0</v>
      </c>
      <c r="IQ104" s="138">
        <f t="shared" si="234"/>
        <v>1.5748031496062995E-2</v>
      </c>
      <c r="IR104" s="138">
        <f t="shared" si="235"/>
        <v>0</v>
      </c>
      <c r="IS104" s="138">
        <f t="shared" si="236"/>
        <v>0</v>
      </c>
      <c r="IT104" s="17">
        <f t="shared" si="237"/>
        <v>0.5</v>
      </c>
      <c r="IU104" s="17">
        <f t="shared" si="238"/>
        <v>1.5748031496062995E-2</v>
      </c>
      <c r="IV104" s="17">
        <f t="shared" si="239"/>
        <v>1.5748031496062995E-2</v>
      </c>
      <c r="IW104" s="253">
        <f t="shared" si="240"/>
        <v>25.812992952000002</v>
      </c>
      <c r="IX104" s="116">
        <f t="shared" si="303"/>
        <v>1338.2519206936354</v>
      </c>
      <c r="IY104" s="8">
        <f t="shared" si="242"/>
        <v>3.4600895645286976E-2</v>
      </c>
      <c r="IZ104" s="8">
        <f t="shared" si="243"/>
        <v>3.4600895645286976E-2</v>
      </c>
      <c r="JA104" s="8">
        <f t="shared" si="244"/>
        <v>1.7300447822643488E-2</v>
      </c>
      <c r="JB104" s="134">
        <f t="shared" si="245"/>
        <v>0.13153116673489781</v>
      </c>
      <c r="JC104" s="170">
        <f t="shared" si="305"/>
        <v>1.9839863322260787E-2</v>
      </c>
      <c r="JD104" s="272">
        <f t="shared" si="306"/>
        <v>0.14085404971906482</v>
      </c>
      <c r="JE104" s="8"/>
      <c r="JF104" s="8"/>
    </row>
    <row r="105" spans="1:266" x14ac:dyDescent="0.25">
      <c r="A105" s="186">
        <v>45</v>
      </c>
      <c r="B105" s="187">
        <f>A105/100*'Inputs-Imperial'!$E$5</f>
        <v>10.836614519999999</v>
      </c>
      <c r="C105" s="188">
        <f>'Inputs-Imperial'!$E$10+('Inputs-Imperial'!$E$9-'Inputs-Imperial'!$E$10)*(100-A105)/100</f>
        <v>4.2843669350000004</v>
      </c>
      <c r="D105" s="187">
        <f t="shared" si="248"/>
        <v>0.24081365600000026</v>
      </c>
      <c r="E105" s="188">
        <f t="shared" si="249"/>
        <v>1.0338771330542129</v>
      </c>
      <c r="F105" s="423">
        <f>Loads!P65</f>
        <v>458.36304361738428</v>
      </c>
      <c r="G105" s="423">
        <f>Loads!M65</f>
        <v>4583.630436173843</v>
      </c>
      <c r="H105" s="423">
        <f>Loads!N65</f>
        <v>27657.811446921245</v>
      </c>
      <c r="I105" s="423">
        <f>Loads!V65</f>
        <v>-9350.2163659289472</v>
      </c>
      <c r="J105" s="423">
        <f>Loads!Q65</f>
        <v>2765.7811446921251</v>
      </c>
      <c r="K105" s="2">
        <v>45</v>
      </c>
      <c r="L105" s="12">
        <f t="shared" si="41"/>
        <v>130.03937424</v>
      </c>
      <c r="M105" s="11">
        <f t="shared" si="42"/>
        <v>51.412403220000002</v>
      </c>
      <c r="N105" s="11">
        <f t="shared" si="43"/>
        <v>2.8897638720000032</v>
      </c>
      <c r="O105" s="152">
        <f t="shared" si="44"/>
        <v>148.87830715980667</v>
      </c>
      <c r="P105" s="151">
        <f t="shared" si="45"/>
        <v>458.36304361738428</v>
      </c>
      <c r="Q105" s="12">
        <f t="shared" si="46"/>
        <v>4583.630436173843</v>
      </c>
      <c r="R105" s="12">
        <f t="shared" si="47"/>
        <v>331893.73736305494</v>
      </c>
      <c r="S105" s="12">
        <f t="shared" si="48"/>
        <v>-112202.59639114737</v>
      </c>
      <c r="T105" s="152">
        <f t="shared" si="49"/>
        <v>33189.373736305497</v>
      </c>
      <c r="U105" s="8">
        <f t="shared" si="261"/>
        <v>9.2542325796</v>
      </c>
      <c r="V105" s="8">
        <f t="shared" si="262"/>
        <v>9.2542325796</v>
      </c>
      <c r="W105" s="134">
        <f t="shared" si="263"/>
        <v>4.6271162898</v>
      </c>
      <c r="X105" s="311">
        <f t="shared" si="264"/>
        <v>12.853100805</v>
      </c>
      <c r="Y105" s="11">
        <f t="shared" si="265"/>
        <v>38.559302415000005</v>
      </c>
      <c r="Z105" s="11">
        <f t="shared" si="266"/>
        <v>25.706201610000004</v>
      </c>
      <c r="AA105" s="316">
        <f t="shared" si="50"/>
        <v>38.559302415000005</v>
      </c>
      <c r="AB105" s="170">
        <f t="shared" si="51"/>
        <v>6.9406744347</v>
      </c>
      <c r="AC105" s="11">
        <f t="shared" si="52"/>
        <v>38.559302415000005</v>
      </c>
      <c r="AD105" s="152">
        <f t="shared" si="53"/>
        <v>210.19419762627916</v>
      </c>
      <c r="AE105" s="151">
        <f t="shared" si="267"/>
        <v>11.887223443105544</v>
      </c>
      <c r="AF105" s="12">
        <f t="shared" si="268"/>
        <v>266.90222103714109</v>
      </c>
      <c r="AG105" s="216">
        <f t="shared" si="269"/>
        <v>1.8265123569510343E-2</v>
      </c>
      <c r="AH105" s="2">
        <f t="shared" si="55"/>
        <v>3</v>
      </c>
      <c r="AI105" s="2">
        <f t="shared" si="56"/>
        <v>3</v>
      </c>
      <c r="AJ105" s="127">
        <f t="shared" si="57"/>
        <v>2</v>
      </c>
      <c r="AK105" s="2">
        <f t="shared" si="58"/>
        <v>1.5748031496062995E-2</v>
      </c>
      <c r="AL105" s="8">
        <f t="shared" si="270"/>
        <v>0.19221820797325295</v>
      </c>
      <c r="AM105" s="138">
        <f t="shared" si="59"/>
        <v>0.25</v>
      </c>
      <c r="AN105" s="12">
        <f t="shared" si="271"/>
        <v>15932.816752046092</v>
      </c>
      <c r="AO105" s="138">
        <f t="shared" si="60"/>
        <v>0.25</v>
      </c>
      <c r="AP105" s="116">
        <f t="shared" si="61"/>
        <v>2175570</v>
      </c>
      <c r="AQ105" s="2">
        <f t="shared" si="62"/>
        <v>1.5748031496062995E-2</v>
      </c>
      <c r="AR105" s="8">
        <f t="shared" si="63"/>
        <v>25.706201610000004</v>
      </c>
      <c r="AS105" s="116">
        <f t="shared" si="64"/>
        <v>2610.6840000000002</v>
      </c>
      <c r="AT105" s="217">
        <f t="shared" si="65"/>
        <v>2.4500726842321817E-2</v>
      </c>
      <c r="AU105" s="207">
        <f t="shared" si="66"/>
        <v>4.8829208788125822</v>
      </c>
      <c r="AV105" s="144">
        <f t="shared" si="67"/>
        <v>2479.1151617568521</v>
      </c>
      <c r="AW105" s="138">
        <f t="shared" si="68"/>
        <v>1.75</v>
      </c>
      <c r="AX105" s="116">
        <f t="shared" si="69"/>
        <v>2175570</v>
      </c>
      <c r="AY105" s="2">
        <f t="shared" si="70"/>
        <v>1.5748031496062995E-2</v>
      </c>
      <c r="AZ105" s="8">
        <f t="shared" si="71"/>
        <v>25.706201610000004</v>
      </c>
      <c r="BA105" s="116">
        <f t="shared" si="72"/>
        <v>2610.6840000000002</v>
      </c>
      <c r="BB105" s="217">
        <f t="shared" si="73"/>
        <v>0.17150508789625266</v>
      </c>
      <c r="BC105" s="207">
        <f t="shared" si="74"/>
        <v>3.2838288643930977</v>
      </c>
      <c r="BD105" s="144">
        <f t="shared" si="75"/>
        <v>81694.64881586608</v>
      </c>
      <c r="BE105" s="138">
        <f t="shared" si="76"/>
        <v>1.75</v>
      </c>
      <c r="BF105" s="116">
        <f t="shared" si="77"/>
        <v>2175570</v>
      </c>
      <c r="BG105" s="2">
        <f t="shared" si="78"/>
        <v>1.5748031496062995E-2</v>
      </c>
      <c r="BH105" s="8">
        <f t="shared" si="79"/>
        <v>25.706201610000004</v>
      </c>
      <c r="BI105" s="116">
        <f t="shared" si="80"/>
        <v>2610.6840000000002</v>
      </c>
      <c r="BJ105" s="217">
        <f t="shared" si="81"/>
        <v>0.17150508789625266</v>
      </c>
      <c r="BK105" s="207">
        <f t="shared" si="82"/>
        <v>3.2838288643930977</v>
      </c>
      <c r="BL105" s="144">
        <f t="shared" si="83"/>
        <v>81694.64881586608</v>
      </c>
      <c r="BM105" s="216">
        <f t="shared" si="84"/>
        <v>1.75</v>
      </c>
      <c r="BN105" s="216">
        <f t="shared" si="85"/>
        <v>2.3622047244094495E-2</v>
      </c>
      <c r="BO105" s="238">
        <f t="shared" si="86"/>
        <v>1.5748031496062995E-2</v>
      </c>
      <c r="BP105" s="216">
        <f t="shared" si="87"/>
        <v>0</v>
      </c>
      <c r="BQ105" s="138">
        <f t="shared" si="88"/>
        <v>1.75</v>
      </c>
      <c r="BR105" s="138">
        <f t="shared" si="89"/>
        <v>0</v>
      </c>
      <c r="BS105" s="238">
        <f t="shared" si="90"/>
        <v>0</v>
      </c>
      <c r="BT105" s="138">
        <f t="shared" si="91"/>
        <v>0</v>
      </c>
      <c r="BU105" s="138">
        <f t="shared" si="92"/>
        <v>2.5</v>
      </c>
      <c r="BV105" s="138">
        <f t="shared" si="93"/>
        <v>0</v>
      </c>
      <c r="BW105" s="238">
        <f t="shared" si="94"/>
        <v>0</v>
      </c>
      <c r="BX105" s="216">
        <f t="shared" si="95"/>
        <v>0</v>
      </c>
      <c r="BY105" s="138">
        <f t="shared" si="96"/>
        <v>2.3622047244094495E-2</v>
      </c>
      <c r="BZ105" s="138">
        <f t="shared" si="97"/>
        <v>0</v>
      </c>
      <c r="CA105" s="238">
        <f t="shared" si="98"/>
        <v>0</v>
      </c>
      <c r="CB105" s="138">
        <f t="shared" si="99"/>
        <v>0</v>
      </c>
      <c r="CC105" s="138">
        <f t="shared" si="100"/>
        <v>2.3622047244094495E-2</v>
      </c>
      <c r="CD105" s="138">
        <f t="shared" si="101"/>
        <v>0</v>
      </c>
      <c r="CE105" s="238">
        <f t="shared" si="102"/>
        <v>0</v>
      </c>
      <c r="CF105" s="216">
        <f t="shared" si="103"/>
        <v>0</v>
      </c>
      <c r="CG105" s="138">
        <f t="shared" si="104"/>
        <v>1.5748031496062995E-2</v>
      </c>
      <c r="CH105" s="138">
        <f t="shared" si="105"/>
        <v>0</v>
      </c>
      <c r="CI105" s="238">
        <f t="shared" si="106"/>
        <v>0</v>
      </c>
      <c r="CJ105" s="138">
        <f t="shared" si="107"/>
        <v>0</v>
      </c>
      <c r="CK105" s="138">
        <f t="shared" si="108"/>
        <v>1.5748031496062995E-2</v>
      </c>
      <c r="CL105" s="138">
        <f t="shared" si="109"/>
        <v>0</v>
      </c>
      <c r="CM105" s="238">
        <f t="shared" si="110"/>
        <v>0</v>
      </c>
      <c r="CN105" s="17">
        <f t="shared" si="111"/>
        <v>2.5</v>
      </c>
      <c r="CO105" s="17">
        <f t="shared" si="112"/>
        <v>2.3622047244094495E-2</v>
      </c>
      <c r="CP105" s="17">
        <f t="shared" si="113"/>
        <v>1.5748031496062995E-2</v>
      </c>
      <c r="CQ105" s="17">
        <f>$U105-IF('Inputs-Imperial'!$E$13,0,2)*($CO105+$CN105+$CP105)</f>
        <v>9.2542325796</v>
      </c>
      <c r="CR105" s="116">
        <f t="shared" si="114"/>
        <v>35863.993530342043</v>
      </c>
      <c r="CS105" s="8">
        <f t="shared" si="10"/>
        <v>0.92727406430578641</v>
      </c>
      <c r="CT105" s="8">
        <f t="shared" si="115"/>
        <v>0.96295070710072506</v>
      </c>
      <c r="CU105" s="8">
        <f t="shared" si="272"/>
        <v>0.92727406430578641</v>
      </c>
      <c r="CV105" s="8">
        <f t="shared" si="116"/>
        <v>0.96295070710072506</v>
      </c>
      <c r="CW105" s="216">
        <f t="shared" si="117"/>
        <v>8.2912818724992761</v>
      </c>
      <c r="CX105" s="116">
        <f t="shared" si="118"/>
        <v>40029.243061183108</v>
      </c>
      <c r="CY105" s="8">
        <f t="shared" si="119"/>
        <v>1.0349678117420031</v>
      </c>
      <c r="CZ105" s="8">
        <f t="shared" si="120"/>
        <v>1.0173336776800437</v>
      </c>
      <c r="DA105" s="8">
        <f t="shared" si="121"/>
        <v>1.0349678117420031</v>
      </c>
      <c r="DB105" s="8">
        <f t="shared" si="122"/>
        <v>1.0173336776800437</v>
      </c>
      <c r="DC105" s="216">
        <f t="shared" si="123"/>
        <v>8.2368989019199574</v>
      </c>
      <c r="DD105" s="116">
        <f t="shared" si="124"/>
        <v>40293.530528302719</v>
      </c>
      <c r="DE105" s="8">
        <f t="shared" si="125"/>
        <v>1.0418010416658749</v>
      </c>
      <c r="DF105" s="8">
        <f t="shared" si="126"/>
        <v>1.0206865540732253</v>
      </c>
      <c r="DG105" s="8">
        <f t="shared" si="127"/>
        <v>1.0418010416658749</v>
      </c>
      <c r="DH105" s="8">
        <f t="shared" si="128"/>
        <v>1.0206865540732253</v>
      </c>
      <c r="DI105" s="216">
        <f t="shared" si="129"/>
        <v>8.2335460255267741</v>
      </c>
      <c r="DJ105" s="116">
        <f t="shared" si="130"/>
        <v>40309.938917456981</v>
      </c>
      <c r="DK105" s="8">
        <f t="shared" si="131"/>
        <v>1.0422252853766851</v>
      </c>
      <c r="DL105" s="8">
        <f t="shared" si="132"/>
        <v>1.0208943556395467</v>
      </c>
      <c r="DM105" s="8">
        <f t="shared" si="133"/>
        <v>1.0422252853766851</v>
      </c>
      <c r="DN105" s="8">
        <f t="shared" si="134"/>
        <v>1.0208943556395467</v>
      </c>
      <c r="DO105" s="216">
        <f t="shared" si="135"/>
        <v>8.2333382239604518</v>
      </c>
      <c r="DP105" s="116">
        <f t="shared" si="136"/>
        <v>40310.956301684077</v>
      </c>
      <c r="DQ105" s="170">
        <f t="shared" si="137"/>
        <v>1.0422515901440677</v>
      </c>
      <c r="DR105" s="8">
        <f t="shared" si="138"/>
        <v>1.0209072387558371</v>
      </c>
      <c r="DS105" s="8">
        <f t="shared" si="139"/>
        <v>1.0422515901440677</v>
      </c>
      <c r="DT105" s="134">
        <f t="shared" si="140"/>
        <v>1.0209072387558371</v>
      </c>
      <c r="DU105" s="170">
        <f t="shared" si="304"/>
        <v>1.2501892583384084</v>
      </c>
      <c r="DV105" s="170">
        <f t="shared" si="304"/>
        <v>1.1181186244484118</v>
      </c>
      <c r="DW105" s="170">
        <f t="shared" si="304"/>
        <v>1.2501892583384084</v>
      </c>
      <c r="DX105" s="272">
        <f t="shared" si="304"/>
        <v>1.1181186244484118</v>
      </c>
      <c r="DY105" s="272">
        <f t="shared" si="142"/>
        <v>7.0179953307031759</v>
      </c>
      <c r="DZ105" s="22">
        <f t="shared" si="273"/>
        <v>495.30097679606445</v>
      </c>
      <c r="EA105" s="216">
        <f t="shared" si="274"/>
        <v>3.2450057648865861E-2</v>
      </c>
      <c r="EB105" s="12">
        <f t="shared" si="143"/>
        <v>5</v>
      </c>
      <c r="EC105" s="7">
        <f>ROUND(MAX(DV105,DX105)/'Inputs-Imperial'!$E$21,0)</f>
        <v>9</v>
      </c>
      <c r="ED105" s="12">
        <f t="shared" si="144"/>
        <v>9</v>
      </c>
      <c r="EE105" s="2">
        <f t="shared" si="145"/>
        <v>5</v>
      </c>
      <c r="EF105" s="127">
        <f t="shared" si="146"/>
        <v>5</v>
      </c>
      <c r="EG105" s="2">
        <f t="shared" si="147"/>
        <v>3.9370078740157487E-2</v>
      </c>
      <c r="EH105" s="8">
        <f t="shared" si="275"/>
        <v>0.34149738468267932</v>
      </c>
      <c r="EI105" s="138">
        <f t="shared" si="148"/>
        <v>0.5</v>
      </c>
      <c r="EJ105" s="12">
        <f t="shared" si="276"/>
        <v>11322.580329558032</v>
      </c>
      <c r="EK105" s="138">
        <f t="shared" si="149"/>
        <v>0.5</v>
      </c>
      <c r="EL105" s="116">
        <f t="shared" si="150"/>
        <v>2175570</v>
      </c>
      <c r="EM105" s="2">
        <f t="shared" si="277"/>
        <v>3.9370078740157487E-2</v>
      </c>
      <c r="EN105" s="8">
        <f t="shared" si="151"/>
        <v>9.2542325796</v>
      </c>
      <c r="EO105" s="116">
        <f t="shared" si="152"/>
        <v>2610.6840000000002</v>
      </c>
      <c r="EP105" s="217">
        <f t="shared" si="153"/>
        <v>0.94524409113895935</v>
      </c>
      <c r="EQ105" s="207">
        <f t="shared" si="154"/>
        <v>2</v>
      </c>
      <c r="ER105" s="144">
        <f t="shared" si="155"/>
        <v>31340.217035353988</v>
      </c>
      <c r="ES105" s="138">
        <f t="shared" si="278"/>
        <v>0.5</v>
      </c>
      <c r="ET105" s="116">
        <f t="shared" si="156"/>
        <v>2175570</v>
      </c>
      <c r="EU105" s="2">
        <f t="shared" si="279"/>
        <v>3.9370078740157487E-2</v>
      </c>
      <c r="EV105" s="8">
        <f t="shared" si="157"/>
        <v>9.2542325796</v>
      </c>
      <c r="EW105" s="116">
        <f t="shared" si="158"/>
        <v>2610.6840000000002</v>
      </c>
      <c r="EX105" s="217">
        <f t="shared" si="159"/>
        <v>0.94524409113895935</v>
      </c>
      <c r="EY105" s="207">
        <f t="shared" si="160"/>
        <v>2</v>
      </c>
      <c r="EZ105" s="144">
        <f t="shared" si="161"/>
        <v>31340.217035353988</v>
      </c>
      <c r="FA105" s="138">
        <f t="shared" si="280"/>
        <v>0.5</v>
      </c>
      <c r="FB105" s="116">
        <f t="shared" si="162"/>
        <v>2175570</v>
      </c>
      <c r="FC105" s="2">
        <f t="shared" si="281"/>
        <v>3.9370078740157487E-2</v>
      </c>
      <c r="FD105" s="8">
        <f t="shared" si="163"/>
        <v>9.2542325796</v>
      </c>
      <c r="FE105" s="116">
        <f t="shared" si="164"/>
        <v>2610.6840000000002</v>
      </c>
      <c r="FF105" s="217">
        <f t="shared" si="165"/>
        <v>0.94524409113895935</v>
      </c>
      <c r="FG105" s="207">
        <f t="shared" si="166"/>
        <v>2</v>
      </c>
      <c r="FH105" s="144">
        <f t="shared" si="167"/>
        <v>31340.217035353988</v>
      </c>
      <c r="FI105" s="128">
        <f t="shared" si="168"/>
        <v>0.5</v>
      </c>
      <c r="FJ105" s="2">
        <f t="shared" si="169"/>
        <v>3.9370078740157487E-2</v>
      </c>
      <c r="FK105" s="127">
        <f t="shared" si="170"/>
        <v>3.9370078740157487E-2</v>
      </c>
      <c r="FL105" s="216">
        <f t="shared" si="171"/>
        <v>0</v>
      </c>
      <c r="FM105" s="138">
        <f t="shared" si="172"/>
        <v>0.5</v>
      </c>
      <c r="FN105" s="138">
        <f t="shared" si="173"/>
        <v>0</v>
      </c>
      <c r="FO105" s="238">
        <f t="shared" si="174"/>
        <v>0</v>
      </c>
      <c r="FP105" s="216">
        <f t="shared" si="282"/>
        <v>0</v>
      </c>
      <c r="FQ105" s="138">
        <f t="shared" si="283"/>
        <v>0.5</v>
      </c>
      <c r="FR105" s="138">
        <f t="shared" si="284"/>
        <v>0</v>
      </c>
      <c r="FS105" s="238">
        <f t="shared" si="285"/>
        <v>0</v>
      </c>
      <c r="FT105" s="216">
        <f t="shared" si="175"/>
        <v>0</v>
      </c>
      <c r="FU105" s="138">
        <f t="shared" si="176"/>
        <v>3.9370078740157487E-2</v>
      </c>
      <c r="FV105" s="138">
        <f t="shared" si="177"/>
        <v>0</v>
      </c>
      <c r="FW105" s="238">
        <f t="shared" si="178"/>
        <v>0</v>
      </c>
      <c r="FX105" s="216">
        <f t="shared" si="286"/>
        <v>0</v>
      </c>
      <c r="FY105" s="138">
        <f t="shared" si="287"/>
        <v>5.5118110236220486E-2</v>
      </c>
      <c r="FZ105" s="138">
        <f t="shared" si="288"/>
        <v>0</v>
      </c>
      <c r="GA105" s="238">
        <f t="shared" si="289"/>
        <v>0</v>
      </c>
      <c r="GB105" s="216">
        <f t="shared" si="179"/>
        <v>0</v>
      </c>
      <c r="GC105" s="138">
        <f t="shared" si="180"/>
        <v>3.9370078740157487E-2</v>
      </c>
      <c r="GD105" s="138">
        <f t="shared" si="181"/>
        <v>0</v>
      </c>
      <c r="GE105" s="238">
        <f t="shared" si="182"/>
        <v>0</v>
      </c>
      <c r="GF105" s="216">
        <f t="shared" si="290"/>
        <v>0</v>
      </c>
      <c r="GG105" s="138">
        <f t="shared" si="291"/>
        <v>5.5118110236220486E-2</v>
      </c>
      <c r="GH105" s="138">
        <f t="shared" si="292"/>
        <v>0</v>
      </c>
      <c r="GI105" s="238">
        <f t="shared" si="293"/>
        <v>0</v>
      </c>
      <c r="GJ105" s="216">
        <f t="shared" si="183"/>
        <v>0.5</v>
      </c>
      <c r="GK105" s="216">
        <f t="shared" si="184"/>
        <v>5.5118110236220486E-2</v>
      </c>
      <c r="GL105" s="17">
        <f t="shared" si="185"/>
        <v>5.5118110236220486E-2</v>
      </c>
      <c r="GM105" s="216">
        <f t="shared" si="294"/>
        <v>1.7486322185937563E-2</v>
      </c>
      <c r="GN105" s="2">
        <f t="shared" si="187"/>
        <v>3</v>
      </c>
      <c r="GO105" s="2">
        <f t="shared" si="188"/>
        <v>2</v>
      </c>
      <c r="GP105" s="142">
        <f t="shared" si="189"/>
        <v>2</v>
      </c>
      <c r="GQ105" s="2">
        <f t="shared" si="190"/>
        <v>1.5748031496062995E-2</v>
      </c>
      <c r="GR105" s="8">
        <f t="shared" si="295"/>
        <v>0.18402227074086866</v>
      </c>
      <c r="GS105" s="138">
        <f t="shared" si="191"/>
        <v>0.25</v>
      </c>
      <c r="GT105" s="12">
        <f t="shared" si="296"/>
        <v>15253.46193227261</v>
      </c>
      <c r="GU105" s="138">
        <f t="shared" si="192"/>
        <v>0.25</v>
      </c>
      <c r="GV105" s="116">
        <f t="shared" si="193"/>
        <v>2175570</v>
      </c>
      <c r="GW105" s="2">
        <f t="shared" si="297"/>
        <v>3.9370078740157487E-2</v>
      </c>
      <c r="GX105" s="8">
        <f t="shared" si="298"/>
        <v>4.6271162898</v>
      </c>
      <c r="GY105" s="116">
        <f t="shared" si="194"/>
        <v>2610.6840000000002</v>
      </c>
      <c r="GZ105" s="217">
        <f t="shared" si="195"/>
        <v>1.8904881822779187</v>
      </c>
      <c r="HA105" s="207">
        <f t="shared" si="196"/>
        <v>2</v>
      </c>
      <c r="HB105" s="144">
        <f t="shared" si="197"/>
        <v>31340.217035353988</v>
      </c>
      <c r="HC105" s="138">
        <f t="shared" si="299"/>
        <v>0.25</v>
      </c>
      <c r="HD105" s="116">
        <f t="shared" si="198"/>
        <v>2175570</v>
      </c>
      <c r="HE105" s="2">
        <f t="shared" si="300"/>
        <v>3.9370078740157487E-2</v>
      </c>
      <c r="HF105" s="8">
        <f t="shared" si="199"/>
        <v>4.6271162898</v>
      </c>
      <c r="HG105" s="116">
        <f t="shared" si="200"/>
        <v>2610.6840000000002</v>
      </c>
      <c r="HH105" s="217">
        <f t="shared" si="201"/>
        <v>1.8904881822779187</v>
      </c>
      <c r="HI105" s="207">
        <f t="shared" si="202"/>
        <v>2</v>
      </c>
      <c r="HJ105" s="144">
        <f t="shared" si="203"/>
        <v>31340.217035353988</v>
      </c>
      <c r="HK105" s="138">
        <f t="shared" si="301"/>
        <v>0.25</v>
      </c>
      <c r="HL105" s="116">
        <f t="shared" si="204"/>
        <v>2175570</v>
      </c>
      <c r="HM105" s="2">
        <f t="shared" si="302"/>
        <v>3.9370078740157487E-2</v>
      </c>
      <c r="HN105" s="8">
        <f t="shared" si="205"/>
        <v>4.6271162898</v>
      </c>
      <c r="HO105" s="116">
        <f t="shared" si="206"/>
        <v>2610.6840000000002</v>
      </c>
      <c r="HP105" s="217">
        <f t="shared" si="207"/>
        <v>1.8904881822779187</v>
      </c>
      <c r="HQ105" s="207">
        <f t="shared" si="208"/>
        <v>2</v>
      </c>
      <c r="HR105" s="144">
        <f t="shared" si="209"/>
        <v>31340.217035353988</v>
      </c>
      <c r="HS105" s="128">
        <f t="shared" si="210"/>
        <v>0.25</v>
      </c>
      <c r="HT105" s="2">
        <f t="shared" si="211"/>
        <v>1.5748031496062995E-2</v>
      </c>
      <c r="HU105" s="127">
        <f t="shared" si="212"/>
        <v>1.5748031496062995E-2</v>
      </c>
      <c r="HV105" s="216">
        <f t="shared" si="213"/>
        <v>0</v>
      </c>
      <c r="HW105" s="138">
        <f t="shared" si="214"/>
        <v>0.25</v>
      </c>
      <c r="HX105" s="138">
        <f t="shared" si="215"/>
        <v>0</v>
      </c>
      <c r="HY105" s="238">
        <f t="shared" si="216"/>
        <v>0</v>
      </c>
      <c r="HZ105" s="138">
        <f t="shared" si="217"/>
        <v>0</v>
      </c>
      <c r="IA105" s="138">
        <f t="shared" si="218"/>
        <v>0.5</v>
      </c>
      <c r="IB105" s="138">
        <f t="shared" si="219"/>
        <v>0</v>
      </c>
      <c r="IC105" s="138">
        <f t="shared" si="220"/>
        <v>0</v>
      </c>
      <c r="ID105" s="216">
        <f t="shared" si="221"/>
        <v>0</v>
      </c>
      <c r="IE105" s="138">
        <f t="shared" si="222"/>
        <v>1.5748031496062995E-2</v>
      </c>
      <c r="IF105" s="138">
        <f t="shared" si="223"/>
        <v>0</v>
      </c>
      <c r="IG105" s="238">
        <f t="shared" si="224"/>
        <v>0</v>
      </c>
      <c r="IH105" s="138">
        <f t="shared" si="225"/>
        <v>0</v>
      </c>
      <c r="II105" s="138">
        <f t="shared" si="226"/>
        <v>1.5748031496062995E-2</v>
      </c>
      <c r="IJ105" s="138">
        <f t="shared" si="227"/>
        <v>0</v>
      </c>
      <c r="IK105" s="138">
        <f t="shared" si="228"/>
        <v>0</v>
      </c>
      <c r="IL105" s="216">
        <f t="shared" si="229"/>
        <v>0</v>
      </c>
      <c r="IM105" s="138">
        <f t="shared" si="230"/>
        <v>1.5748031496062995E-2</v>
      </c>
      <c r="IN105" s="138">
        <f t="shared" si="231"/>
        <v>0</v>
      </c>
      <c r="IO105" s="238">
        <f t="shared" si="232"/>
        <v>0</v>
      </c>
      <c r="IP105" s="138">
        <f t="shared" si="233"/>
        <v>0</v>
      </c>
      <c r="IQ105" s="138">
        <f t="shared" si="234"/>
        <v>1.5748031496062995E-2</v>
      </c>
      <c r="IR105" s="138">
        <f t="shared" si="235"/>
        <v>0</v>
      </c>
      <c r="IS105" s="138">
        <f t="shared" si="236"/>
        <v>0</v>
      </c>
      <c r="IT105" s="17">
        <f t="shared" si="237"/>
        <v>0.5</v>
      </c>
      <c r="IU105" s="17">
        <f t="shared" si="238"/>
        <v>1.5748031496062995E-2</v>
      </c>
      <c r="IV105" s="17">
        <f t="shared" si="239"/>
        <v>1.5748031496062995E-2</v>
      </c>
      <c r="IW105" s="253">
        <f t="shared" si="240"/>
        <v>25.706201610000004</v>
      </c>
      <c r="IX105" s="116">
        <f t="shared" si="303"/>
        <v>1291.1037670923133</v>
      </c>
      <c r="IY105" s="8">
        <f t="shared" si="242"/>
        <v>3.3381866315008307E-2</v>
      </c>
      <c r="IZ105" s="8">
        <f t="shared" si="243"/>
        <v>3.3381866315008307E-2</v>
      </c>
      <c r="JA105" s="8">
        <f t="shared" si="244"/>
        <v>1.6690933157504154E-2</v>
      </c>
      <c r="JB105" s="134">
        <f t="shared" si="245"/>
        <v>0.12919339440352262</v>
      </c>
      <c r="JC105" s="170">
        <f t="shared" si="305"/>
        <v>1.9839863322260787E-2</v>
      </c>
      <c r="JD105" s="272">
        <f t="shared" si="306"/>
        <v>0.14085404971906482</v>
      </c>
      <c r="JE105" s="8"/>
      <c r="JF105" s="8"/>
    </row>
    <row r="106" spans="1:266" x14ac:dyDescent="0.25">
      <c r="A106" s="186">
        <v>46</v>
      </c>
      <c r="B106" s="187">
        <f>A106/100*'Inputs-Imperial'!$E$5</f>
        <v>11.077428176</v>
      </c>
      <c r="C106" s="188">
        <f>'Inputs-Imperial'!$E$10+('Inputs-Imperial'!$E$9-'Inputs-Imperial'!$E$10)*(100-A106)/100</f>
        <v>4.2665683780000005</v>
      </c>
      <c r="D106" s="187">
        <f t="shared" si="248"/>
        <v>0.24081365600000026</v>
      </c>
      <c r="E106" s="188">
        <f t="shared" si="249"/>
        <v>1.0295909974715183</v>
      </c>
      <c r="F106" s="423">
        <f>Loads!P66</f>
        <v>447.91126854676116</v>
      </c>
      <c r="G106" s="423">
        <f>Loads!M66</f>
        <v>4479.1126854676122</v>
      </c>
      <c r="H106" s="423">
        <f>Loads!N66</f>
        <v>26554.010643833346</v>
      </c>
      <c r="I106" s="423">
        <f>Loads!V66</f>
        <v>-9091.2596011431597</v>
      </c>
      <c r="J106" s="423">
        <f>Loads!Q66</f>
        <v>2655.4010643833353</v>
      </c>
      <c r="K106" s="2">
        <v>46</v>
      </c>
      <c r="L106" s="12">
        <f t="shared" si="41"/>
        <v>132.929138112</v>
      </c>
      <c r="M106" s="11">
        <f t="shared" si="42"/>
        <v>51.198820536000007</v>
      </c>
      <c r="N106" s="11">
        <f t="shared" si="43"/>
        <v>2.8897638720000032</v>
      </c>
      <c r="O106" s="152">
        <f t="shared" si="44"/>
        <v>148.26110363589862</v>
      </c>
      <c r="P106" s="151">
        <f t="shared" si="45"/>
        <v>447.91126854676116</v>
      </c>
      <c r="Q106" s="12">
        <f t="shared" si="46"/>
        <v>4479.1126854676122</v>
      </c>
      <c r="R106" s="12">
        <f t="shared" si="47"/>
        <v>318648.12772600015</v>
      </c>
      <c r="S106" s="12">
        <f t="shared" si="48"/>
        <v>-109095.11521371792</v>
      </c>
      <c r="T106" s="152">
        <f t="shared" si="49"/>
        <v>31864.812772600024</v>
      </c>
      <c r="U106" s="8">
        <f t="shared" si="261"/>
        <v>9.2157876964800014</v>
      </c>
      <c r="V106" s="8">
        <f t="shared" si="262"/>
        <v>9.2157876964800014</v>
      </c>
      <c r="W106" s="134">
        <f t="shared" si="263"/>
        <v>4.6078938482400007</v>
      </c>
      <c r="X106" s="311">
        <f t="shared" si="264"/>
        <v>12.799705134000002</v>
      </c>
      <c r="Y106" s="11">
        <f t="shared" si="265"/>
        <v>38.399115402000007</v>
      </c>
      <c r="Z106" s="11">
        <f t="shared" si="266"/>
        <v>25.599410268000007</v>
      </c>
      <c r="AA106" s="316">
        <f t="shared" si="50"/>
        <v>38.399115402000007</v>
      </c>
      <c r="AB106" s="170">
        <f t="shared" si="51"/>
        <v>6.9118407723600015</v>
      </c>
      <c r="AC106" s="11">
        <f t="shared" si="52"/>
        <v>38.399115402000007</v>
      </c>
      <c r="AD106" s="152">
        <f t="shared" si="53"/>
        <v>208.45140457313261</v>
      </c>
      <c r="AE106" s="151">
        <f t="shared" si="267"/>
        <v>11.664624662771056</v>
      </c>
      <c r="AF106" s="12">
        <f t="shared" si="268"/>
        <v>261.67997149533056</v>
      </c>
      <c r="AG106" s="216">
        <f t="shared" si="269"/>
        <v>1.7908399778885385E-2</v>
      </c>
      <c r="AH106" s="2">
        <f t="shared" si="55"/>
        <v>3</v>
      </c>
      <c r="AI106" s="2">
        <f t="shared" si="56"/>
        <v>3</v>
      </c>
      <c r="AJ106" s="127">
        <f t="shared" si="57"/>
        <v>2</v>
      </c>
      <c r="AK106" s="2">
        <f t="shared" si="58"/>
        <v>1.5748031496062995E-2</v>
      </c>
      <c r="AL106" s="8">
        <f t="shared" si="270"/>
        <v>0.18846412399378207</v>
      </c>
      <c r="AM106" s="138">
        <f t="shared" si="59"/>
        <v>0.25</v>
      </c>
      <c r="AN106" s="12">
        <f t="shared" si="271"/>
        <v>15621.643670435506</v>
      </c>
      <c r="AO106" s="138">
        <f t="shared" si="60"/>
        <v>0.25</v>
      </c>
      <c r="AP106" s="116">
        <f t="shared" si="61"/>
        <v>2175570</v>
      </c>
      <c r="AQ106" s="2">
        <f t="shared" si="62"/>
        <v>1.5748031496062995E-2</v>
      </c>
      <c r="AR106" s="8">
        <f t="shared" si="63"/>
        <v>25.599410268000007</v>
      </c>
      <c r="AS106" s="116">
        <f t="shared" si="64"/>
        <v>2610.6840000000002</v>
      </c>
      <c r="AT106" s="217">
        <f t="shared" si="65"/>
        <v>2.4705569292893359E-2</v>
      </c>
      <c r="AU106" s="207">
        <f t="shared" si="66"/>
        <v>4.8796609095871739</v>
      </c>
      <c r="AV106" s="144">
        <f t="shared" si="67"/>
        <v>2498.1732594760483</v>
      </c>
      <c r="AW106" s="138">
        <f t="shared" si="68"/>
        <v>1.75</v>
      </c>
      <c r="AX106" s="116">
        <f t="shared" si="69"/>
        <v>2175570</v>
      </c>
      <c r="AY106" s="2">
        <f t="shared" si="70"/>
        <v>1.5748031496062995E-2</v>
      </c>
      <c r="AZ106" s="8">
        <f t="shared" si="71"/>
        <v>25.599410268000007</v>
      </c>
      <c r="BA106" s="116">
        <f t="shared" si="72"/>
        <v>2610.6840000000002</v>
      </c>
      <c r="BB106" s="217">
        <f t="shared" si="73"/>
        <v>0.17293898505025346</v>
      </c>
      <c r="BC106" s="207">
        <f t="shared" si="74"/>
        <v>3.2739248895916258</v>
      </c>
      <c r="BD106" s="144">
        <f t="shared" si="75"/>
        <v>82129.220953744065</v>
      </c>
      <c r="BE106" s="138">
        <f t="shared" si="76"/>
        <v>1.75</v>
      </c>
      <c r="BF106" s="116">
        <f t="shared" si="77"/>
        <v>2175570</v>
      </c>
      <c r="BG106" s="2">
        <f t="shared" si="78"/>
        <v>1.5748031496062995E-2</v>
      </c>
      <c r="BH106" s="8">
        <f t="shared" si="79"/>
        <v>25.599410268000007</v>
      </c>
      <c r="BI106" s="116">
        <f t="shared" si="80"/>
        <v>2610.6840000000002</v>
      </c>
      <c r="BJ106" s="217">
        <f t="shared" si="81"/>
        <v>0.17293898505025346</v>
      </c>
      <c r="BK106" s="207">
        <f t="shared" si="82"/>
        <v>3.2739248895916258</v>
      </c>
      <c r="BL106" s="144">
        <f t="shared" si="83"/>
        <v>82129.220953744065</v>
      </c>
      <c r="BM106" s="216">
        <f t="shared" si="84"/>
        <v>1.75</v>
      </c>
      <c r="BN106" s="216">
        <f t="shared" si="85"/>
        <v>2.3622047244094495E-2</v>
      </c>
      <c r="BO106" s="238">
        <f t="shared" si="86"/>
        <v>1.5748031496062995E-2</v>
      </c>
      <c r="BP106" s="216">
        <f t="shared" si="87"/>
        <v>0</v>
      </c>
      <c r="BQ106" s="138">
        <f t="shared" si="88"/>
        <v>1.75</v>
      </c>
      <c r="BR106" s="138">
        <f t="shared" si="89"/>
        <v>0</v>
      </c>
      <c r="BS106" s="238">
        <f t="shared" si="90"/>
        <v>0</v>
      </c>
      <c r="BT106" s="138">
        <f t="shared" si="91"/>
        <v>0</v>
      </c>
      <c r="BU106" s="138">
        <f t="shared" si="92"/>
        <v>2.5</v>
      </c>
      <c r="BV106" s="138">
        <f t="shared" si="93"/>
        <v>0</v>
      </c>
      <c r="BW106" s="238">
        <f t="shared" si="94"/>
        <v>0</v>
      </c>
      <c r="BX106" s="216">
        <f t="shared" si="95"/>
        <v>0</v>
      </c>
      <c r="BY106" s="138">
        <f t="shared" si="96"/>
        <v>2.3622047244094495E-2</v>
      </c>
      <c r="BZ106" s="138">
        <f t="shared" si="97"/>
        <v>0</v>
      </c>
      <c r="CA106" s="238">
        <f t="shared" si="98"/>
        <v>0</v>
      </c>
      <c r="CB106" s="138">
        <f t="shared" si="99"/>
        <v>0</v>
      </c>
      <c r="CC106" s="138">
        <f t="shared" si="100"/>
        <v>2.3622047244094495E-2</v>
      </c>
      <c r="CD106" s="138">
        <f t="shared" si="101"/>
        <v>0</v>
      </c>
      <c r="CE106" s="238">
        <f t="shared" si="102"/>
        <v>0</v>
      </c>
      <c r="CF106" s="216">
        <f t="shared" si="103"/>
        <v>0</v>
      </c>
      <c r="CG106" s="138">
        <f t="shared" si="104"/>
        <v>1.5748031496062995E-2</v>
      </c>
      <c r="CH106" s="138">
        <f t="shared" si="105"/>
        <v>0</v>
      </c>
      <c r="CI106" s="238">
        <f t="shared" si="106"/>
        <v>0</v>
      </c>
      <c r="CJ106" s="138">
        <f t="shared" si="107"/>
        <v>0</v>
      </c>
      <c r="CK106" s="138">
        <f t="shared" si="108"/>
        <v>1.5748031496062995E-2</v>
      </c>
      <c r="CL106" s="138">
        <f t="shared" si="109"/>
        <v>0</v>
      </c>
      <c r="CM106" s="238">
        <f t="shared" si="110"/>
        <v>0</v>
      </c>
      <c r="CN106" s="17">
        <f t="shared" si="111"/>
        <v>2.5</v>
      </c>
      <c r="CO106" s="17">
        <f t="shared" si="112"/>
        <v>2.3622047244094495E-2</v>
      </c>
      <c r="CP106" s="17">
        <f t="shared" si="113"/>
        <v>1.5748031496062995E-2</v>
      </c>
      <c r="CQ106" s="17">
        <f>$U106-IF('Inputs-Imperial'!$E$13,0,2)*($CO106+$CN106+$CP106)</f>
        <v>9.2157876964800014</v>
      </c>
      <c r="CR106" s="116">
        <f t="shared" si="114"/>
        <v>34576.331206903647</v>
      </c>
      <c r="CS106" s="8">
        <f t="shared" si="10"/>
        <v>0.89398117752512218</v>
      </c>
      <c r="CT106" s="8">
        <f t="shared" si="115"/>
        <v>0.94550577868415075</v>
      </c>
      <c r="CU106" s="8">
        <f t="shared" si="272"/>
        <v>0.89398117752512218</v>
      </c>
      <c r="CV106" s="8">
        <f t="shared" si="116"/>
        <v>0.94550577868415075</v>
      </c>
      <c r="CW106" s="216">
        <f t="shared" si="117"/>
        <v>8.2702819177958506</v>
      </c>
      <c r="CX106" s="116">
        <f t="shared" si="118"/>
        <v>38529.294514173525</v>
      </c>
      <c r="CY106" s="8">
        <f t="shared" si="119"/>
        <v>0.99618620243074718</v>
      </c>
      <c r="CZ106" s="8">
        <f t="shared" si="120"/>
        <v>0.99809127960860733</v>
      </c>
      <c r="DA106" s="8">
        <f t="shared" si="121"/>
        <v>0.99618620243074718</v>
      </c>
      <c r="DB106" s="8">
        <f t="shared" si="122"/>
        <v>0.99809127960860733</v>
      </c>
      <c r="DC106" s="216">
        <f t="shared" si="123"/>
        <v>8.2176964168713926</v>
      </c>
      <c r="DD106" s="116">
        <f t="shared" si="124"/>
        <v>38775.845633795579</v>
      </c>
      <c r="DE106" s="8">
        <f t="shared" si="125"/>
        <v>1.0025608538916244</v>
      </c>
      <c r="DF106" s="8">
        <f t="shared" si="126"/>
        <v>1.0012796082471791</v>
      </c>
      <c r="DG106" s="8">
        <f t="shared" si="127"/>
        <v>1.0025608538916244</v>
      </c>
      <c r="DH106" s="8">
        <f t="shared" si="128"/>
        <v>1.0012796082471791</v>
      </c>
      <c r="DI106" s="216">
        <f t="shared" si="129"/>
        <v>8.2145080882328223</v>
      </c>
      <c r="DJ106" s="116">
        <f t="shared" si="130"/>
        <v>38790.895851993802</v>
      </c>
      <c r="DK106" s="8">
        <f t="shared" si="131"/>
        <v>1.0029499816942922</v>
      </c>
      <c r="DL106" s="8">
        <f t="shared" si="132"/>
        <v>1.0014739046496879</v>
      </c>
      <c r="DM106" s="8">
        <f t="shared" si="133"/>
        <v>1.0029499816942922</v>
      </c>
      <c r="DN106" s="8">
        <f t="shared" si="134"/>
        <v>1.0014739046496879</v>
      </c>
      <c r="DO106" s="216">
        <f t="shared" si="135"/>
        <v>8.2143137918303122</v>
      </c>
      <c r="DP106" s="116">
        <f t="shared" si="136"/>
        <v>38791.813388346229</v>
      </c>
      <c r="DQ106" s="170">
        <f t="shared" si="137"/>
        <v>1.00297370486561</v>
      </c>
      <c r="DR106" s="8">
        <f t="shared" si="138"/>
        <v>1.001485748708193</v>
      </c>
      <c r="DS106" s="8">
        <f t="shared" si="139"/>
        <v>1.00297370486561</v>
      </c>
      <c r="DT106" s="134">
        <f t="shared" si="140"/>
        <v>1.001485748708193</v>
      </c>
      <c r="DU106" s="170">
        <f t="shared" si="304"/>
        <v>1.2501892583384084</v>
      </c>
      <c r="DV106" s="170">
        <f t="shared" si="304"/>
        <v>1.1181186244484118</v>
      </c>
      <c r="DW106" s="170">
        <f t="shared" si="304"/>
        <v>1.2501892583384084</v>
      </c>
      <c r="DX106" s="272">
        <f t="shared" si="304"/>
        <v>1.1181186244484118</v>
      </c>
      <c r="DY106" s="272">
        <f t="shared" si="142"/>
        <v>6.9795504475831773</v>
      </c>
      <c r="DZ106" s="22">
        <f t="shared" si="273"/>
        <v>486.02602761546069</v>
      </c>
      <c r="EA106" s="216">
        <f t="shared" si="274"/>
        <v>3.1842401597897044E-2</v>
      </c>
      <c r="EB106" s="12">
        <f t="shared" si="143"/>
        <v>5</v>
      </c>
      <c r="EC106" s="7">
        <f>ROUND(MAX(DV106,DX106)/'Inputs-Imperial'!$E$21,0)</f>
        <v>9</v>
      </c>
      <c r="ED106" s="12">
        <f t="shared" si="144"/>
        <v>9</v>
      </c>
      <c r="EE106" s="2">
        <f t="shared" si="145"/>
        <v>5</v>
      </c>
      <c r="EF106" s="127">
        <f t="shared" si="146"/>
        <v>5</v>
      </c>
      <c r="EG106" s="2">
        <f t="shared" si="147"/>
        <v>3.9370078740157487E-2</v>
      </c>
      <c r="EH106" s="8">
        <f t="shared" si="275"/>
        <v>0.33510254389571054</v>
      </c>
      <c r="EI106" s="138">
        <f t="shared" si="148"/>
        <v>0.5</v>
      </c>
      <c r="EJ106" s="12">
        <f t="shared" si="276"/>
        <v>11110.554991289429</v>
      </c>
      <c r="EK106" s="138">
        <f t="shared" si="149"/>
        <v>0.5</v>
      </c>
      <c r="EL106" s="116">
        <f t="shared" si="150"/>
        <v>2175570</v>
      </c>
      <c r="EM106" s="2">
        <f t="shared" si="277"/>
        <v>3.9370078740157487E-2</v>
      </c>
      <c r="EN106" s="8">
        <f t="shared" si="151"/>
        <v>9.2157876964800014</v>
      </c>
      <c r="EO106" s="116">
        <f t="shared" si="152"/>
        <v>2610.6840000000002</v>
      </c>
      <c r="EP106" s="217">
        <f t="shared" si="153"/>
        <v>0.95314696346039218</v>
      </c>
      <c r="EQ106" s="207">
        <f t="shared" si="154"/>
        <v>2</v>
      </c>
      <c r="ER106" s="144">
        <f t="shared" si="155"/>
        <v>31602.242194863804</v>
      </c>
      <c r="ES106" s="138">
        <f t="shared" si="278"/>
        <v>0.5</v>
      </c>
      <c r="ET106" s="116">
        <f t="shared" si="156"/>
        <v>2175570</v>
      </c>
      <c r="EU106" s="2">
        <f t="shared" si="279"/>
        <v>3.9370078740157487E-2</v>
      </c>
      <c r="EV106" s="8">
        <f t="shared" si="157"/>
        <v>9.2157876964800014</v>
      </c>
      <c r="EW106" s="116">
        <f t="shared" si="158"/>
        <v>2610.6840000000002</v>
      </c>
      <c r="EX106" s="217">
        <f t="shared" si="159"/>
        <v>0.95314696346039218</v>
      </c>
      <c r="EY106" s="207">
        <f t="shared" si="160"/>
        <v>2</v>
      </c>
      <c r="EZ106" s="144">
        <f t="shared" si="161"/>
        <v>31602.242194863804</v>
      </c>
      <c r="FA106" s="138">
        <f t="shared" si="280"/>
        <v>0.5</v>
      </c>
      <c r="FB106" s="116">
        <f t="shared" si="162"/>
        <v>2175570</v>
      </c>
      <c r="FC106" s="2">
        <f t="shared" si="281"/>
        <v>3.9370078740157487E-2</v>
      </c>
      <c r="FD106" s="8">
        <f t="shared" si="163"/>
        <v>9.2157876964800014</v>
      </c>
      <c r="FE106" s="116">
        <f t="shared" si="164"/>
        <v>2610.6840000000002</v>
      </c>
      <c r="FF106" s="217">
        <f t="shared" si="165"/>
        <v>0.95314696346039218</v>
      </c>
      <c r="FG106" s="207">
        <f t="shared" si="166"/>
        <v>2</v>
      </c>
      <c r="FH106" s="144">
        <f t="shared" si="167"/>
        <v>31602.242194863804</v>
      </c>
      <c r="FI106" s="128">
        <f t="shared" si="168"/>
        <v>0.5</v>
      </c>
      <c r="FJ106" s="2">
        <f t="shared" si="169"/>
        <v>3.9370078740157487E-2</v>
      </c>
      <c r="FK106" s="127">
        <f t="shared" si="170"/>
        <v>3.9370078740157487E-2</v>
      </c>
      <c r="FL106" s="216">
        <f t="shared" si="171"/>
        <v>0</v>
      </c>
      <c r="FM106" s="138">
        <f t="shared" si="172"/>
        <v>0.5</v>
      </c>
      <c r="FN106" s="138">
        <f t="shared" si="173"/>
        <v>0</v>
      </c>
      <c r="FO106" s="238">
        <f t="shared" si="174"/>
        <v>0</v>
      </c>
      <c r="FP106" s="216">
        <f t="shared" si="282"/>
        <v>0</v>
      </c>
      <c r="FQ106" s="138">
        <f t="shared" si="283"/>
        <v>0.5</v>
      </c>
      <c r="FR106" s="138">
        <f t="shared" si="284"/>
        <v>0</v>
      </c>
      <c r="FS106" s="238">
        <f t="shared" si="285"/>
        <v>0</v>
      </c>
      <c r="FT106" s="216">
        <f t="shared" si="175"/>
        <v>0</v>
      </c>
      <c r="FU106" s="138">
        <f t="shared" si="176"/>
        <v>3.9370078740157487E-2</v>
      </c>
      <c r="FV106" s="138">
        <f t="shared" si="177"/>
        <v>0</v>
      </c>
      <c r="FW106" s="238">
        <f t="shared" si="178"/>
        <v>0</v>
      </c>
      <c r="FX106" s="216">
        <f t="shared" si="286"/>
        <v>0</v>
      </c>
      <c r="FY106" s="138">
        <f t="shared" si="287"/>
        <v>5.5118110236220486E-2</v>
      </c>
      <c r="FZ106" s="138">
        <f t="shared" si="288"/>
        <v>0</v>
      </c>
      <c r="GA106" s="238">
        <f t="shared" si="289"/>
        <v>0</v>
      </c>
      <c r="GB106" s="216">
        <f t="shared" si="179"/>
        <v>0</v>
      </c>
      <c r="GC106" s="138">
        <f t="shared" si="180"/>
        <v>3.9370078740157487E-2</v>
      </c>
      <c r="GD106" s="138">
        <f t="shared" si="181"/>
        <v>0</v>
      </c>
      <c r="GE106" s="238">
        <f t="shared" si="182"/>
        <v>0</v>
      </c>
      <c r="GF106" s="216">
        <f t="shared" si="290"/>
        <v>0</v>
      </c>
      <c r="GG106" s="138">
        <f t="shared" si="291"/>
        <v>5.5118110236220486E-2</v>
      </c>
      <c r="GH106" s="138">
        <f t="shared" si="292"/>
        <v>0</v>
      </c>
      <c r="GI106" s="238">
        <f t="shared" si="293"/>
        <v>0</v>
      </c>
      <c r="GJ106" s="216">
        <f t="shared" si="183"/>
        <v>0.5</v>
      </c>
      <c r="GK106" s="216">
        <f t="shared" si="184"/>
        <v>5.5118110236220486E-2</v>
      </c>
      <c r="GL106" s="17">
        <f t="shared" si="185"/>
        <v>5.5118110236220486E-2</v>
      </c>
      <c r="GM106" s="216">
        <f t="shared" si="294"/>
        <v>1.7144182140535855E-2</v>
      </c>
      <c r="GN106" s="2">
        <f t="shared" si="187"/>
        <v>3</v>
      </c>
      <c r="GO106" s="2">
        <f t="shared" si="188"/>
        <v>2</v>
      </c>
      <c r="GP106" s="142">
        <f t="shared" si="189"/>
        <v>2</v>
      </c>
      <c r="GQ106" s="2">
        <f t="shared" si="190"/>
        <v>1.5748031496062995E-2</v>
      </c>
      <c r="GR106" s="8">
        <f t="shared" si="295"/>
        <v>0.180421662940285</v>
      </c>
      <c r="GS106" s="138">
        <f t="shared" si="191"/>
        <v>0.25</v>
      </c>
      <c r="GT106" s="12">
        <f t="shared" si="296"/>
        <v>14955.010370958138</v>
      </c>
      <c r="GU106" s="138">
        <f t="shared" si="192"/>
        <v>0.25</v>
      </c>
      <c r="GV106" s="116">
        <f t="shared" si="193"/>
        <v>2175570</v>
      </c>
      <c r="GW106" s="2">
        <f t="shared" si="297"/>
        <v>3.9370078740157487E-2</v>
      </c>
      <c r="GX106" s="8">
        <f t="shared" si="298"/>
        <v>4.6078938482400007</v>
      </c>
      <c r="GY106" s="116">
        <f t="shared" si="194"/>
        <v>2610.6840000000002</v>
      </c>
      <c r="GZ106" s="217">
        <f t="shared" si="195"/>
        <v>1.9062939269207844</v>
      </c>
      <c r="HA106" s="207">
        <f t="shared" si="196"/>
        <v>2</v>
      </c>
      <c r="HB106" s="144">
        <f t="shared" si="197"/>
        <v>31602.242194863804</v>
      </c>
      <c r="HC106" s="138">
        <f t="shared" si="299"/>
        <v>0.25</v>
      </c>
      <c r="HD106" s="116">
        <f t="shared" si="198"/>
        <v>2175570</v>
      </c>
      <c r="HE106" s="2">
        <f t="shared" si="300"/>
        <v>3.9370078740157487E-2</v>
      </c>
      <c r="HF106" s="8">
        <f t="shared" si="199"/>
        <v>4.6078938482400007</v>
      </c>
      <c r="HG106" s="116">
        <f t="shared" si="200"/>
        <v>2610.6840000000002</v>
      </c>
      <c r="HH106" s="217">
        <f t="shared" si="201"/>
        <v>1.9062939269207844</v>
      </c>
      <c r="HI106" s="207">
        <f t="shared" si="202"/>
        <v>2</v>
      </c>
      <c r="HJ106" s="144">
        <f t="shared" si="203"/>
        <v>31602.242194863804</v>
      </c>
      <c r="HK106" s="138">
        <f t="shared" si="301"/>
        <v>0.25</v>
      </c>
      <c r="HL106" s="116">
        <f t="shared" si="204"/>
        <v>2175570</v>
      </c>
      <c r="HM106" s="2">
        <f t="shared" si="302"/>
        <v>3.9370078740157487E-2</v>
      </c>
      <c r="HN106" s="8">
        <f t="shared" si="205"/>
        <v>4.6078938482400007</v>
      </c>
      <c r="HO106" s="116">
        <f t="shared" si="206"/>
        <v>2610.6840000000002</v>
      </c>
      <c r="HP106" s="217">
        <f t="shared" si="207"/>
        <v>1.9062939269207844</v>
      </c>
      <c r="HQ106" s="207">
        <f t="shared" si="208"/>
        <v>2</v>
      </c>
      <c r="HR106" s="144">
        <f t="shared" si="209"/>
        <v>31602.242194863804</v>
      </c>
      <c r="HS106" s="128">
        <f t="shared" si="210"/>
        <v>0.25</v>
      </c>
      <c r="HT106" s="2">
        <f t="shared" si="211"/>
        <v>1.5748031496062995E-2</v>
      </c>
      <c r="HU106" s="127">
        <f t="shared" si="212"/>
        <v>1.5748031496062995E-2</v>
      </c>
      <c r="HV106" s="216">
        <f t="shared" si="213"/>
        <v>0</v>
      </c>
      <c r="HW106" s="138">
        <f t="shared" si="214"/>
        <v>0.25</v>
      </c>
      <c r="HX106" s="138">
        <f t="shared" si="215"/>
        <v>0</v>
      </c>
      <c r="HY106" s="238">
        <f t="shared" si="216"/>
        <v>0</v>
      </c>
      <c r="HZ106" s="138">
        <f t="shared" si="217"/>
        <v>0</v>
      </c>
      <c r="IA106" s="138">
        <f t="shared" si="218"/>
        <v>0.5</v>
      </c>
      <c r="IB106" s="138">
        <f t="shared" si="219"/>
        <v>0</v>
      </c>
      <c r="IC106" s="138">
        <f t="shared" si="220"/>
        <v>0</v>
      </c>
      <c r="ID106" s="216">
        <f t="shared" si="221"/>
        <v>0</v>
      </c>
      <c r="IE106" s="138">
        <f t="shared" si="222"/>
        <v>1.5748031496062995E-2</v>
      </c>
      <c r="IF106" s="138">
        <f t="shared" si="223"/>
        <v>0</v>
      </c>
      <c r="IG106" s="238">
        <f t="shared" si="224"/>
        <v>0</v>
      </c>
      <c r="IH106" s="138">
        <f t="shared" si="225"/>
        <v>0</v>
      </c>
      <c r="II106" s="138">
        <f t="shared" si="226"/>
        <v>1.5748031496062995E-2</v>
      </c>
      <c r="IJ106" s="138">
        <f t="shared" si="227"/>
        <v>0</v>
      </c>
      <c r="IK106" s="138">
        <f t="shared" si="228"/>
        <v>0</v>
      </c>
      <c r="IL106" s="216">
        <f t="shared" si="229"/>
        <v>0</v>
      </c>
      <c r="IM106" s="138">
        <f t="shared" si="230"/>
        <v>1.5748031496062995E-2</v>
      </c>
      <c r="IN106" s="138">
        <f t="shared" si="231"/>
        <v>0</v>
      </c>
      <c r="IO106" s="238">
        <f t="shared" si="232"/>
        <v>0</v>
      </c>
      <c r="IP106" s="138">
        <f t="shared" si="233"/>
        <v>0</v>
      </c>
      <c r="IQ106" s="138">
        <f t="shared" si="234"/>
        <v>1.5748031496062995E-2</v>
      </c>
      <c r="IR106" s="138">
        <f t="shared" si="235"/>
        <v>0</v>
      </c>
      <c r="IS106" s="138">
        <f t="shared" si="236"/>
        <v>0</v>
      </c>
      <c r="IT106" s="17">
        <f t="shared" si="237"/>
        <v>0.5</v>
      </c>
      <c r="IU106" s="17">
        <f t="shared" si="238"/>
        <v>1.5748031496062995E-2</v>
      </c>
      <c r="IV106" s="17">
        <f t="shared" si="239"/>
        <v>1.5748031496062995E-2</v>
      </c>
      <c r="IW106" s="253">
        <f t="shared" si="240"/>
        <v>25.599410268000007</v>
      </c>
      <c r="IX106" s="116">
        <f t="shared" si="303"/>
        <v>1244.7479234485315</v>
      </c>
      <c r="IY106" s="8">
        <f t="shared" si="242"/>
        <v>3.2183322390904406E-2</v>
      </c>
      <c r="IZ106" s="8">
        <f t="shared" si="243"/>
        <v>3.2183322390904406E-2</v>
      </c>
      <c r="JA106" s="8">
        <f t="shared" si="244"/>
        <v>1.6091661195452203E-2</v>
      </c>
      <c r="JB106" s="134">
        <f t="shared" si="245"/>
        <v>0.12685291165539797</v>
      </c>
      <c r="JC106" s="170">
        <f t="shared" si="305"/>
        <v>1.9839863322260787E-2</v>
      </c>
      <c r="JD106" s="272">
        <f t="shared" si="306"/>
        <v>0.14085404971906482</v>
      </c>
      <c r="JE106" s="8"/>
      <c r="JF106" s="8"/>
    </row>
    <row r="107" spans="1:266" x14ac:dyDescent="0.25">
      <c r="A107" s="186">
        <v>47</v>
      </c>
      <c r="B107" s="187">
        <f>A107/100*'Inputs-Imperial'!$E$5</f>
        <v>11.318241831999998</v>
      </c>
      <c r="C107" s="188">
        <f>'Inputs-Imperial'!$E$10+('Inputs-Imperial'!$E$9-'Inputs-Imperial'!$E$10)*(100-A107)/100</f>
        <v>4.2487698210000007</v>
      </c>
      <c r="D107" s="187">
        <f t="shared" si="248"/>
        <v>0.24081365599999849</v>
      </c>
      <c r="E107" s="188">
        <f t="shared" si="249"/>
        <v>1.0253048618888165</v>
      </c>
      <c r="F107" s="423">
        <f>Loads!P67</f>
        <v>437.51211539822884</v>
      </c>
      <c r="G107" s="423">
        <f>Loads!M67</f>
        <v>4375.1211539822889</v>
      </c>
      <c r="H107" s="423">
        <f>Loads!N67</f>
        <v>25475.379142409918</v>
      </c>
      <c r="I107" s="423">
        <f>Loads!V67</f>
        <v>-8834.9179877696697</v>
      </c>
      <c r="J107" s="423">
        <f>Loads!Q67</f>
        <v>2547.5379142409924</v>
      </c>
      <c r="K107" s="2">
        <v>47</v>
      </c>
      <c r="L107" s="12">
        <f t="shared" si="41"/>
        <v>135.81890198399998</v>
      </c>
      <c r="M107" s="11">
        <f t="shared" si="42"/>
        <v>50.985237852000012</v>
      </c>
      <c r="N107" s="11">
        <f t="shared" si="43"/>
        <v>2.8897638719999819</v>
      </c>
      <c r="O107" s="152">
        <f t="shared" si="44"/>
        <v>147.64390011198958</v>
      </c>
      <c r="P107" s="151">
        <f t="shared" si="45"/>
        <v>437.51211539822884</v>
      </c>
      <c r="Q107" s="12">
        <f t="shared" si="46"/>
        <v>4375.1211539822889</v>
      </c>
      <c r="R107" s="12">
        <f t="shared" si="47"/>
        <v>305704.54970891902</v>
      </c>
      <c r="S107" s="12">
        <f t="shared" si="48"/>
        <v>-106019.01585323604</v>
      </c>
      <c r="T107" s="152">
        <f t="shared" si="49"/>
        <v>30570.454970891908</v>
      </c>
      <c r="U107" s="8">
        <f t="shared" si="261"/>
        <v>9.177342813360001</v>
      </c>
      <c r="V107" s="8">
        <f t="shared" si="262"/>
        <v>9.177342813360001</v>
      </c>
      <c r="W107" s="134">
        <f t="shared" si="263"/>
        <v>4.5886714066800005</v>
      </c>
      <c r="X107" s="311">
        <f t="shared" si="264"/>
        <v>12.746309463000003</v>
      </c>
      <c r="Y107" s="11">
        <f t="shared" si="265"/>
        <v>38.238928389000009</v>
      </c>
      <c r="Z107" s="11">
        <f t="shared" si="266"/>
        <v>25.492618926000006</v>
      </c>
      <c r="AA107" s="316">
        <f t="shared" si="50"/>
        <v>38.238928389000009</v>
      </c>
      <c r="AB107" s="170">
        <f t="shared" si="51"/>
        <v>6.8830071100200012</v>
      </c>
      <c r="AC107" s="11">
        <f t="shared" si="52"/>
        <v>38.238928389000009</v>
      </c>
      <c r="AD107" s="152">
        <f t="shared" si="53"/>
        <v>206.71586667988606</v>
      </c>
      <c r="AE107" s="151">
        <f t="shared" si="267"/>
        <v>11.441537036484675</v>
      </c>
      <c r="AF107" s="12">
        <f t="shared" si="268"/>
        <v>256.43657053527943</v>
      </c>
      <c r="AG107" s="216">
        <f t="shared" si="269"/>
        <v>1.7550258208256991E-2</v>
      </c>
      <c r="AH107" s="2">
        <f t="shared" si="55"/>
        <v>3</v>
      </c>
      <c r="AI107" s="2">
        <f t="shared" si="56"/>
        <v>3</v>
      </c>
      <c r="AJ107" s="127">
        <f t="shared" si="57"/>
        <v>2</v>
      </c>
      <c r="AK107" s="2">
        <f t="shared" si="58"/>
        <v>1.5748031496062995E-2</v>
      </c>
      <c r="AL107" s="8">
        <f t="shared" si="270"/>
        <v>0.18469511960435475</v>
      </c>
      <c r="AM107" s="138">
        <f t="shared" si="59"/>
        <v>0.25</v>
      </c>
      <c r="AN107" s="12">
        <f t="shared" si="271"/>
        <v>15309.233847726315</v>
      </c>
      <c r="AO107" s="138">
        <f t="shared" si="60"/>
        <v>0.25</v>
      </c>
      <c r="AP107" s="116">
        <f t="shared" si="61"/>
        <v>2175570</v>
      </c>
      <c r="AQ107" s="2">
        <f t="shared" si="62"/>
        <v>1.5748031496062995E-2</v>
      </c>
      <c r="AR107" s="8">
        <f t="shared" si="63"/>
        <v>25.492618926000006</v>
      </c>
      <c r="AS107" s="116">
        <f t="shared" si="64"/>
        <v>2610.6840000000002</v>
      </c>
      <c r="AT107" s="217">
        <f t="shared" si="65"/>
        <v>2.4912991453420807E-2</v>
      </c>
      <c r="AU107" s="207">
        <f t="shared" si="66"/>
        <v>4.8763634586942874</v>
      </c>
      <c r="AV107" s="144">
        <f t="shared" si="67"/>
        <v>2517.4450116001435</v>
      </c>
      <c r="AW107" s="138">
        <f t="shared" si="68"/>
        <v>1.75</v>
      </c>
      <c r="AX107" s="116">
        <f t="shared" si="69"/>
        <v>2175570</v>
      </c>
      <c r="AY107" s="2">
        <f t="shared" si="70"/>
        <v>1.5748031496062995E-2</v>
      </c>
      <c r="AZ107" s="8">
        <f t="shared" si="71"/>
        <v>25.492618926000006</v>
      </c>
      <c r="BA107" s="116">
        <f t="shared" si="72"/>
        <v>2610.6840000000002</v>
      </c>
      <c r="BB107" s="217">
        <f t="shared" si="73"/>
        <v>0.17439094017394557</v>
      </c>
      <c r="BC107" s="207">
        <f t="shared" si="74"/>
        <v>3.2639762486109483</v>
      </c>
      <c r="BD107" s="144">
        <f t="shared" si="75"/>
        <v>82567.093067978771</v>
      </c>
      <c r="BE107" s="138">
        <f t="shared" si="76"/>
        <v>1.75</v>
      </c>
      <c r="BF107" s="116">
        <f t="shared" si="77"/>
        <v>2175570</v>
      </c>
      <c r="BG107" s="2">
        <f t="shared" si="78"/>
        <v>1.5748031496062995E-2</v>
      </c>
      <c r="BH107" s="8">
        <f t="shared" si="79"/>
        <v>25.492618926000006</v>
      </c>
      <c r="BI107" s="116">
        <f t="shared" si="80"/>
        <v>2610.6840000000002</v>
      </c>
      <c r="BJ107" s="217">
        <f t="shared" si="81"/>
        <v>0.17439094017394557</v>
      </c>
      <c r="BK107" s="207">
        <f t="shared" si="82"/>
        <v>3.2639762486109483</v>
      </c>
      <c r="BL107" s="144">
        <f t="shared" si="83"/>
        <v>82567.093067978771</v>
      </c>
      <c r="BM107" s="216">
        <f t="shared" si="84"/>
        <v>1.75</v>
      </c>
      <c r="BN107" s="216">
        <f t="shared" si="85"/>
        <v>2.3622047244094495E-2</v>
      </c>
      <c r="BO107" s="238">
        <f t="shared" si="86"/>
        <v>1.5748031496062995E-2</v>
      </c>
      <c r="BP107" s="216">
        <f t="shared" si="87"/>
        <v>0</v>
      </c>
      <c r="BQ107" s="138">
        <f t="shared" si="88"/>
        <v>1.75</v>
      </c>
      <c r="BR107" s="138">
        <f t="shared" si="89"/>
        <v>0</v>
      </c>
      <c r="BS107" s="238">
        <f t="shared" si="90"/>
        <v>0</v>
      </c>
      <c r="BT107" s="138">
        <f t="shared" si="91"/>
        <v>0</v>
      </c>
      <c r="BU107" s="138">
        <f t="shared" si="92"/>
        <v>2.5</v>
      </c>
      <c r="BV107" s="138">
        <f t="shared" si="93"/>
        <v>0</v>
      </c>
      <c r="BW107" s="238">
        <f t="shared" si="94"/>
        <v>0</v>
      </c>
      <c r="BX107" s="216">
        <f t="shared" si="95"/>
        <v>0</v>
      </c>
      <c r="BY107" s="138">
        <f t="shared" si="96"/>
        <v>2.3622047244094495E-2</v>
      </c>
      <c r="BZ107" s="138">
        <f t="shared" si="97"/>
        <v>0</v>
      </c>
      <c r="CA107" s="238">
        <f t="shared" si="98"/>
        <v>0</v>
      </c>
      <c r="CB107" s="138">
        <f t="shared" si="99"/>
        <v>0</v>
      </c>
      <c r="CC107" s="138">
        <f t="shared" si="100"/>
        <v>2.3622047244094495E-2</v>
      </c>
      <c r="CD107" s="138">
        <f t="shared" si="101"/>
        <v>0</v>
      </c>
      <c r="CE107" s="238">
        <f t="shared" si="102"/>
        <v>0</v>
      </c>
      <c r="CF107" s="216">
        <f t="shared" si="103"/>
        <v>0</v>
      </c>
      <c r="CG107" s="138">
        <f t="shared" si="104"/>
        <v>1.5748031496062995E-2</v>
      </c>
      <c r="CH107" s="138">
        <f t="shared" si="105"/>
        <v>0</v>
      </c>
      <c r="CI107" s="238">
        <f t="shared" si="106"/>
        <v>0</v>
      </c>
      <c r="CJ107" s="138">
        <f t="shared" si="107"/>
        <v>0</v>
      </c>
      <c r="CK107" s="138">
        <f t="shared" si="108"/>
        <v>1.5748031496062995E-2</v>
      </c>
      <c r="CL107" s="138">
        <f t="shared" si="109"/>
        <v>0</v>
      </c>
      <c r="CM107" s="238">
        <f t="shared" si="110"/>
        <v>0</v>
      </c>
      <c r="CN107" s="17">
        <f t="shared" si="111"/>
        <v>2.5</v>
      </c>
      <c r="CO107" s="17">
        <f t="shared" si="112"/>
        <v>2.3622047244094495E-2</v>
      </c>
      <c r="CP107" s="17">
        <f t="shared" si="113"/>
        <v>1.5748031496062995E-2</v>
      </c>
      <c r="CQ107" s="17">
        <f>$U107-IF('Inputs-Imperial'!$E$13,0,2)*($CO107+$CN107+$CP107)</f>
        <v>9.177342813360001</v>
      </c>
      <c r="CR107" s="116">
        <f t="shared" si="114"/>
        <v>33310.791143585353</v>
      </c>
      <c r="CS107" s="8">
        <f t="shared" si="10"/>
        <v>0.86126026826380031</v>
      </c>
      <c r="CT107" s="8">
        <f t="shared" si="115"/>
        <v>0.92804109190477135</v>
      </c>
      <c r="CU107" s="8">
        <f t="shared" si="272"/>
        <v>0.86126026826380031</v>
      </c>
      <c r="CV107" s="8">
        <f t="shared" si="116"/>
        <v>0.92804109190477135</v>
      </c>
      <c r="CW107" s="216">
        <f t="shared" si="117"/>
        <v>8.2493017214552307</v>
      </c>
      <c r="CX107" s="116">
        <f t="shared" si="118"/>
        <v>37058.233536764215</v>
      </c>
      <c r="CY107" s="8">
        <f t="shared" si="119"/>
        <v>0.95815148969832598</v>
      </c>
      <c r="CZ107" s="8">
        <f t="shared" si="120"/>
        <v>0.97885212861715021</v>
      </c>
      <c r="DA107" s="8">
        <f t="shared" si="121"/>
        <v>0.95815148969832598</v>
      </c>
      <c r="DB107" s="8">
        <f t="shared" si="122"/>
        <v>0.97885212861715021</v>
      </c>
      <c r="DC107" s="216">
        <f t="shared" si="123"/>
        <v>8.1984906847428523</v>
      </c>
      <c r="DD107" s="116">
        <f t="shared" si="124"/>
        <v>37287.905965158454</v>
      </c>
      <c r="DE107" s="8">
        <f t="shared" si="125"/>
        <v>0.96408973765043771</v>
      </c>
      <c r="DF107" s="8">
        <f t="shared" si="126"/>
        <v>0.98188071457302684</v>
      </c>
      <c r="DG107" s="8">
        <f t="shared" si="127"/>
        <v>0.96408973765043771</v>
      </c>
      <c r="DH107" s="8">
        <f t="shared" si="128"/>
        <v>0.98188071457302684</v>
      </c>
      <c r="DI107" s="216">
        <f t="shared" si="129"/>
        <v>8.1954620987869742</v>
      </c>
      <c r="DJ107" s="116">
        <f t="shared" si="130"/>
        <v>37301.685496680773</v>
      </c>
      <c r="DK107" s="8">
        <f t="shared" si="131"/>
        <v>0.96444601147666742</v>
      </c>
      <c r="DL107" s="8">
        <f t="shared" si="132"/>
        <v>0.98206212200484921</v>
      </c>
      <c r="DM107" s="8">
        <f t="shared" si="133"/>
        <v>0.96444601147666742</v>
      </c>
      <c r="DN107" s="8">
        <f t="shared" si="134"/>
        <v>0.98206212200484921</v>
      </c>
      <c r="DO107" s="216">
        <f t="shared" si="135"/>
        <v>8.195280691355153</v>
      </c>
      <c r="DP107" s="116">
        <f t="shared" si="136"/>
        <v>37302.511191763515</v>
      </c>
      <c r="DQ107" s="170">
        <f t="shared" si="137"/>
        <v>0.9644673600650393</v>
      </c>
      <c r="DR107" s="8">
        <f t="shared" si="138"/>
        <v>0.98207299121044933</v>
      </c>
      <c r="DS107" s="8">
        <f t="shared" si="139"/>
        <v>0.9644673600650393</v>
      </c>
      <c r="DT107" s="134">
        <f t="shared" si="140"/>
        <v>0.98207299121044933</v>
      </c>
      <c r="DU107" s="170">
        <f t="shared" si="304"/>
        <v>1.2501892583384084</v>
      </c>
      <c r="DV107" s="170">
        <f t="shared" si="304"/>
        <v>1.1181186244484118</v>
      </c>
      <c r="DW107" s="170">
        <f t="shared" si="304"/>
        <v>1.2501892583384084</v>
      </c>
      <c r="DX107" s="272">
        <f t="shared" si="304"/>
        <v>1.1181186244484118</v>
      </c>
      <c r="DY107" s="272">
        <f t="shared" si="142"/>
        <v>6.9411055644631769</v>
      </c>
      <c r="DZ107" s="22">
        <f t="shared" si="273"/>
        <v>476.7307098535282</v>
      </c>
      <c r="EA107" s="216">
        <f t="shared" si="274"/>
        <v>3.1233411082290954E-2</v>
      </c>
      <c r="EB107" s="12">
        <f t="shared" si="143"/>
        <v>4</v>
      </c>
      <c r="EC107" s="7">
        <f>ROUND(MAX(DV107,DX107)/'Inputs-Imperial'!$E$21,0)</f>
        <v>9</v>
      </c>
      <c r="ED107" s="12">
        <f t="shared" si="144"/>
        <v>9</v>
      </c>
      <c r="EE107" s="2">
        <f t="shared" si="145"/>
        <v>5</v>
      </c>
      <c r="EF107" s="127">
        <f t="shared" si="146"/>
        <v>5</v>
      </c>
      <c r="EG107" s="2">
        <f t="shared" si="147"/>
        <v>3.9370078740157487E-2</v>
      </c>
      <c r="EH107" s="8">
        <f t="shared" si="275"/>
        <v>0.3286936594916699</v>
      </c>
      <c r="EI107" s="138">
        <f t="shared" si="148"/>
        <v>0.5</v>
      </c>
      <c r="EJ107" s="12">
        <f t="shared" si="276"/>
        <v>10898.064027251654</v>
      </c>
      <c r="EK107" s="138">
        <f t="shared" si="149"/>
        <v>0.5</v>
      </c>
      <c r="EL107" s="116">
        <f t="shared" si="150"/>
        <v>2175570</v>
      </c>
      <c r="EM107" s="2">
        <f t="shared" si="277"/>
        <v>3.9370078740157487E-2</v>
      </c>
      <c r="EN107" s="8">
        <f t="shared" si="151"/>
        <v>9.177342813360001</v>
      </c>
      <c r="EO107" s="116">
        <f t="shared" si="152"/>
        <v>2610.6840000000002</v>
      </c>
      <c r="EP107" s="217">
        <f t="shared" si="153"/>
        <v>0.96114936162888909</v>
      </c>
      <c r="EQ107" s="207">
        <f t="shared" si="154"/>
        <v>2</v>
      </c>
      <c r="ER107" s="144">
        <f t="shared" si="155"/>
        <v>31867.56720218738</v>
      </c>
      <c r="ES107" s="138">
        <f t="shared" si="278"/>
        <v>0.5</v>
      </c>
      <c r="ET107" s="116">
        <f t="shared" si="156"/>
        <v>2175570</v>
      </c>
      <c r="EU107" s="2">
        <f t="shared" si="279"/>
        <v>3.9370078740157487E-2</v>
      </c>
      <c r="EV107" s="8">
        <f t="shared" si="157"/>
        <v>9.177342813360001</v>
      </c>
      <c r="EW107" s="116">
        <f t="shared" si="158"/>
        <v>2610.6840000000002</v>
      </c>
      <c r="EX107" s="217">
        <f t="shared" si="159"/>
        <v>0.96114936162888909</v>
      </c>
      <c r="EY107" s="207">
        <f t="shared" si="160"/>
        <v>2</v>
      </c>
      <c r="EZ107" s="144">
        <f t="shared" si="161"/>
        <v>31867.56720218738</v>
      </c>
      <c r="FA107" s="138">
        <f t="shared" si="280"/>
        <v>0.5</v>
      </c>
      <c r="FB107" s="116">
        <f t="shared" si="162"/>
        <v>2175570</v>
      </c>
      <c r="FC107" s="2">
        <f t="shared" si="281"/>
        <v>3.9370078740157487E-2</v>
      </c>
      <c r="FD107" s="8">
        <f t="shared" si="163"/>
        <v>9.177342813360001</v>
      </c>
      <c r="FE107" s="116">
        <f t="shared" si="164"/>
        <v>2610.6840000000002</v>
      </c>
      <c r="FF107" s="217">
        <f t="shared" si="165"/>
        <v>0.96114936162888909</v>
      </c>
      <c r="FG107" s="207">
        <f t="shared" si="166"/>
        <v>2</v>
      </c>
      <c r="FH107" s="144">
        <f t="shared" si="167"/>
        <v>31867.56720218738</v>
      </c>
      <c r="FI107" s="128">
        <f t="shared" si="168"/>
        <v>0.5</v>
      </c>
      <c r="FJ107" s="2">
        <f t="shared" si="169"/>
        <v>3.9370078740157487E-2</v>
      </c>
      <c r="FK107" s="127">
        <f t="shared" si="170"/>
        <v>3.9370078740157487E-2</v>
      </c>
      <c r="FL107" s="216">
        <f t="shared" si="171"/>
        <v>0</v>
      </c>
      <c r="FM107" s="138">
        <f t="shared" si="172"/>
        <v>0.5</v>
      </c>
      <c r="FN107" s="138">
        <f t="shared" si="173"/>
        <v>0</v>
      </c>
      <c r="FO107" s="238">
        <f t="shared" si="174"/>
        <v>0</v>
      </c>
      <c r="FP107" s="216">
        <f t="shared" si="282"/>
        <v>0</v>
      </c>
      <c r="FQ107" s="138">
        <f t="shared" si="283"/>
        <v>0.5</v>
      </c>
      <c r="FR107" s="138">
        <f t="shared" si="284"/>
        <v>0</v>
      </c>
      <c r="FS107" s="238">
        <f t="shared" si="285"/>
        <v>0</v>
      </c>
      <c r="FT107" s="216">
        <f t="shared" si="175"/>
        <v>0</v>
      </c>
      <c r="FU107" s="138">
        <f t="shared" si="176"/>
        <v>3.9370078740157487E-2</v>
      </c>
      <c r="FV107" s="138">
        <f t="shared" si="177"/>
        <v>0</v>
      </c>
      <c r="FW107" s="238">
        <f t="shared" si="178"/>
        <v>0</v>
      </c>
      <c r="FX107" s="216">
        <f t="shared" si="286"/>
        <v>0</v>
      </c>
      <c r="FY107" s="138">
        <f t="shared" si="287"/>
        <v>5.5118110236220486E-2</v>
      </c>
      <c r="FZ107" s="138">
        <f t="shared" si="288"/>
        <v>0</v>
      </c>
      <c r="GA107" s="238">
        <f t="shared" si="289"/>
        <v>0</v>
      </c>
      <c r="GB107" s="216">
        <f t="shared" si="179"/>
        <v>0</v>
      </c>
      <c r="GC107" s="138">
        <f t="shared" si="180"/>
        <v>3.9370078740157487E-2</v>
      </c>
      <c r="GD107" s="138">
        <f t="shared" si="181"/>
        <v>0</v>
      </c>
      <c r="GE107" s="238">
        <f t="shared" si="182"/>
        <v>0</v>
      </c>
      <c r="GF107" s="216">
        <f t="shared" si="290"/>
        <v>0</v>
      </c>
      <c r="GG107" s="138">
        <f t="shared" si="291"/>
        <v>5.5118110236220486E-2</v>
      </c>
      <c r="GH107" s="138">
        <f t="shared" si="292"/>
        <v>0</v>
      </c>
      <c r="GI107" s="238">
        <f t="shared" si="293"/>
        <v>0</v>
      </c>
      <c r="GJ107" s="216">
        <f t="shared" si="183"/>
        <v>0.5</v>
      </c>
      <c r="GK107" s="216">
        <f t="shared" si="184"/>
        <v>5.5118110236220486E-2</v>
      </c>
      <c r="GL107" s="17">
        <f t="shared" si="185"/>
        <v>5.5118110236220486E-2</v>
      </c>
      <c r="GM107" s="216">
        <f t="shared" si="294"/>
        <v>1.6800656342282009E-2</v>
      </c>
      <c r="GN107" s="2">
        <f t="shared" si="187"/>
        <v>3</v>
      </c>
      <c r="GO107" s="2">
        <f t="shared" si="188"/>
        <v>2</v>
      </c>
      <c r="GP107" s="142">
        <f t="shared" si="189"/>
        <v>2</v>
      </c>
      <c r="GQ107" s="2">
        <f t="shared" si="190"/>
        <v>1.5748031496062995E-2</v>
      </c>
      <c r="GR107" s="8">
        <f t="shared" si="295"/>
        <v>0.1768064717765547</v>
      </c>
      <c r="GS107" s="138">
        <f t="shared" si="191"/>
        <v>0.25</v>
      </c>
      <c r="GT107" s="12">
        <f t="shared" si="296"/>
        <v>14655.350006091217</v>
      </c>
      <c r="GU107" s="138">
        <f t="shared" si="192"/>
        <v>0.25</v>
      </c>
      <c r="GV107" s="116">
        <f t="shared" si="193"/>
        <v>2175570</v>
      </c>
      <c r="GW107" s="2">
        <f t="shared" si="297"/>
        <v>3.9370078740157487E-2</v>
      </c>
      <c r="GX107" s="8">
        <f t="shared" si="298"/>
        <v>4.5886714066800005</v>
      </c>
      <c r="GY107" s="116">
        <f t="shared" si="194"/>
        <v>2610.6840000000002</v>
      </c>
      <c r="GZ107" s="217">
        <f t="shared" si="195"/>
        <v>1.9222987232577782</v>
      </c>
      <c r="HA107" s="207">
        <f t="shared" si="196"/>
        <v>2</v>
      </c>
      <c r="HB107" s="144">
        <f t="shared" si="197"/>
        <v>31867.56720218738</v>
      </c>
      <c r="HC107" s="138">
        <f t="shared" si="299"/>
        <v>0.25</v>
      </c>
      <c r="HD107" s="116">
        <f t="shared" si="198"/>
        <v>2175570</v>
      </c>
      <c r="HE107" s="2">
        <f t="shared" si="300"/>
        <v>3.9370078740157487E-2</v>
      </c>
      <c r="HF107" s="8">
        <f t="shared" si="199"/>
        <v>4.5886714066800005</v>
      </c>
      <c r="HG107" s="116">
        <f t="shared" si="200"/>
        <v>2610.6840000000002</v>
      </c>
      <c r="HH107" s="217">
        <f t="shared" si="201"/>
        <v>1.9222987232577782</v>
      </c>
      <c r="HI107" s="207">
        <f t="shared" si="202"/>
        <v>2</v>
      </c>
      <c r="HJ107" s="144">
        <f t="shared" si="203"/>
        <v>31867.56720218738</v>
      </c>
      <c r="HK107" s="138">
        <f t="shared" si="301"/>
        <v>0.25</v>
      </c>
      <c r="HL107" s="116">
        <f t="shared" si="204"/>
        <v>2175570</v>
      </c>
      <c r="HM107" s="2">
        <f t="shared" si="302"/>
        <v>3.9370078740157487E-2</v>
      </c>
      <c r="HN107" s="8">
        <f t="shared" si="205"/>
        <v>4.5886714066800005</v>
      </c>
      <c r="HO107" s="116">
        <f t="shared" si="206"/>
        <v>2610.6840000000002</v>
      </c>
      <c r="HP107" s="217">
        <f t="shared" si="207"/>
        <v>1.9222987232577782</v>
      </c>
      <c r="HQ107" s="207">
        <f t="shared" si="208"/>
        <v>2</v>
      </c>
      <c r="HR107" s="144">
        <f t="shared" si="209"/>
        <v>31867.56720218738</v>
      </c>
      <c r="HS107" s="128">
        <f t="shared" si="210"/>
        <v>0.25</v>
      </c>
      <c r="HT107" s="2">
        <f t="shared" si="211"/>
        <v>1.5748031496062995E-2</v>
      </c>
      <c r="HU107" s="127">
        <f t="shared" si="212"/>
        <v>1.5748031496062995E-2</v>
      </c>
      <c r="HV107" s="216">
        <f t="shared" si="213"/>
        <v>0</v>
      </c>
      <c r="HW107" s="138">
        <f t="shared" si="214"/>
        <v>0.25</v>
      </c>
      <c r="HX107" s="138">
        <f t="shared" si="215"/>
        <v>0</v>
      </c>
      <c r="HY107" s="238">
        <f t="shared" si="216"/>
        <v>0</v>
      </c>
      <c r="HZ107" s="138">
        <f t="shared" si="217"/>
        <v>0</v>
      </c>
      <c r="IA107" s="138">
        <f t="shared" si="218"/>
        <v>0.5</v>
      </c>
      <c r="IB107" s="138">
        <f t="shared" si="219"/>
        <v>0</v>
      </c>
      <c r="IC107" s="138">
        <f t="shared" si="220"/>
        <v>0</v>
      </c>
      <c r="ID107" s="216">
        <f t="shared" si="221"/>
        <v>0</v>
      </c>
      <c r="IE107" s="138">
        <f t="shared" si="222"/>
        <v>1.5748031496062995E-2</v>
      </c>
      <c r="IF107" s="138">
        <f t="shared" si="223"/>
        <v>0</v>
      </c>
      <c r="IG107" s="238">
        <f t="shared" si="224"/>
        <v>0</v>
      </c>
      <c r="IH107" s="138">
        <f t="shared" si="225"/>
        <v>0</v>
      </c>
      <c r="II107" s="138">
        <f t="shared" si="226"/>
        <v>1.5748031496062995E-2</v>
      </c>
      <c r="IJ107" s="138">
        <f t="shared" si="227"/>
        <v>0</v>
      </c>
      <c r="IK107" s="138">
        <f t="shared" si="228"/>
        <v>0</v>
      </c>
      <c r="IL107" s="216">
        <f t="shared" si="229"/>
        <v>0</v>
      </c>
      <c r="IM107" s="138">
        <f t="shared" si="230"/>
        <v>1.5748031496062995E-2</v>
      </c>
      <c r="IN107" s="138">
        <f t="shared" si="231"/>
        <v>0</v>
      </c>
      <c r="IO107" s="238">
        <f t="shared" si="232"/>
        <v>0</v>
      </c>
      <c r="IP107" s="138">
        <f t="shared" si="233"/>
        <v>0</v>
      </c>
      <c r="IQ107" s="138">
        <f t="shared" si="234"/>
        <v>1.5748031496062995E-2</v>
      </c>
      <c r="IR107" s="138">
        <f t="shared" si="235"/>
        <v>0</v>
      </c>
      <c r="IS107" s="138">
        <f t="shared" si="236"/>
        <v>0</v>
      </c>
      <c r="IT107" s="17">
        <f t="shared" si="237"/>
        <v>0.5</v>
      </c>
      <c r="IU107" s="17">
        <f t="shared" si="238"/>
        <v>1.5748031496062995E-2</v>
      </c>
      <c r="IV107" s="17">
        <f t="shared" si="239"/>
        <v>1.5748031496062995E-2</v>
      </c>
      <c r="IW107" s="253">
        <f t="shared" si="240"/>
        <v>25.492618926000006</v>
      </c>
      <c r="IX107" s="116">
        <f t="shared" si="303"/>
        <v>1199.1884811690729</v>
      </c>
      <c r="IY107" s="8">
        <f t="shared" si="242"/>
        <v>3.1005369657496815E-2</v>
      </c>
      <c r="IZ107" s="8">
        <f t="shared" si="243"/>
        <v>3.1005369657496815E-2</v>
      </c>
      <c r="JA107" s="8">
        <f t="shared" si="244"/>
        <v>1.5502684828748408E-2</v>
      </c>
      <c r="JB107" s="134">
        <f t="shared" si="245"/>
        <v>0.12450977804473193</v>
      </c>
      <c r="JC107" s="170">
        <f t="shared" si="305"/>
        <v>1.9839863322260787E-2</v>
      </c>
      <c r="JD107" s="272">
        <f t="shared" si="306"/>
        <v>0.14085404971906482</v>
      </c>
      <c r="JE107" s="8"/>
      <c r="JF107" s="8"/>
    </row>
    <row r="108" spans="1:266" x14ac:dyDescent="0.25">
      <c r="A108" s="186">
        <v>48</v>
      </c>
      <c r="B108" s="187">
        <f>A108/100*'Inputs-Imperial'!$E$5</f>
        <v>11.559055487999998</v>
      </c>
      <c r="C108" s="188">
        <f>'Inputs-Imperial'!$E$10+('Inputs-Imperial'!$E$9-'Inputs-Imperial'!$E$10)*(100-A108)/100</f>
        <v>4.2309712640000008</v>
      </c>
      <c r="D108" s="187">
        <f t="shared" si="248"/>
        <v>0.24081365600000026</v>
      </c>
      <c r="E108" s="188">
        <f t="shared" si="249"/>
        <v>1.0210187263061297</v>
      </c>
      <c r="F108" s="423">
        <f>Loads!P68</f>
        <v>427.16647516873218</v>
      </c>
      <c r="G108" s="423">
        <f>Loads!M68</f>
        <v>4271.6647516873218</v>
      </c>
      <c r="H108" s="423">
        <f>Loads!N68</f>
        <v>24421.790221876505</v>
      </c>
      <c r="I108" s="423">
        <f>Loads!V68</f>
        <v>-8581.2222062356323</v>
      </c>
      <c r="J108" s="423">
        <f>Loads!Q68</f>
        <v>2442.1790221876508</v>
      </c>
      <c r="K108" s="2">
        <v>48</v>
      </c>
      <c r="L108" s="12">
        <f t="shared" si="41"/>
        <v>138.70866585599998</v>
      </c>
      <c r="M108" s="11">
        <f t="shared" si="42"/>
        <v>50.771655168000009</v>
      </c>
      <c r="N108" s="11">
        <f t="shared" si="43"/>
        <v>2.8897638720000032</v>
      </c>
      <c r="O108" s="152">
        <f t="shared" si="44"/>
        <v>147.02669658808267</v>
      </c>
      <c r="P108" s="151">
        <f t="shared" si="45"/>
        <v>427.16647516873218</v>
      </c>
      <c r="Q108" s="12">
        <f t="shared" si="46"/>
        <v>4271.6647516873218</v>
      </c>
      <c r="R108" s="12">
        <f t="shared" si="47"/>
        <v>293061.48266251804</v>
      </c>
      <c r="S108" s="12">
        <f t="shared" si="48"/>
        <v>-102974.66647482759</v>
      </c>
      <c r="T108" s="152">
        <f t="shared" si="49"/>
        <v>29306.14826625181</v>
      </c>
      <c r="U108" s="8">
        <f t="shared" si="261"/>
        <v>9.1388979302400006</v>
      </c>
      <c r="V108" s="8">
        <f t="shared" si="262"/>
        <v>9.1388979302400006</v>
      </c>
      <c r="W108" s="134">
        <f t="shared" si="263"/>
        <v>4.5694489651200003</v>
      </c>
      <c r="X108" s="311">
        <f t="shared" si="264"/>
        <v>12.692913792000002</v>
      </c>
      <c r="Y108" s="11">
        <f t="shared" si="265"/>
        <v>38.078741376000011</v>
      </c>
      <c r="Z108" s="11">
        <f t="shared" si="266"/>
        <v>25.385827584000008</v>
      </c>
      <c r="AA108" s="316">
        <f t="shared" si="50"/>
        <v>38.078741376000011</v>
      </c>
      <c r="AB108" s="170">
        <f t="shared" si="51"/>
        <v>6.8541734476800009</v>
      </c>
      <c r="AC108" s="11">
        <f t="shared" si="52"/>
        <v>38.078741376000011</v>
      </c>
      <c r="AD108" s="152">
        <f t="shared" si="53"/>
        <v>204.98758394653964</v>
      </c>
      <c r="AE108" s="151">
        <f t="shared" si="267"/>
        <v>11.217977793718873</v>
      </c>
      <c r="AF108" s="12">
        <f t="shared" si="268"/>
        <v>251.17293567810231</v>
      </c>
      <c r="AG108" s="216">
        <f t="shared" si="269"/>
        <v>1.7190760098591485E-2</v>
      </c>
      <c r="AH108" s="2">
        <f t="shared" si="55"/>
        <v>3</v>
      </c>
      <c r="AI108" s="2">
        <f t="shared" si="56"/>
        <v>3</v>
      </c>
      <c r="AJ108" s="127">
        <f t="shared" si="57"/>
        <v>2</v>
      </c>
      <c r="AK108" s="2">
        <f t="shared" si="58"/>
        <v>1.5748031496062995E-2</v>
      </c>
      <c r="AL108" s="8">
        <f t="shared" si="270"/>
        <v>0.1809118392916485</v>
      </c>
      <c r="AM108" s="138">
        <f t="shared" si="59"/>
        <v>0.25</v>
      </c>
      <c r="AN108" s="12">
        <f t="shared" si="271"/>
        <v>14995.640704914578</v>
      </c>
      <c r="AO108" s="138">
        <f t="shared" si="60"/>
        <v>0.25</v>
      </c>
      <c r="AP108" s="116">
        <f t="shared" si="61"/>
        <v>2175570</v>
      </c>
      <c r="AQ108" s="2">
        <f t="shared" si="62"/>
        <v>1.5748031496062995E-2</v>
      </c>
      <c r="AR108" s="8">
        <f t="shared" si="63"/>
        <v>25.385827584000008</v>
      </c>
      <c r="AS108" s="116">
        <f t="shared" si="64"/>
        <v>2610.6840000000002</v>
      </c>
      <c r="AT108" s="217">
        <f t="shared" si="65"/>
        <v>2.5123036823662265E-2</v>
      </c>
      <c r="AU108" s="207">
        <f t="shared" si="66"/>
        <v>4.8730279671164007</v>
      </c>
      <c r="AV108" s="144">
        <f t="shared" si="67"/>
        <v>2536.9335075834588</v>
      </c>
      <c r="AW108" s="138">
        <f t="shared" si="68"/>
        <v>1.5</v>
      </c>
      <c r="AX108" s="116">
        <f t="shared" si="69"/>
        <v>2175570</v>
      </c>
      <c r="AY108" s="2">
        <f t="shared" si="70"/>
        <v>1.5748031496062995E-2</v>
      </c>
      <c r="AZ108" s="8">
        <f t="shared" si="71"/>
        <v>25.385827584000008</v>
      </c>
      <c r="BA108" s="116">
        <f t="shared" si="72"/>
        <v>2610.6840000000002</v>
      </c>
      <c r="BB108" s="217">
        <f t="shared" si="73"/>
        <v>0.15073822094197359</v>
      </c>
      <c r="BC108" s="207">
        <f t="shared" si="74"/>
        <v>3.4366314918379368</v>
      </c>
      <c r="BD108" s="144">
        <f t="shared" si="75"/>
        <v>64408.86511896961</v>
      </c>
      <c r="BE108" s="138">
        <f t="shared" si="76"/>
        <v>1.5</v>
      </c>
      <c r="BF108" s="116">
        <f t="shared" si="77"/>
        <v>2175570</v>
      </c>
      <c r="BG108" s="2">
        <f t="shared" si="78"/>
        <v>1.5748031496062995E-2</v>
      </c>
      <c r="BH108" s="8">
        <f t="shared" si="79"/>
        <v>25.385827584000008</v>
      </c>
      <c r="BI108" s="116">
        <f t="shared" si="80"/>
        <v>2610.6840000000002</v>
      </c>
      <c r="BJ108" s="217">
        <f t="shared" si="81"/>
        <v>0.15073822094197359</v>
      </c>
      <c r="BK108" s="207">
        <f t="shared" si="82"/>
        <v>3.4366314918379368</v>
      </c>
      <c r="BL108" s="144">
        <f t="shared" si="83"/>
        <v>64408.86511896961</v>
      </c>
      <c r="BM108" s="216">
        <f t="shared" si="84"/>
        <v>1.5</v>
      </c>
      <c r="BN108" s="216">
        <f t="shared" si="85"/>
        <v>2.3622047244094495E-2</v>
      </c>
      <c r="BO108" s="238">
        <f t="shared" si="86"/>
        <v>1.5748031496062995E-2</v>
      </c>
      <c r="BP108" s="216">
        <f t="shared" si="87"/>
        <v>0</v>
      </c>
      <c r="BQ108" s="138">
        <f t="shared" si="88"/>
        <v>1.5</v>
      </c>
      <c r="BR108" s="138">
        <f t="shared" si="89"/>
        <v>0</v>
      </c>
      <c r="BS108" s="238">
        <f t="shared" si="90"/>
        <v>0</v>
      </c>
      <c r="BT108" s="138">
        <f t="shared" si="91"/>
        <v>0</v>
      </c>
      <c r="BU108" s="138">
        <f t="shared" si="92"/>
        <v>2.5</v>
      </c>
      <c r="BV108" s="138">
        <f t="shared" si="93"/>
        <v>0</v>
      </c>
      <c r="BW108" s="238">
        <f t="shared" si="94"/>
        <v>0</v>
      </c>
      <c r="BX108" s="216">
        <f t="shared" si="95"/>
        <v>0</v>
      </c>
      <c r="BY108" s="138">
        <f t="shared" si="96"/>
        <v>2.3622047244094495E-2</v>
      </c>
      <c r="BZ108" s="138">
        <f t="shared" si="97"/>
        <v>0</v>
      </c>
      <c r="CA108" s="238">
        <f t="shared" si="98"/>
        <v>0</v>
      </c>
      <c r="CB108" s="138">
        <f t="shared" si="99"/>
        <v>0</v>
      </c>
      <c r="CC108" s="138">
        <f t="shared" si="100"/>
        <v>2.3622047244094495E-2</v>
      </c>
      <c r="CD108" s="138">
        <f t="shared" si="101"/>
        <v>0</v>
      </c>
      <c r="CE108" s="238">
        <f t="shared" si="102"/>
        <v>0</v>
      </c>
      <c r="CF108" s="216">
        <f t="shared" si="103"/>
        <v>0</v>
      </c>
      <c r="CG108" s="138">
        <f t="shared" si="104"/>
        <v>1.5748031496062995E-2</v>
      </c>
      <c r="CH108" s="138">
        <f t="shared" si="105"/>
        <v>0</v>
      </c>
      <c r="CI108" s="238">
        <f t="shared" si="106"/>
        <v>0</v>
      </c>
      <c r="CJ108" s="138">
        <f t="shared" si="107"/>
        <v>0</v>
      </c>
      <c r="CK108" s="138">
        <f t="shared" si="108"/>
        <v>1.5748031496062995E-2</v>
      </c>
      <c r="CL108" s="138">
        <f t="shared" si="109"/>
        <v>0</v>
      </c>
      <c r="CM108" s="238">
        <f t="shared" si="110"/>
        <v>0</v>
      </c>
      <c r="CN108" s="17">
        <f t="shared" si="111"/>
        <v>2.5</v>
      </c>
      <c r="CO108" s="17">
        <f t="shared" si="112"/>
        <v>2.3622047244094495E-2</v>
      </c>
      <c r="CP108" s="17">
        <f t="shared" si="113"/>
        <v>1.5748031496062995E-2</v>
      </c>
      <c r="CQ108" s="17">
        <f>$U108-IF('Inputs-Imperial'!$E$13,0,2)*($CO108+$CN108+$CP108)</f>
        <v>9.1388979302400006</v>
      </c>
      <c r="CR108" s="116">
        <f t="shared" si="114"/>
        <v>32067.486134493007</v>
      </c>
      <c r="CS108" s="8">
        <f t="shared" si="10"/>
        <v>0.82911425284648688</v>
      </c>
      <c r="CT108" s="8">
        <f t="shared" si="115"/>
        <v>0.91055711124919936</v>
      </c>
      <c r="CU108" s="8">
        <f t="shared" si="272"/>
        <v>0.82911425284648688</v>
      </c>
      <c r="CV108" s="8">
        <f t="shared" si="116"/>
        <v>0.91055711124919936</v>
      </c>
      <c r="CW108" s="216">
        <f t="shared" si="117"/>
        <v>8.2283408189907998</v>
      </c>
      <c r="CX108" s="116">
        <f t="shared" si="118"/>
        <v>35616.108898423321</v>
      </c>
      <c r="CY108" s="8">
        <f t="shared" si="119"/>
        <v>0.92086493449363227</v>
      </c>
      <c r="CZ108" s="8">
        <f t="shared" si="120"/>
        <v>0.95961707701230092</v>
      </c>
      <c r="DA108" s="8">
        <f t="shared" si="121"/>
        <v>0.92086493449363227</v>
      </c>
      <c r="DB108" s="8">
        <f t="shared" si="122"/>
        <v>0.95961707701230092</v>
      </c>
      <c r="DC108" s="216">
        <f t="shared" si="123"/>
        <v>8.1792808532277004</v>
      </c>
      <c r="DD108" s="116">
        <f t="shared" si="124"/>
        <v>35829.737102971638</v>
      </c>
      <c r="DE108" s="8">
        <f t="shared" si="125"/>
        <v>0.92638835433571642</v>
      </c>
      <c r="DF108" s="8">
        <f t="shared" si="126"/>
        <v>0.96249070350612553</v>
      </c>
      <c r="DG108" s="8">
        <f t="shared" si="127"/>
        <v>0.92638835433571642</v>
      </c>
      <c r="DH108" s="8">
        <f t="shared" si="128"/>
        <v>0.96249070350612553</v>
      </c>
      <c r="DI108" s="216">
        <f t="shared" si="129"/>
        <v>8.1764072267338737</v>
      </c>
      <c r="DJ108" s="116">
        <f t="shared" si="130"/>
        <v>35842.329587537388</v>
      </c>
      <c r="DK108" s="8">
        <f t="shared" si="131"/>
        <v>0.92671393671496571</v>
      </c>
      <c r="DL108" s="8">
        <f t="shared" si="132"/>
        <v>0.96265982398506988</v>
      </c>
      <c r="DM108" s="8">
        <f t="shared" si="133"/>
        <v>0.92671393671496571</v>
      </c>
      <c r="DN108" s="8">
        <f t="shared" si="134"/>
        <v>0.96265982398506988</v>
      </c>
      <c r="DO108" s="216">
        <f t="shared" si="135"/>
        <v>8.1762381062549299</v>
      </c>
      <c r="DP108" s="116">
        <f t="shared" si="136"/>
        <v>35843.070964178762</v>
      </c>
      <c r="DQ108" s="170">
        <f t="shared" si="137"/>
        <v>0.9267331052253226</v>
      </c>
      <c r="DR108" s="8">
        <f t="shared" si="138"/>
        <v>0.96266977994809966</v>
      </c>
      <c r="DS108" s="8">
        <f t="shared" si="139"/>
        <v>0.9267331052253226</v>
      </c>
      <c r="DT108" s="134">
        <f t="shared" si="140"/>
        <v>0.96266977994809966</v>
      </c>
      <c r="DU108" s="170">
        <f t="shared" si="304"/>
        <v>1.2501892583384084</v>
      </c>
      <c r="DV108" s="170">
        <f t="shared" si="304"/>
        <v>1.1181186244484118</v>
      </c>
      <c r="DW108" s="170">
        <f t="shared" si="304"/>
        <v>1.2501892583384084</v>
      </c>
      <c r="DX108" s="272">
        <f t="shared" si="304"/>
        <v>1.1181186244484118</v>
      </c>
      <c r="DY108" s="272">
        <f t="shared" si="142"/>
        <v>6.9026606813431766</v>
      </c>
      <c r="DZ108" s="22">
        <f t="shared" si="273"/>
        <v>467.41574140495317</v>
      </c>
      <c r="EA108" s="216">
        <f t="shared" si="274"/>
        <v>3.0623133135518232E-2</v>
      </c>
      <c r="EB108" s="12">
        <f t="shared" si="143"/>
        <v>4</v>
      </c>
      <c r="EC108" s="7">
        <f>ROUND(MAX(DV108,DX108)/'Inputs-Imperial'!$E$21,0)</f>
        <v>9</v>
      </c>
      <c r="ED108" s="12">
        <f t="shared" si="144"/>
        <v>9</v>
      </c>
      <c r="EE108" s="2">
        <f t="shared" si="145"/>
        <v>5</v>
      </c>
      <c r="EF108" s="127">
        <f t="shared" si="146"/>
        <v>5</v>
      </c>
      <c r="EG108" s="2">
        <f t="shared" si="147"/>
        <v>3.9370078740157487E-2</v>
      </c>
      <c r="EH108" s="8">
        <f t="shared" si="275"/>
        <v>0.32227122644062461</v>
      </c>
      <c r="EI108" s="138">
        <f t="shared" si="148"/>
        <v>0.5</v>
      </c>
      <c r="EJ108" s="12">
        <f t="shared" si="276"/>
        <v>10685.123848517229</v>
      </c>
      <c r="EK108" s="138">
        <f t="shared" si="149"/>
        <v>0.5</v>
      </c>
      <c r="EL108" s="116">
        <f t="shared" si="150"/>
        <v>2175570</v>
      </c>
      <c r="EM108" s="2">
        <f t="shared" si="277"/>
        <v>3.9370078740157487E-2</v>
      </c>
      <c r="EN108" s="8">
        <f t="shared" si="151"/>
        <v>9.1388979302400006</v>
      </c>
      <c r="EO108" s="116">
        <f t="shared" si="152"/>
        <v>2610.6840000000002</v>
      </c>
      <c r="EP108" s="217">
        <f t="shared" si="153"/>
        <v>0.96925296387585935</v>
      </c>
      <c r="EQ108" s="207">
        <f t="shared" si="154"/>
        <v>2</v>
      </c>
      <c r="ER108" s="144">
        <f t="shared" si="155"/>
        <v>32136.247700239703</v>
      </c>
      <c r="ES108" s="138">
        <f t="shared" si="278"/>
        <v>0.5</v>
      </c>
      <c r="ET108" s="116">
        <f t="shared" si="156"/>
        <v>2175570</v>
      </c>
      <c r="EU108" s="2">
        <f t="shared" si="279"/>
        <v>3.9370078740157487E-2</v>
      </c>
      <c r="EV108" s="8">
        <f t="shared" si="157"/>
        <v>9.1388979302400006</v>
      </c>
      <c r="EW108" s="116">
        <f t="shared" si="158"/>
        <v>2610.6840000000002</v>
      </c>
      <c r="EX108" s="217">
        <f t="shared" si="159"/>
        <v>0.96925296387585935</v>
      </c>
      <c r="EY108" s="207">
        <f t="shared" si="160"/>
        <v>2</v>
      </c>
      <c r="EZ108" s="144">
        <f t="shared" si="161"/>
        <v>32136.247700239703</v>
      </c>
      <c r="FA108" s="138">
        <f t="shared" si="280"/>
        <v>0.5</v>
      </c>
      <c r="FB108" s="116">
        <f t="shared" si="162"/>
        <v>2175570</v>
      </c>
      <c r="FC108" s="2">
        <f t="shared" si="281"/>
        <v>3.9370078740157487E-2</v>
      </c>
      <c r="FD108" s="8">
        <f t="shared" si="163"/>
        <v>9.1388979302400006</v>
      </c>
      <c r="FE108" s="116">
        <f t="shared" si="164"/>
        <v>2610.6840000000002</v>
      </c>
      <c r="FF108" s="217">
        <f t="shared" si="165"/>
        <v>0.96925296387585935</v>
      </c>
      <c r="FG108" s="207">
        <f t="shared" si="166"/>
        <v>2</v>
      </c>
      <c r="FH108" s="144">
        <f t="shared" si="167"/>
        <v>32136.247700239703</v>
      </c>
      <c r="FI108" s="128">
        <f t="shared" si="168"/>
        <v>0.5</v>
      </c>
      <c r="FJ108" s="2">
        <f t="shared" si="169"/>
        <v>3.9370078740157487E-2</v>
      </c>
      <c r="FK108" s="127">
        <f t="shared" si="170"/>
        <v>3.9370078740157487E-2</v>
      </c>
      <c r="FL108" s="216">
        <f t="shared" si="171"/>
        <v>0</v>
      </c>
      <c r="FM108" s="138">
        <f t="shared" si="172"/>
        <v>0.5</v>
      </c>
      <c r="FN108" s="138">
        <f t="shared" si="173"/>
        <v>0</v>
      </c>
      <c r="FO108" s="238">
        <f t="shared" si="174"/>
        <v>0</v>
      </c>
      <c r="FP108" s="216">
        <f t="shared" si="282"/>
        <v>0</v>
      </c>
      <c r="FQ108" s="138">
        <f t="shared" si="283"/>
        <v>0.5</v>
      </c>
      <c r="FR108" s="138">
        <f t="shared" si="284"/>
        <v>0</v>
      </c>
      <c r="FS108" s="238">
        <f t="shared" si="285"/>
        <v>0</v>
      </c>
      <c r="FT108" s="216">
        <f t="shared" si="175"/>
        <v>0</v>
      </c>
      <c r="FU108" s="138">
        <f t="shared" si="176"/>
        <v>3.9370078740157487E-2</v>
      </c>
      <c r="FV108" s="138">
        <f t="shared" si="177"/>
        <v>0</v>
      </c>
      <c r="FW108" s="238">
        <f t="shared" si="178"/>
        <v>0</v>
      </c>
      <c r="FX108" s="216">
        <f t="shared" si="286"/>
        <v>0</v>
      </c>
      <c r="FY108" s="138">
        <f t="shared" si="287"/>
        <v>5.5118110236220486E-2</v>
      </c>
      <c r="FZ108" s="138">
        <f t="shared" si="288"/>
        <v>0</v>
      </c>
      <c r="GA108" s="238">
        <f t="shared" si="289"/>
        <v>0</v>
      </c>
      <c r="GB108" s="216">
        <f t="shared" si="179"/>
        <v>0</v>
      </c>
      <c r="GC108" s="138">
        <f t="shared" si="180"/>
        <v>3.9370078740157487E-2</v>
      </c>
      <c r="GD108" s="138">
        <f t="shared" si="181"/>
        <v>0</v>
      </c>
      <c r="GE108" s="238">
        <f t="shared" si="182"/>
        <v>0</v>
      </c>
      <c r="GF108" s="216">
        <f t="shared" si="290"/>
        <v>0</v>
      </c>
      <c r="GG108" s="138">
        <f t="shared" si="291"/>
        <v>5.5118110236220486E-2</v>
      </c>
      <c r="GH108" s="138">
        <f t="shared" si="292"/>
        <v>0</v>
      </c>
      <c r="GI108" s="238">
        <f t="shared" si="293"/>
        <v>0</v>
      </c>
      <c r="GJ108" s="216">
        <f t="shared" si="183"/>
        <v>0.5</v>
      </c>
      <c r="GK108" s="216">
        <f t="shared" si="184"/>
        <v>5.5118110236220486E-2</v>
      </c>
      <c r="GL108" s="17">
        <f t="shared" si="185"/>
        <v>5.5118110236220486E-2</v>
      </c>
      <c r="GM108" s="216">
        <f t="shared" si="294"/>
        <v>1.6455804903339047E-2</v>
      </c>
      <c r="GN108" s="2">
        <f t="shared" si="187"/>
        <v>3</v>
      </c>
      <c r="GO108" s="2">
        <f t="shared" si="188"/>
        <v>2</v>
      </c>
      <c r="GP108" s="142">
        <f t="shared" si="189"/>
        <v>2</v>
      </c>
      <c r="GQ108" s="2">
        <f t="shared" si="190"/>
        <v>1.5748031496062995E-2</v>
      </c>
      <c r="GR108" s="8">
        <f t="shared" si="295"/>
        <v>0.17317732985707351</v>
      </c>
      <c r="GS108" s="138">
        <f t="shared" si="191"/>
        <v>0.25</v>
      </c>
      <c r="GT108" s="12">
        <f t="shared" si="296"/>
        <v>14354.533274003543</v>
      </c>
      <c r="GU108" s="138">
        <f t="shared" si="192"/>
        <v>0.25</v>
      </c>
      <c r="GV108" s="116">
        <f t="shared" si="193"/>
        <v>2175570</v>
      </c>
      <c r="GW108" s="2">
        <f t="shared" si="297"/>
        <v>3.9370078740157487E-2</v>
      </c>
      <c r="GX108" s="8">
        <f t="shared" si="298"/>
        <v>4.5694489651200003</v>
      </c>
      <c r="GY108" s="116">
        <f t="shared" si="194"/>
        <v>2610.6840000000002</v>
      </c>
      <c r="GZ108" s="217">
        <f t="shared" si="195"/>
        <v>1.9385059277517187</v>
      </c>
      <c r="HA108" s="207">
        <f t="shared" si="196"/>
        <v>2</v>
      </c>
      <c r="HB108" s="144">
        <f t="shared" si="197"/>
        <v>32136.247700239703</v>
      </c>
      <c r="HC108" s="138">
        <f t="shared" si="299"/>
        <v>0.25</v>
      </c>
      <c r="HD108" s="116">
        <f t="shared" si="198"/>
        <v>2175570</v>
      </c>
      <c r="HE108" s="2">
        <f t="shared" si="300"/>
        <v>3.9370078740157487E-2</v>
      </c>
      <c r="HF108" s="8">
        <f t="shared" si="199"/>
        <v>4.5694489651200003</v>
      </c>
      <c r="HG108" s="116">
        <f t="shared" si="200"/>
        <v>2610.6840000000002</v>
      </c>
      <c r="HH108" s="217">
        <f t="shared" si="201"/>
        <v>1.9385059277517187</v>
      </c>
      <c r="HI108" s="207">
        <f t="shared" si="202"/>
        <v>2</v>
      </c>
      <c r="HJ108" s="144">
        <f t="shared" si="203"/>
        <v>32136.247700239703</v>
      </c>
      <c r="HK108" s="138">
        <f t="shared" si="301"/>
        <v>0.25</v>
      </c>
      <c r="HL108" s="116">
        <f t="shared" si="204"/>
        <v>2175570</v>
      </c>
      <c r="HM108" s="2">
        <f t="shared" si="302"/>
        <v>3.9370078740157487E-2</v>
      </c>
      <c r="HN108" s="8">
        <f t="shared" si="205"/>
        <v>4.5694489651200003</v>
      </c>
      <c r="HO108" s="116">
        <f t="shared" si="206"/>
        <v>2610.6840000000002</v>
      </c>
      <c r="HP108" s="217">
        <f t="shared" si="207"/>
        <v>1.9385059277517187</v>
      </c>
      <c r="HQ108" s="207">
        <f t="shared" si="208"/>
        <v>2</v>
      </c>
      <c r="HR108" s="144">
        <f t="shared" si="209"/>
        <v>32136.247700239703</v>
      </c>
      <c r="HS108" s="128">
        <f t="shared" si="210"/>
        <v>0.25</v>
      </c>
      <c r="HT108" s="2">
        <f t="shared" si="211"/>
        <v>1.5748031496062995E-2</v>
      </c>
      <c r="HU108" s="127">
        <f t="shared" si="212"/>
        <v>1.5748031496062995E-2</v>
      </c>
      <c r="HV108" s="216">
        <f t="shared" si="213"/>
        <v>0</v>
      </c>
      <c r="HW108" s="138">
        <f t="shared" si="214"/>
        <v>0.25</v>
      </c>
      <c r="HX108" s="138">
        <f t="shared" si="215"/>
        <v>0</v>
      </c>
      <c r="HY108" s="238">
        <f t="shared" si="216"/>
        <v>0</v>
      </c>
      <c r="HZ108" s="138">
        <f t="shared" si="217"/>
        <v>0</v>
      </c>
      <c r="IA108" s="138">
        <f t="shared" si="218"/>
        <v>0.5</v>
      </c>
      <c r="IB108" s="138">
        <f t="shared" si="219"/>
        <v>0</v>
      </c>
      <c r="IC108" s="138">
        <f t="shared" si="220"/>
        <v>0</v>
      </c>
      <c r="ID108" s="216">
        <f t="shared" si="221"/>
        <v>0</v>
      </c>
      <c r="IE108" s="138">
        <f t="shared" si="222"/>
        <v>1.5748031496062995E-2</v>
      </c>
      <c r="IF108" s="138">
        <f t="shared" si="223"/>
        <v>0</v>
      </c>
      <c r="IG108" s="238">
        <f t="shared" si="224"/>
        <v>0</v>
      </c>
      <c r="IH108" s="138">
        <f t="shared" si="225"/>
        <v>0</v>
      </c>
      <c r="II108" s="138">
        <f t="shared" si="226"/>
        <v>1.5748031496062995E-2</v>
      </c>
      <c r="IJ108" s="138">
        <f t="shared" si="227"/>
        <v>0</v>
      </c>
      <c r="IK108" s="138">
        <f t="shared" si="228"/>
        <v>0</v>
      </c>
      <c r="IL108" s="216">
        <f t="shared" si="229"/>
        <v>0</v>
      </c>
      <c r="IM108" s="138">
        <f t="shared" si="230"/>
        <v>1.5748031496062995E-2</v>
      </c>
      <c r="IN108" s="138">
        <f t="shared" si="231"/>
        <v>0</v>
      </c>
      <c r="IO108" s="238">
        <f t="shared" si="232"/>
        <v>0</v>
      </c>
      <c r="IP108" s="138">
        <f t="shared" si="233"/>
        <v>0</v>
      </c>
      <c r="IQ108" s="138">
        <f t="shared" si="234"/>
        <v>1.5748031496062995E-2</v>
      </c>
      <c r="IR108" s="138">
        <f t="shared" si="235"/>
        <v>0</v>
      </c>
      <c r="IS108" s="138">
        <f t="shared" si="236"/>
        <v>0</v>
      </c>
      <c r="IT108" s="17">
        <f t="shared" si="237"/>
        <v>0.5</v>
      </c>
      <c r="IU108" s="17">
        <f t="shared" si="238"/>
        <v>1.5748031496062995E-2</v>
      </c>
      <c r="IV108" s="17">
        <f t="shared" si="239"/>
        <v>1.5748031496062995E-2</v>
      </c>
      <c r="IW108" s="253">
        <f t="shared" si="240"/>
        <v>25.385827584000008</v>
      </c>
      <c r="IX108" s="116">
        <f t="shared" si="303"/>
        <v>1154.4295008417482</v>
      </c>
      <c r="IY108" s="8">
        <f t="shared" si="242"/>
        <v>2.9848113102473529E-2</v>
      </c>
      <c r="IZ108" s="8">
        <f t="shared" si="243"/>
        <v>2.9848113102473529E-2</v>
      </c>
      <c r="JA108" s="8">
        <f t="shared" si="244"/>
        <v>1.4924056551236764E-2</v>
      </c>
      <c r="JB108" s="134">
        <f t="shared" si="245"/>
        <v>0.1221640558889429</v>
      </c>
      <c r="JC108" s="170">
        <f t="shared" si="305"/>
        <v>1.9839863322260787E-2</v>
      </c>
      <c r="JD108" s="272">
        <f t="shared" si="306"/>
        <v>0.14085404971906482</v>
      </c>
      <c r="JE108" s="8"/>
      <c r="JF108" s="8"/>
    </row>
    <row r="109" spans="1:266" x14ac:dyDescent="0.25">
      <c r="A109" s="186">
        <v>49</v>
      </c>
      <c r="B109" s="187">
        <f>A109/100*'Inputs-Imperial'!$E$5</f>
        <v>11.799869143999999</v>
      </c>
      <c r="C109" s="188">
        <f>'Inputs-Imperial'!$E$10+('Inputs-Imperial'!$E$9-'Inputs-Imperial'!$E$10)*(100-A109)/100</f>
        <v>4.213172707</v>
      </c>
      <c r="D109" s="187">
        <f t="shared" si="248"/>
        <v>0.24081365600000026</v>
      </c>
      <c r="E109" s="188">
        <f t="shared" si="249"/>
        <v>1.0167325907234352</v>
      </c>
      <c r="F109" s="423">
        <f>Loads!P69</f>
        <v>416.87525513559467</v>
      </c>
      <c r="G109" s="423">
        <f>Loads!M69</f>
        <v>4168.7525513559467</v>
      </c>
      <c r="H109" s="423">
        <f>Loads!N69</f>
        <v>23393.115015816347</v>
      </c>
      <c r="I109" s="423">
        <f>Loads!V69</f>
        <v>-8330.2030567408365</v>
      </c>
      <c r="J109" s="423">
        <f>Loads!Q69</f>
        <v>2339.3115015816352</v>
      </c>
      <c r="K109" s="2">
        <v>49</v>
      </c>
      <c r="L109" s="12">
        <f t="shared" si="41"/>
        <v>141.59842972799999</v>
      </c>
      <c r="M109" s="11">
        <f t="shared" si="42"/>
        <v>50.558072484</v>
      </c>
      <c r="N109" s="11">
        <f t="shared" si="43"/>
        <v>2.8897638720000032</v>
      </c>
      <c r="O109" s="152">
        <f t="shared" si="44"/>
        <v>146.40949306417468</v>
      </c>
      <c r="P109" s="151">
        <f t="shared" si="45"/>
        <v>416.87525513559467</v>
      </c>
      <c r="Q109" s="12">
        <f t="shared" si="46"/>
        <v>4168.7525513559467</v>
      </c>
      <c r="R109" s="12">
        <f t="shared" si="47"/>
        <v>280717.38018979615</v>
      </c>
      <c r="S109" s="12">
        <f t="shared" si="48"/>
        <v>-99962.436680890038</v>
      </c>
      <c r="T109" s="152">
        <f t="shared" si="49"/>
        <v>28071.738018979624</v>
      </c>
      <c r="U109" s="8">
        <f t="shared" si="261"/>
        <v>9.1004530471200002</v>
      </c>
      <c r="V109" s="8">
        <f t="shared" si="262"/>
        <v>9.1004530471200002</v>
      </c>
      <c r="W109" s="134">
        <f t="shared" si="263"/>
        <v>4.5502265235600001</v>
      </c>
      <c r="X109" s="311">
        <f t="shared" si="264"/>
        <v>12.639518121</v>
      </c>
      <c r="Y109" s="11">
        <f t="shared" si="265"/>
        <v>37.918554362999998</v>
      </c>
      <c r="Z109" s="11">
        <f t="shared" si="266"/>
        <v>25.279036241999997</v>
      </c>
      <c r="AA109" s="316">
        <f t="shared" si="50"/>
        <v>37.918554362999998</v>
      </c>
      <c r="AB109" s="170">
        <f t="shared" si="51"/>
        <v>6.8253397853400006</v>
      </c>
      <c r="AC109" s="11">
        <f t="shared" si="52"/>
        <v>37.918554362999998</v>
      </c>
      <c r="AD109" s="152">
        <f t="shared" si="53"/>
        <v>203.26655637309327</v>
      </c>
      <c r="AE109" s="151">
        <f t="shared" si="267"/>
        <v>10.993964884441148</v>
      </c>
      <c r="AF109" s="12">
        <f t="shared" si="268"/>
        <v>245.89002358413111</v>
      </c>
      <c r="AG109" s="216">
        <f t="shared" si="269"/>
        <v>1.6829969302297566E-2</v>
      </c>
      <c r="AH109" s="2">
        <f t="shared" si="55"/>
        <v>3</v>
      </c>
      <c r="AI109" s="2">
        <f t="shared" si="56"/>
        <v>3</v>
      </c>
      <c r="AJ109" s="127">
        <f t="shared" si="57"/>
        <v>2</v>
      </c>
      <c r="AK109" s="2">
        <f t="shared" si="58"/>
        <v>1.5748031496062995E-2</v>
      </c>
      <c r="AL109" s="8">
        <f t="shared" si="270"/>
        <v>0.17711495502459512</v>
      </c>
      <c r="AM109" s="138">
        <f t="shared" si="59"/>
        <v>0.25</v>
      </c>
      <c r="AN109" s="12">
        <f t="shared" si="271"/>
        <v>14680.919940978903</v>
      </c>
      <c r="AO109" s="138">
        <f t="shared" si="60"/>
        <v>0.25</v>
      </c>
      <c r="AP109" s="116">
        <f t="shared" si="61"/>
        <v>2175570</v>
      </c>
      <c r="AQ109" s="2">
        <f t="shared" si="62"/>
        <v>1.5748031496062995E-2</v>
      </c>
      <c r="AR109" s="8">
        <f t="shared" si="63"/>
        <v>25.279036241999997</v>
      </c>
      <c r="AS109" s="116">
        <f t="shared" si="64"/>
        <v>2610.6840000000002</v>
      </c>
      <c r="AT109" s="217">
        <f t="shared" si="65"/>
        <v>2.5335749824136736E-2</v>
      </c>
      <c r="AU109" s="207">
        <f t="shared" si="66"/>
        <v>4.8696538657859492</v>
      </c>
      <c r="AV109" s="144">
        <f t="shared" si="67"/>
        <v>2556.6418904801017</v>
      </c>
      <c r="AW109" s="138">
        <f t="shared" si="68"/>
        <v>1.5</v>
      </c>
      <c r="AX109" s="116">
        <f t="shared" si="69"/>
        <v>2175570</v>
      </c>
      <c r="AY109" s="2">
        <f t="shared" si="70"/>
        <v>1.5748031496062995E-2</v>
      </c>
      <c r="AZ109" s="8">
        <f t="shared" si="71"/>
        <v>25.279036241999997</v>
      </c>
      <c r="BA109" s="116">
        <f t="shared" si="72"/>
        <v>2610.6840000000002</v>
      </c>
      <c r="BB109" s="217">
        <f t="shared" si="73"/>
        <v>0.15201449894482041</v>
      </c>
      <c r="BC109" s="207">
        <f t="shared" si="74"/>
        <v>3.4267087952254989</v>
      </c>
      <c r="BD109" s="144">
        <f t="shared" si="75"/>
        <v>64766.660994230791</v>
      </c>
      <c r="BE109" s="138">
        <f t="shared" si="76"/>
        <v>1.5</v>
      </c>
      <c r="BF109" s="116">
        <f t="shared" si="77"/>
        <v>2175570</v>
      </c>
      <c r="BG109" s="2">
        <f t="shared" si="78"/>
        <v>1.5748031496062995E-2</v>
      </c>
      <c r="BH109" s="8">
        <f t="shared" si="79"/>
        <v>25.279036241999997</v>
      </c>
      <c r="BI109" s="116">
        <f t="shared" si="80"/>
        <v>2610.6840000000002</v>
      </c>
      <c r="BJ109" s="217">
        <f t="shared" si="81"/>
        <v>0.15201449894482041</v>
      </c>
      <c r="BK109" s="207">
        <f t="shared" si="82"/>
        <v>3.4267087952254989</v>
      </c>
      <c r="BL109" s="144">
        <f t="shared" si="83"/>
        <v>64766.660994230791</v>
      </c>
      <c r="BM109" s="216">
        <f t="shared" si="84"/>
        <v>1.5</v>
      </c>
      <c r="BN109" s="216">
        <f t="shared" si="85"/>
        <v>2.3622047244094495E-2</v>
      </c>
      <c r="BO109" s="238">
        <f t="shared" si="86"/>
        <v>1.5748031496062995E-2</v>
      </c>
      <c r="BP109" s="216">
        <f t="shared" si="87"/>
        <v>0</v>
      </c>
      <c r="BQ109" s="138">
        <f t="shared" si="88"/>
        <v>1.5</v>
      </c>
      <c r="BR109" s="138">
        <f t="shared" si="89"/>
        <v>0</v>
      </c>
      <c r="BS109" s="238">
        <f t="shared" si="90"/>
        <v>0</v>
      </c>
      <c r="BT109" s="138">
        <f t="shared" si="91"/>
        <v>0</v>
      </c>
      <c r="BU109" s="138">
        <f t="shared" si="92"/>
        <v>2.5</v>
      </c>
      <c r="BV109" s="138">
        <f t="shared" si="93"/>
        <v>0</v>
      </c>
      <c r="BW109" s="238">
        <f t="shared" si="94"/>
        <v>0</v>
      </c>
      <c r="BX109" s="216">
        <f t="shared" si="95"/>
        <v>0</v>
      </c>
      <c r="BY109" s="138">
        <f t="shared" si="96"/>
        <v>2.3622047244094495E-2</v>
      </c>
      <c r="BZ109" s="138">
        <f t="shared" si="97"/>
        <v>0</v>
      </c>
      <c r="CA109" s="238">
        <f t="shared" si="98"/>
        <v>0</v>
      </c>
      <c r="CB109" s="138">
        <f t="shared" si="99"/>
        <v>0</v>
      </c>
      <c r="CC109" s="138">
        <f t="shared" si="100"/>
        <v>2.3622047244094495E-2</v>
      </c>
      <c r="CD109" s="138">
        <f t="shared" si="101"/>
        <v>0</v>
      </c>
      <c r="CE109" s="238">
        <f t="shared" si="102"/>
        <v>0</v>
      </c>
      <c r="CF109" s="216">
        <f t="shared" si="103"/>
        <v>0</v>
      </c>
      <c r="CG109" s="138">
        <f t="shared" si="104"/>
        <v>1.5748031496062995E-2</v>
      </c>
      <c r="CH109" s="138">
        <f t="shared" si="105"/>
        <v>0</v>
      </c>
      <c r="CI109" s="238">
        <f t="shared" si="106"/>
        <v>0</v>
      </c>
      <c r="CJ109" s="138">
        <f t="shared" si="107"/>
        <v>0</v>
      </c>
      <c r="CK109" s="138">
        <f t="shared" si="108"/>
        <v>1.5748031496062995E-2</v>
      </c>
      <c r="CL109" s="138">
        <f t="shared" si="109"/>
        <v>0</v>
      </c>
      <c r="CM109" s="238">
        <f t="shared" si="110"/>
        <v>0</v>
      </c>
      <c r="CN109" s="17">
        <f t="shared" si="111"/>
        <v>2.5</v>
      </c>
      <c r="CO109" s="17">
        <f t="shared" si="112"/>
        <v>2.3622047244094495E-2</v>
      </c>
      <c r="CP109" s="17">
        <f t="shared" si="113"/>
        <v>1.5748031496062995E-2</v>
      </c>
      <c r="CQ109" s="17">
        <f>$U109-IF('Inputs-Imperial'!$E$13,0,2)*($CO109+$CN109+$CP109)</f>
        <v>9.1004530471200002</v>
      </c>
      <c r="CR109" s="116">
        <f t="shared" si="114"/>
        <v>30846.528050450648</v>
      </c>
      <c r="CS109" s="8">
        <f t="shared" si="10"/>
        <v>0.79754602372612637</v>
      </c>
      <c r="CT109" s="8">
        <f t="shared" si="115"/>
        <v>0.89305432294241005</v>
      </c>
      <c r="CU109" s="8">
        <f t="shared" si="272"/>
        <v>0.79754602372612637</v>
      </c>
      <c r="CV109" s="8">
        <f t="shared" si="116"/>
        <v>0.89305432294241005</v>
      </c>
      <c r="CW109" s="216">
        <f t="shared" si="117"/>
        <v>8.2073987241775885</v>
      </c>
      <c r="CX109" s="116">
        <f t="shared" si="118"/>
        <v>34202.966082645762</v>
      </c>
      <c r="CY109" s="8">
        <f t="shared" si="119"/>
        <v>0.8843277128057585</v>
      </c>
      <c r="CZ109" s="8">
        <f t="shared" si="120"/>
        <v>0.94038700161463229</v>
      </c>
      <c r="DA109" s="8">
        <f t="shared" si="121"/>
        <v>0.8843277128057585</v>
      </c>
      <c r="DB109" s="8">
        <f t="shared" si="122"/>
        <v>0.94038700161463229</v>
      </c>
      <c r="DC109" s="216">
        <f t="shared" si="123"/>
        <v>8.1600660455053688</v>
      </c>
      <c r="DD109" s="116">
        <f t="shared" si="124"/>
        <v>34401.361290993176</v>
      </c>
      <c r="DE109" s="8">
        <f t="shared" si="125"/>
        <v>0.88945727906634398</v>
      </c>
      <c r="DF109" s="8">
        <f t="shared" si="126"/>
        <v>0.94311042782186649</v>
      </c>
      <c r="DG109" s="8">
        <f t="shared" si="127"/>
        <v>0.88945727906634398</v>
      </c>
      <c r="DH109" s="8">
        <f t="shared" si="128"/>
        <v>0.94311042782186649</v>
      </c>
      <c r="DI109" s="216">
        <f t="shared" si="129"/>
        <v>8.1573426192981326</v>
      </c>
      <c r="DJ109" s="116">
        <f t="shared" si="130"/>
        <v>34412.846596107469</v>
      </c>
      <c r="DK109" s="8">
        <f t="shared" si="131"/>
        <v>0.88975423499636641</v>
      </c>
      <c r="DL109" s="8">
        <f t="shared" si="132"/>
        <v>0.94326784902082106</v>
      </c>
      <c r="DM109" s="8">
        <f t="shared" si="133"/>
        <v>0.88975423499636641</v>
      </c>
      <c r="DN109" s="8">
        <f t="shared" si="134"/>
        <v>0.94326784902082106</v>
      </c>
      <c r="DO109" s="216">
        <f t="shared" si="135"/>
        <v>8.1571851980991799</v>
      </c>
      <c r="DP109" s="116">
        <f t="shared" si="136"/>
        <v>34413.510711416733</v>
      </c>
      <c r="DQ109" s="170">
        <f t="shared" si="137"/>
        <v>0.88977140589233672</v>
      </c>
      <c r="DR109" s="8">
        <f t="shared" si="138"/>
        <v>0.94327695079034801</v>
      </c>
      <c r="DS109" s="8">
        <f t="shared" si="139"/>
        <v>0.88977140589233672</v>
      </c>
      <c r="DT109" s="134">
        <f t="shared" si="140"/>
        <v>0.94327695079034801</v>
      </c>
      <c r="DU109" s="170">
        <f t="shared" si="304"/>
        <v>1.2501892583384084</v>
      </c>
      <c r="DV109" s="170">
        <f t="shared" si="304"/>
        <v>1.1181186244484118</v>
      </c>
      <c r="DW109" s="170">
        <f t="shared" si="304"/>
        <v>1.2501892583384084</v>
      </c>
      <c r="DX109" s="272">
        <f t="shared" si="304"/>
        <v>1.1181186244484118</v>
      </c>
      <c r="DY109" s="272">
        <f t="shared" si="142"/>
        <v>6.8642157982231762</v>
      </c>
      <c r="DZ109" s="22">
        <f t="shared" si="273"/>
        <v>458.08187018504782</v>
      </c>
      <c r="EA109" s="216">
        <f t="shared" si="274"/>
        <v>3.001161675787594E-2</v>
      </c>
      <c r="EB109" s="12">
        <f t="shared" si="143"/>
        <v>4</v>
      </c>
      <c r="EC109" s="7">
        <f>ROUND(MAX(DV109,DX109)/'Inputs-Imperial'!$E$21,0)</f>
        <v>9</v>
      </c>
      <c r="ED109" s="12">
        <f t="shared" si="144"/>
        <v>9</v>
      </c>
      <c r="EE109" s="2">
        <f t="shared" si="145"/>
        <v>5</v>
      </c>
      <c r="EF109" s="127">
        <f t="shared" si="146"/>
        <v>5</v>
      </c>
      <c r="EG109" s="2">
        <f t="shared" si="147"/>
        <v>3.9370078740157487E-2</v>
      </c>
      <c r="EH109" s="8">
        <f t="shared" si="275"/>
        <v>0.31583576041109762</v>
      </c>
      <c r="EI109" s="138">
        <f t="shared" si="148"/>
        <v>0.5</v>
      </c>
      <c r="EJ109" s="12">
        <f t="shared" si="276"/>
        <v>10471.751552430191</v>
      </c>
      <c r="EK109" s="138">
        <f t="shared" si="149"/>
        <v>0.5</v>
      </c>
      <c r="EL109" s="116">
        <f t="shared" si="150"/>
        <v>2175570</v>
      </c>
      <c r="EM109" s="2">
        <f t="shared" si="277"/>
        <v>3.9370078740157487E-2</v>
      </c>
      <c r="EN109" s="8">
        <f t="shared" si="151"/>
        <v>9.1004530471200002</v>
      </c>
      <c r="EO109" s="116">
        <f t="shared" si="152"/>
        <v>2610.6840000000002</v>
      </c>
      <c r="EP109" s="217">
        <f t="shared" si="153"/>
        <v>0.97745948395589222</v>
      </c>
      <c r="EQ109" s="207">
        <f t="shared" si="154"/>
        <v>2</v>
      </c>
      <c r="ER109" s="144">
        <f t="shared" si="155"/>
        <v>32408.340509731184</v>
      </c>
      <c r="ES109" s="138">
        <f t="shared" si="278"/>
        <v>0.5</v>
      </c>
      <c r="ET109" s="116">
        <f t="shared" si="156"/>
        <v>2175570</v>
      </c>
      <c r="EU109" s="2">
        <f t="shared" si="279"/>
        <v>3.9370078740157487E-2</v>
      </c>
      <c r="EV109" s="8">
        <f t="shared" si="157"/>
        <v>9.1004530471200002</v>
      </c>
      <c r="EW109" s="116">
        <f t="shared" si="158"/>
        <v>2610.6840000000002</v>
      </c>
      <c r="EX109" s="217">
        <f t="shared" si="159"/>
        <v>0.97745948395589222</v>
      </c>
      <c r="EY109" s="207">
        <f t="shared" si="160"/>
        <v>2</v>
      </c>
      <c r="EZ109" s="144">
        <f t="shared" si="161"/>
        <v>32408.340509731184</v>
      </c>
      <c r="FA109" s="138">
        <f t="shared" si="280"/>
        <v>0.5</v>
      </c>
      <c r="FB109" s="116">
        <f t="shared" si="162"/>
        <v>2175570</v>
      </c>
      <c r="FC109" s="2">
        <f t="shared" si="281"/>
        <v>3.9370078740157487E-2</v>
      </c>
      <c r="FD109" s="8">
        <f t="shared" si="163"/>
        <v>9.1004530471200002</v>
      </c>
      <c r="FE109" s="116">
        <f t="shared" si="164"/>
        <v>2610.6840000000002</v>
      </c>
      <c r="FF109" s="217">
        <f t="shared" si="165"/>
        <v>0.97745948395589222</v>
      </c>
      <c r="FG109" s="207">
        <f t="shared" si="166"/>
        <v>2</v>
      </c>
      <c r="FH109" s="144">
        <f t="shared" si="167"/>
        <v>32408.340509731184</v>
      </c>
      <c r="FI109" s="128">
        <f t="shared" si="168"/>
        <v>0.5</v>
      </c>
      <c r="FJ109" s="2">
        <f t="shared" si="169"/>
        <v>3.9370078740157487E-2</v>
      </c>
      <c r="FK109" s="127">
        <f t="shared" si="170"/>
        <v>3.9370078740157487E-2</v>
      </c>
      <c r="FL109" s="216">
        <f t="shared" si="171"/>
        <v>0</v>
      </c>
      <c r="FM109" s="138">
        <f t="shared" si="172"/>
        <v>0.5</v>
      </c>
      <c r="FN109" s="138">
        <f t="shared" si="173"/>
        <v>0</v>
      </c>
      <c r="FO109" s="238">
        <f t="shared" si="174"/>
        <v>0</v>
      </c>
      <c r="FP109" s="216">
        <f t="shared" si="282"/>
        <v>0</v>
      </c>
      <c r="FQ109" s="138">
        <f t="shared" si="283"/>
        <v>0.5</v>
      </c>
      <c r="FR109" s="138">
        <f t="shared" si="284"/>
        <v>0</v>
      </c>
      <c r="FS109" s="238">
        <f t="shared" si="285"/>
        <v>0</v>
      </c>
      <c r="FT109" s="216">
        <f t="shared" si="175"/>
        <v>0</v>
      </c>
      <c r="FU109" s="138">
        <f t="shared" si="176"/>
        <v>3.9370078740157487E-2</v>
      </c>
      <c r="FV109" s="138">
        <f t="shared" si="177"/>
        <v>0</v>
      </c>
      <c r="FW109" s="238">
        <f t="shared" si="178"/>
        <v>0</v>
      </c>
      <c r="FX109" s="216">
        <f t="shared" si="286"/>
        <v>0</v>
      </c>
      <c r="FY109" s="138">
        <f t="shared" si="287"/>
        <v>5.5118110236220486E-2</v>
      </c>
      <c r="FZ109" s="138">
        <f t="shared" si="288"/>
        <v>0</v>
      </c>
      <c r="GA109" s="238">
        <f t="shared" si="289"/>
        <v>0</v>
      </c>
      <c r="GB109" s="216">
        <f t="shared" si="179"/>
        <v>0</v>
      </c>
      <c r="GC109" s="138">
        <f t="shared" si="180"/>
        <v>3.9370078740157487E-2</v>
      </c>
      <c r="GD109" s="138">
        <f t="shared" si="181"/>
        <v>0</v>
      </c>
      <c r="GE109" s="238">
        <f t="shared" si="182"/>
        <v>0</v>
      </c>
      <c r="GF109" s="216">
        <f t="shared" si="290"/>
        <v>0</v>
      </c>
      <c r="GG109" s="138">
        <f t="shared" si="291"/>
        <v>5.5118110236220486E-2</v>
      </c>
      <c r="GH109" s="138">
        <f t="shared" si="292"/>
        <v>0</v>
      </c>
      <c r="GI109" s="238">
        <f t="shared" si="293"/>
        <v>0</v>
      </c>
      <c r="GJ109" s="216">
        <f t="shared" si="183"/>
        <v>0.5</v>
      </c>
      <c r="GK109" s="216">
        <f t="shared" si="184"/>
        <v>5.5118110236220486E-2</v>
      </c>
      <c r="GL109" s="17">
        <f t="shared" si="185"/>
        <v>5.5118110236220486E-2</v>
      </c>
      <c r="GM109" s="216">
        <f t="shared" si="294"/>
        <v>1.6109690500108541E-2</v>
      </c>
      <c r="GN109" s="2">
        <f t="shared" si="187"/>
        <v>3</v>
      </c>
      <c r="GO109" s="2">
        <f t="shared" si="188"/>
        <v>2</v>
      </c>
      <c r="GP109" s="142">
        <f t="shared" si="189"/>
        <v>2</v>
      </c>
      <c r="GQ109" s="2">
        <f t="shared" si="190"/>
        <v>1.5748031496062995E-2</v>
      </c>
      <c r="GR109" s="8">
        <f t="shared" si="295"/>
        <v>0.16953489677472877</v>
      </c>
      <c r="GS109" s="138">
        <f t="shared" si="191"/>
        <v>0.25</v>
      </c>
      <c r="GT109" s="12">
        <f t="shared" si="296"/>
        <v>14052.614847833091</v>
      </c>
      <c r="GU109" s="138">
        <f t="shared" si="192"/>
        <v>0.25</v>
      </c>
      <c r="GV109" s="116">
        <f t="shared" si="193"/>
        <v>2175570</v>
      </c>
      <c r="GW109" s="2">
        <f t="shared" si="297"/>
        <v>3.9370078740157487E-2</v>
      </c>
      <c r="GX109" s="8">
        <f t="shared" si="298"/>
        <v>4.5502265235600001</v>
      </c>
      <c r="GY109" s="116">
        <f t="shared" si="194"/>
        <v>2610.6840000000002</v>
      </c>
      <c r="GZ109" s="217">
        <f t="shared" si="195"/>
        <v>1.9549189679117844</v>
      </c>
      <c r="HA109" s="207">
        <f t="shared" si="196"/>
        <v>2</v>
      </c>
      <c r="HB109" s="144">
        <f t="shared" si="197"/>
        <v>32408.340509731184</v>
      </c>
      <c r="HC109" s="138">
        <f t="shared" si="299"/>
        <v>0.25</v>
      </c>
      <c r="HD109" s="116">
        <f t="shared" si="198"/>
        <v>2175570</v>
      </c>
      <c r="HE109" s="2">
        <f t="shared" si="300"/>
        <v>3.9370078740157487E-2</v>
      </c>
      <c r="HF109" s="8">
        <f t="shared" si="199"/>
        <v>4.5502265235600001</v>
      </c>
      <c r="HG109" s="116">
        <f t="shared" si="200"/>
        <v>2610.6840000000002</v>
      </c>
      <c r="HH109" s="217">
        <f t="shared" si="201"/>
        <v>1.9549189679117844</v>
      </c>
      <c r="HI109" s="207">
        <f t="shared" si="202"/>
        <v>2</v>
      </c>
      <c r="HJ109" s="144">
        <f t="shared" si="203"/>
        <v>32408.340509731184</v>
      </c>
      <c r="HK109" s="138">
        <f t="shared" si="301"/>
        <v>0.25</v>
      </c>
      <c r="HL109" s="116">
        <f t="shared" si="204"/>
        <v>2175570</v>
      </c>
      <c r="HM109" s="2">
        <f t="shared" si="302"/>
        <v>3.9370078740157487E-2</v>
      </c>
      <c r="HN109" s="8">
        <f t="shared" si="205"/>
        <v>4.5502265235600001</v>
      </c>
      <c r="HO109" s="116">
        <f t="shared" si="206"/>
        <v>2610.6840000000002</v>
      </c>
      <c r="HP109" s="217">
        <f t="shared" si="207"/>
        <v>1.9549189679117844</v>
      </c>
      <c r="HQ109" s="207">
        <f t="shared" si="208"/>
        <v>2</v>
      </c>
      <c r="HR109" s="144">
        <f t="shared" si="209"/>
        <v>32408.340509731184</v>
      </c>
      <c r="HS109" s="128">
        <f t="shared" si="210"/>
        <v>0.25</v>
      </c>
      <c r="HT109" s="2">
        <f t="shared" si="211"/>
        <v>1.5748031496062995E-2</v>
      </c>
      <c r="HU109" s="127">
        <f t="shared" si="212"/>
        <v>1.5748031496062995E-2</v>
      </c>
      <c r="HV109" s="216">
        <f t="shared" si="213"/>
        <v>0</v>
      </c>
      <c r="HW109" s="138">
        <f t="shared" si="214"/>
        <v>0.25</v>
      </c>
      <c r="HX109" s="138">
        <f t="shared" si="215"/>
        <v>0</v>
      </c>
      <c r="HY109" s="238">
        <f t="shared" si="216"/>
        <v>0</v>
      </c>
      <c r="HZ109" s="138">
        <f t="shared" si="217"/>
        <v>0</v>
      </c>
      <c r="IA109" s="138">
        <f t="shared" si="218"/>
        <v>0.5</v>
      </c>
      <c r="IB109" s="138">
        <f t="shared" si="219"/>
        <v>0</v>
      </c>
      <c r="IC109" s="138">
        <f t="shared" si="220"/>
        <v>0</v>
      </c>
      <c r="ID109" s="216">
        <f t="shared" si="221"/>
        <v>0</v>
      </c>
      <c r="IE109" s="138">
        <f t="shared" si="222"/>
        <v>1.5748031496062995E-2</v>
      </c>
      <c r="IF109" s="138">
        <f t="shared" si="223"/>
        <v>0</v>
      </c>
      <c r="IG109" s="238">
        <f t="shared" si="224"/>
        <v>0</v>
      </c>
      <c r="IH109" s="138">
        <f t="shared" si="225"/>
        <v>0</v>
      </c>
      <c r="II109" s="138">
        <f t="shared" si="226"/>
        <v>1.5748031496062995E-2</v>
      </c>
      <c r="IJ109" s="138">
        <f t="shared" si="227"/>
        <v>0</v>
      </c>
      <c r="IK109" s="138">
        <f t="shared" si="228"/>
        <v>0</v>
      </c>
      <c r="IL109" s="216">
        <f t="shared" si="229"/>
        <v>0</v>
      </c>
      <c r="IM109" s="138">
        <f t="shared" si="230"/>
        <v>1.5748031496062995E-2</v>
      </c>
      <c r="IN109" s="138">
        <f t="shared" si="231"/>
        <v>0</v>
      </c>
      <c r="IO109" s="238">
        <f t="shared" si="232"/>
        <v>0</v>
      </c>
      <c r="IP109" s="138">
        <f t="shared" si="233"/>
        <v>0</v>
      </c>
      <c r="IQ109" s="138">
        <f t="shared" si="234"/>
        <v>1.5748031496062995E-2</v>
      </c>
      <c r="IR109" s="138">
        <f t="shared" si="235"/>
        <v>0</v>
      </c>
      <c r="IS109" s="138">
        <f t="shared" si="236"/>
        <v>0</v>
      </c>
      <c r="IT109" s="17">
        <f t="shared" si="237"/>
        <v>0.5</v>
      </c>
      <c r="IU109" s="17">
        <f t="shared" si="238"/>
        <v>1.5748031496062995E-2</v>
      </c>
      <c r="IV109" s="17">
        <f t="shared" si="239"/>
        <v>1.5748031496062995E-2</v>
      </c>
      <c r="IW109" s="253">
        <f t="shared" si="240"/>
        <v>25.279036241999997</v>
      </c>
      <c r="IX109" s="116">
        <f t="shared" si="303"/>
        <v>1110.4750098162237</v>
      </c>
      <c r="IY109" s="8">
        <f t="shared" si="242"/>
        <v>2.8711656854140562E-2</v>
      </c>
      <c r="IZ109" s="8">
        <f t="shared" si="243"/>
        <v>2.8711656854140562E-2</v>
      </c>
      <c r="JA109" s="8">
        <f t="shared" si="244"/>
        <v>1.4355828427070281E-2</v>
      </c>
      <c r="JB109" s="134">
        <f t="shared" si="245"/>
        <v>0.11981581042195676</v>
      </c>
      <c r="JC109" s="170">
        <f t="shared" si="305"/>
        <v>1.9839863322260787E-2</v>
      </c>
      <c r="JD109" s="272">
        <f t="shared" si="306"/>
        <v>0.14085404971906482</v>
      </c>
      <c r="JE109" s="8"/>
      <c r="JF109" s="8"/>
    </row>
    <row r="110" spans="1:266" x14ac:dyDescent="0.25">
      <c r="A110" s="186">
        <v>50</v>
      </c>
      <c r="B110" s="187">
        <f>A110/100*'Inputs-Imperial'!$E$5</f>
        <v>12.040682799999999</v>
      </c>
      <c r="C110" s="188">
        <f>'Inputs-Imperial'!$E$10+('Inputs-Imperial'!$E$9-'Inputs-Imperial'!$E$10)*(100-A110)/100</f>
        <v>4.1953741500000001</v>
      </c>
      <c r="D110" s="187">
        <f t="shared" si="248"/>
        <v>0.24081365600000026</v>
      </c>
      <c r="E110" s="188">
        <f t="shared" si="249"/>
        <v>1.0124464551407408</v>
      </c>
      <c r="F110" s="423">
        <f>Loads!P70</f>
        <v>406.63937972125314</v>
      </c>
      <c r="G110" s="423">
        <f>Loads!M70</f>
        <v>4066.3937972125314</v>
      </c>
      <c r="H110" s="423">
        <f>Loads!N70</f>
        <v>22389.222472964993</v>
      </c>
      <c r="I110" s="423">
        <f>Loads!V70</f>
        <v>-8081.8914730968272</v>
      </c>
      <c r="J110" s="423">
        <f>Loads!Q70</f>
        <v>2238.9222472964998</v>
      </c>
      <c r="K110" s="2">
        <v>50</v>
      </c>
      <c r="L110" s="12">
        <f t="shared" si="41"/>
        <v>144.48819359999999</v>
      </c>
      <c r="M110" s="11">
        <f t="shared" si="42"/>
        <v>50.344489800000005</v>
      </c>
      <c r="N110" s="11">
        <f t="shared" si="43"/>
        <v>2.8897638720000032</v>
      </c>
      <c r="O110" s="152">
        <f t="shared" si="44"/>
        <v>145.79228954026667</v>
      </c>
      <c r="P110" s="151">
        <f t="shared" si="45"/>
        <v>406.63937972125314</v>
      </c>
      <c r="Q110" s="12">
        <f t="shared" si="46"/>
        <v>4066.3937972125314</v>
      </c>
      <c r="R110" s="12">
        <f t="shared" si="47"/>
        <v>268670.66967557993</v>
      </c>
      <c r="S110" s="12">
        <f t="shared" si="48"/>
        <v>-96982.697677161923</v>
      </c>
      <c r="T110" s="152">
        <f t="shared" si="49"/>
        <v>26867.066967557999</v>
      </c>
      <c r="U110" s="8">
        <f t="shared" si="261"/>
        <v>9.0620081639999999</v>
      </c>
      <c r="V110" s="8">
        <f t="shared" si="262"/>
        <v>9.0620081639999999</v>
      </c>
      <c r="W110" s="134">
        <f t="shared" si="263"/>
        <v>4.5310040819999999</v>
      </c>
      <c r="X110" s="311">
        <f t="shared" si="264"/>
        <v>12.586122450000001</v>
      </c>
      <c r="Y110" s="11">
        <f t="shared" si="265"/>
        <v>37.75836735</v>
      </c>
      <c r="Z110" s="11">
        <f t="shared" si="266"/>
        <v>25.172244899999999</v>
      </c>
      <c r="AA110" s="316">
        <f t="shared" si="50"/>
        <v>37.75836735</v>
      </c>
      <c r="AB110" s="170">
        <f t="shared" si="51"/>
        <v>6.7965061230000003</v>
      </c>
      <c r="AC110" s="11">
        <f t="shared" si="52"/>
        <v>37.75836735</v>
      </c>
      <c r="AD110" s="152">
        <f t="shared" si="53"/>
        <v>201.55278395954704</v>
      </c>
      <c r="AE110" s="151">
        <f t="shared" si="267"/>
        <v>10.769517017299032</v>
      </c>
      <c r="AF110" s="12">
        <f t="shared" si="268"/>
        <v>240.58883179858975</v>
      </c>
      <c r="AG110" s="216">
        <f t="shared" si="269"/>
        <v>1.6467952400097376E-2</v>
      </c>
      <c r="AH110" s="2">
        <f t="shared" si="55"/>
        <v>3</v>
      </c>
      <c r="AI110" s="2">
        <f t="shared" si="56"/>
        <v>3</v>
      </c>
      <c r="AJ110" s="127">
        <f t="shared" si="57"/>
        <v>2</v>
      </c>
      <c r="AK110" s="2">
        <f t="shared" si="58"/>
        <v>1.5748031496062995E-2</v>
      </c>
      <c r="AL110" s="8">
        <f t="shared" si="270"/>
        <v>0.17330516748430672</v>
      </c>
      <c r="AM110" s="138">
        <f t="shared" si="59"/>
        <v>0.25</v>
      </c>
      <c r="AN110" s="12">
        <f t="shared" si="271"/>
        <v>14365.129634828041</v>
      </c>
      <c r="AO110" s="138">
        <f t="shared" si="60"/>
        <v>0.25</v>
      </c>
      <c r="AP110" s="116">
        <f t="shared" si="61"/>
        <v>2175570</v>
      </c>
      <c r="AQ110" s="2">
        <f t="shared" si="62"/>
        <v>1.5748031496062995E-2</v>
      </c>
      <c r="AR110" s="8">
        <f t="shared" si="63"/>
        <v>25.172244899999999</v>
      </c>
      <c r="AS110" s="116">
        <f t="shared" si="64"/>
        <v>2610.6840000000002</v>
      </c>
      <c r="AT110" s="217">
        <f t="shared" si="65"/>
        <v>2.5551175819611093E-2</v>
      </c>
      <c r="AU110" s="207">
        <f t="shared" si="66"/>
        <v>4.8662405753794848</v>
      </c>
      <c r="AV110" s="144">
        <f t="shared" si="67"/>
        <v>2576.5733580016231</v>
      </c>
      <c r="AW110" s="138">
        <f t="shared" si="68"/>
        <v>1.5</v>
      </c>
      <c r="AX110" s="116">
        <f t="shared" si="69"/>
        <v>2175570</v>
      </c>
      <c r="AY110" s="2">
        <f t="shared" si="70"/>
        <v>1.5748031496062995E-2</v>
      </c>
      <c r="AZ110" s="8">
        <f t="shared" si="71"/>
        <v>25.172244899999999</v>
      </c>
      <c r="BA110" s="116">
        <f t="shared" si="72"/>
        <v>2610.6840000000002</v>
      </c>
      <c r="BB110" s="217">
        <f t="shared" si="73"/>
        <v>0.15330705491766655</v>
      </c>
      <c r="BC110" s="207">
        <f t="shared" si="74"/>
        <v>3.4167336134482058</v>
      </c>
      <c r="BD110" s="144">
        <f t="shared" si="75"/>
        <v>65127.222520859163</v>
      </c>
      <c r="BE110" s="138">
        <f t="shared" si="76"/>
        <v>1.5</v>
      </c>
      <c r="BF110" s="116">
        <f t="shared" si="77"/>
        <v>2175570</v>
      </c>
      <c r="BG110" s="2">
        <f t="shared" si="78"/>
        <v>1.5748031496062995E-2</v>
      </c>
      <c r="BH110" s="8">
        <f t="shared" si="79"/>
        <v>25.172244899999999</v>
      </c>
      <c r="BI110" s="116">
        <f t="shared" si="80"/>
        <v>2610.6840000000002</v>
      </c>
      <c r="BJ110" s="217">
        <f t="shared" si="81"/>
        <v>0.15330705491766655</v>
      </c>
      <c r="BK110" s="207">
        <f t="shared" si="82"/>
        <v>3.4167336134482058</v>
      </c>
      <c r="BL110" s="144">
        <f t="shared" si="83"/>
        <v>65127.222520859163</v>
      </c>
      <c r="BM110" s="216">
        <f t="shared" si="84"/>
        <v>1.5</v>
      </c>
      <c r="BN110" s="216">
        <f t="shared" si="85"/>
        <v>2.3622047244094495E-2</v>
      </c>
      <c r="BO110" s="238">
        <f t="shared" si="86"/>
        <v>1.5748031496062995E-2</v>
      </c>
      <c r="BP110" s="216">
        <f t="shared" si="87"/>
        <v>0</v>
      </c>
      <c r="BQ110" s="138">
        <f t="shared" si="88"/>
        <v>0</v>
      </c>
      <c r="BR110" s="138">
        <f t="shared" si="89"/>
        <v>1.5</v>
      </c>
      <c r="BS110" s="238">
        <f t="shared" si="90"/>
        <v>0</v>
      </c>
      <c r="BT110" s="138">
        <f t="shared" si="91"/>
        <v>0</v>
      </c>
      <c r="BU110" s="138">
        <f t="shared" si="92"/>
        <v>0</v>
      </c>
      <c r="BV110" s="138">
        <f t="shared" si="93"/>
        <v>1.5</v>
      </c>
      <c r="BW110" s="238">
        <f t="shared" si="94"/>
        <v>0</v>
      </c>
      <c r="BX110" s="216">
        <f t="shared" si="95"/>
        <v>0</v>
      </c>
      <c r="BY110" s="138">
        <f t="shared" si="96"/>
        <v>0</v>
      </c>
      <c r="BZ110" s="138">
        <f t="shared" si="97"/>
        <v>2.3622047244094495E-2</v>
      </c>
      <c r="CA110" s="238">
        <f t="shared" si="98"/>
        <v>0</v>
      </c>
      <c r="CB110" s="138">
        <f t="shared" si="99"/>
        <v>0</v>
      </c>
      <c r="CC110" s="138">
        <f t="shared" si="100"/>
        <v>0</v>
      </c>
      <c r="CD110" s="138">
        <f t="shared" si="101"/>
        <v>2.3622047244094495E-2</v>
      </c>
      <c r="CE110" s="238">
        <f t="shared" si="102"/>
        <v>0</v>
      </c>
      <c r="CF110" s="216">
        <f t="shared" si="103"/>
        <v>0</v>
      </c>
      <c r="CG110" s="138">
        <f t="shared" si="104"/>
        <v>0</v>
      </c>
      <c r="CH110" s="138">
        <f t="shared" si="105"/>
        <v>1.5748031496062995E-2</v>
      </c>
      <c r="CI110" s="238">
        <f t="shared" si="106"/>
        <v>0</v>
      </c>
      <c r="CJ110" s="138">
        <f t="shared" si="107"/>
        <v>0</v>
      </c>
      <c r="CK110" s="138">
        <f t="shared" si="108"/>
        <v>0</v>
      </c>
      <c r="CL110" s="138">
        <f t="shared" si="109"/>
        <v>1.5748031496062995E-2</v>
      </c>
      <c r="CM110" s="238">
        <f t="shared" si="110"/>
        <v>0</v>
      </c>
      <c r="CN110" s="17">
        <f t="shared" si="111"/>
        <v>1.5</v>
      </c>
      <c r="CO110" s="17">
        <f t="shared" si="112"/>
        <v>2.3622047244094495E-2</v>
      </c>
      <c r="CP110" s="17">
        <f t="shared" si="113"/>
        <v>1.5748031496062995E-2</v>
      </c>
      <c r="CQ110" s="17">
        <f>$U110-IF('Inputs-Imperial'!$E$13,0,2)*($CO110+$CN110+$CP110)</f>
        <v>9.0620081639999999</v>
      </c>
      <c r="CR110" s="116">
        <f t="shared" si="114"/>
        <v>29648.027767499585</v>
      </c>
      <c r="CS110" s="8">
        <f t="shared" si="10"/>
        <v>0.76655844763526415</v>
      </c>
      <c r="CT110" s="8">
        <f t="shared" si="115"/>
        <v>0.87553323616825884</v>
      </c>
      <c r="CU110" s="8">
        <f t="shared" si="272"/>
        <v>0.76655844763526415</v>
      </c>
      <c r="CV110" s="8">
        <f t="shared" si="116"/>
        <v>0.87553323616825884</v>
      </c>
      <c r="CW110" s="216">
        <f t="shared" si="117"/>
        <v>8.1864749278317408</v>
      </c>
      <c r="CX110" s="116">
        <f t="shared" si="118"/>
        <v>32818.847189304186</v>
      </c>
      <c r="CY110" s="8">
        <f t="shared" si="119"/>
        <v>0.84854091313925106</v>
      </c>
      <c r="CZ110" s="8">
        <f t="shared" si="120"/>
        <v>0.92116280490435076</v>
      </c>
      <c r="DA110" s="8">
        <f t="shared" si="121"/>
        <v>0.84854091313925106</v>
      </c>
      <c r="DB110" s="8">
        <f t="shared" si="122"/>
        <v>0.92116280490435076</v>
      </c>
      <c r="DC110" s="216">
        <f t="shared" si="123"/>
        <v>8.140845359095648</v>
      </c>
      <c r="DD110" s="116">
        <f t="shared" si="124"/>
        <v>33002.797353888818</v>
      </c>
      <c r="DE110" s="8">
        <f t="shared" si="125"/>
        <v>0.85329699855957097</v>
      </c>
      <c r="DF110" s="8">
        <f t="shared" si="126"/>
        <v>0.92374076372084557</v>
      </c>
      <c r="DG110" s="8">
        <f t="shared" si="127"/>
        <v>0.85329699855957097</v>
      </c>
      <c r="DH110" s="8">
        <f t="shared" si="128"/>
        <v>0.92374076372084557</v>
      </c>
      <c r="DI110" s="216">
        <f t="shared" si="129"/>
        <v>8.1382674002791529</v>
      </c>
      <c r="DJ110" s="116">
        <f t="shared" si="130"/>
        <v>33013.251649406877</v>
      </c>
      <c r="DK110" s="8">
        <f t="shared" si="131"/>
        <v>0.85356729743429849</v>
      </c>
      <c r="DL110" s="8">
        <f t="shared" si="132"/>
        <v>0.92388705880875854</v>
      </c>
      <c r="DM110" s="8">
        <f t="shared" si="133"/>
        <v>0.85356729743429849</v>
      </c>
      <c r="DN110" s="8">
        <f t="shared" si="134"/>
        <v>0.92388705880875854</v>
      </c>
      <c r="DO110" s="216">
        <f t="shared" si="135"/>
        <v>8.1381211051912405</v>
      </c>
      <c r="DP110" s="116">
        <f t="shared" si="136"/>
        <v>33013.845112749317</v>
      </c>
      <c r="DQ110" s="170">
        <f t="shared" si="137"/>
        <v>0.85358264160295871</v>
      </c>
      <c r="DR110" s="8">
        <f t="shared" si="138"/>
        <v>0.92389536290802909</v>
      </c>
      <c r="DS110" s="8">
        <f t="shared" si="139"/>
        <v>0.85358264160295871</v>
      </c>
      <c r="DT110" s="134">
        <f t="shared" si="140"/>
        <v>0.92389536290802909</v>
      </c>
      <c r="DU110" s="170">
        <f>MAX(DQ$110:DQ$119)</f>
        <v>0.85358264160295871</v>
      </c>
      <c r="DV110" s="170">
        <f>MAX(DR$110:DR$119)</f>
        <v>0.92389536290802909</v>
      </c>
      <c r="DW110" s="170">
        <f>MAX(DS$110:DS$119)</f>
        <v>0.85358264160295871</v>
      </c>
      <c r="DX110" s="272">
        <f>MAX(DT$110:DT$119)</f>
        <v>0.92389536290802909</v>
      </c>
      <c r="DY110" s="272">
        <f t="shared" si="142"/>
        <v>7.2142174381839421</v>
      </c>
      <c r="DZ110" s="22">
        <f t="shared" si="273"/>
        <v>448.72987572079296</v>
      </c>
      <c r="EA110" s="216">
        <f t="shared" si="274"/>
        <v>2.9398913020726041E-2</v>
      </c>
      <c r="EB110" s="12">
        <f t="shared" si="143"/>
        <v>4</v>
      </c>
      <c r="EC110" s="7">
        <f>ROUND(MAX(DV110,DX110)/'Inputs-Imperial'!$E$21,0)</f>
        <v>8</v>
      </c>
      <c r="ED110" s="12">
        <f t="shared" si="144"/>
        <v>8</v>
      </c>
      <c r="EE110" s="2">
        <f t="shared" si="145"/>
        <v>4</v>
      </c>
      <c r="EF110" s="127">
        <f t="shared" si="146"/>
        <v>4</v>
      </c>
      <c r="EG110" s="2">
        <f t="shared" si="147"/>
        <v>3.1496062992125991E-2</v>
      </c>
      <c r="EH110" s="8">
        <f t="shared" si="275"/>
        <v>0.30938779886705065</v>
      </c>
      <c r="EI110" s="138">
        <f t="shared" si="148"/>
        <v>0.5</v>
      </c>
      <c r="EJ110" s="12">
        <f t="shared" si="276"/>
        <v>12822.456198721657</v>
      </c>
      <c r="EK110" s="138">
        <f t="shared" si="149"/>
        <v>0.5</v>
      </c>
      <c r="EL110" s="116">
        <f t="shared" si="150"/>
        <v>2175570</v>
      </c>
      <c r="EM110" s="2">
        <f t="shared" si="277"/>
        <v>3.1496062992125991E-2</v>
      </c>
      <c r="EN110" s="8">
        <f t="shared" si="151"/>
        <v>9.0620081639999999</v>
      </c>
      <c r="EO110" s="116">
        <f t="shared" si="152"/>
        <v>2610.6840000000002</v>
      </c>
      <c r="EP110" s="217">
        <f t="shared" si="153"/>
        <v>0.78861653764231765</v>
      </c>
      <c r="EQ110" s="207">
        <f t="shared" si="154"/>
        <v>2</v>
      </c>
      <c r="ER110" s="144">
        <f t="shared" si="155"/>
        <v>32683.903659211359</v>
      </c>
      <c r="ES110" s="138">
        <f t="shared" si="278"/>
        <v>0.5</v>
      </c>
      <c r="ET110" s="116">
        <f t="shared" si="156"/>
        <v>2175570</v>
      </c>
      <c r="EU110" s="2">
        <f t="shared" si="279"/>
        <v>3.1496062992125991E-2</v>
      </c>
      <c r="EV110" s="8">
        <f t="shared" si="157"/>
        <v>9.0620081639999999</v>
      </c>
      <c r="EW110" s="116">
        <f t="shared" si="158"/>
        <v>2610.6840000000002</v>
      </c>
      <c r="EX110" s="217">
        <f t="shared" si="159"/>
        <v>0.78861653764231765</v>
      </c>
      <c r="EY110" s="207">
        <f t="shared" si="160"/>
        <v>2</v>
      </c>
      <c r="EZ110" s="144">
        <f t="shared" si="161"/>
        <v>32683.903659211359</v>
      </c>
      <c r="FA110" s="138">
        <f t="shared" si="280"/>
        <v>0.5</v>
      </c>
      <c r="FB110" s="116">
        <f t="shared" si="162"/>
        <v>2175570</v>
      </c>
      <c r="FC110" s="2">
        <f t="shared" si="281"/>
        <v>3.1496062992125991E-2</v>
      </c>
      <c r="FD110" s="8">
        <f t="shared" si="163"/>
        <v>9.0620081639999999</v>
      </c>
      <c r="FE110" s="116">
        <f t="shared" si="164"/>
        <v>2610.6840000000002</v>
      </c>
      <c r="FF110" s="217">
        <f t="shared" si="165"/>
        <v>0.78861653764231765</v>
      </c>
      <c r="FG110" s="207">
        <f t="shared" si="166"/>
        <v>2</v>
      </c>
      <c r="FH110" s="144">
        <f t="shared" si="167"/>
        <v>32683.903659211359</v>
      </c>
      <c r="FI110" s="128">
        <f t="shared" si="168"/>
        <v>0.5</v>
      </c>
      <c r="FJ110" s="2">
        <f t="shared" si="169"/>
        <v>3.1496062992125991E-2</v>
      </c>
      <c r="FK110" s="127">
        <f t="shared" si="170"/>
        <v>3.1496062992125991E-2</v>
      </c>
      <c r="FL110" s="216">
        <f t="shared" si="171"/>
        <v>0</v>
      </c>
      <c r="FM110" s="138">
        <f t="shared" si="172"/>
        <v>0</v>
      </c>
      <c r="FN110" s="138">
        <f t="shared" si="173"/>
        <v>0.5</v>
      </c>
      <c r="FO110" s="238">
        <f t="shared" si="174"/>
        <v>0</v>
      </c>
      <c r="FP110" s="216">
        <f t="shared" si="282"/>
        <v>0</v>
      </c>
      <c r="FQ110" s="138">
        <f t="shared" si="283"/>
        <v>0</v>
      </c>
      <c r="FR110" s="138">
        <f t="shared" si="284"/>
        <v>0.5</v>
      </c>
      <c r="FS110" s="238">
        <f t="shared" si="285"/>
        <v>0</v>
      </c>
      <c r="FT110" s="216">
        <f t="shared" si="175"/>
        <v>0</v>
      </c>
      <c r="FU110" s="138">
        <f t="shared" si="176"/>
        <v>0</v>
      </c>
      <c r="FV110" s="138">
        <f t="shared" si="177"/>
        <v>3.1496062992125991E-2</v>
      </c>
      <c r="FW110" s="238">
        <f t="shared" si="178"/>
        <v>0</v>
      </c>
      <c r="FX110" s="216">
        <f t="shared" si="286"/>
        <v>0</v>
      </c>
      <c r="FY110" s="138">
        <f t="shared" si="287"/>
        <v>0</v>
      </c>
      <c r="FZ110" s="138">
        <f t="shared" si="288"/>
        <v>3.1496062992125991E-2</v>
      </c>
      <c r="GA110" s="238">
        <f t="shared" si="289"/>
        <v>0</v>
      </c>
      <c r="GB110" s="216">
        <f t="shared" si="179"/>
        <v>0</v>
      </c>
      <c r="GC110" s="138">
        <f t="shared" si="180"/>
        <v>0</v>
      </c>
      <c r="GD110" s="138">
        <f t="shared" si="181"/>
        <v>3.1496062992125991E-2</v>
      </c>
      <c r="GE110" s="238">
        <f t="shared" si="182"/>
        <v>0</v>
      </c>
      <c r="GF110" s="216">
        <f t="shared" si="290"/>
        <v>0</v>
      </c>
      <c r="GG110" s="138">
        <f t="shared" si="291"/>
        <v>0</v>
      </c>
      <c r="GH110" s="138">
        <f t="shared" si="292"/>
        <v>3.1496062992125991E-2</v>
      </c>
      <c r="GI110" s="238">
        <f t="shared" si="293"/>
        <v>0</v>
      </c>
      <c r="GJ110" s="216">
        <f t="shared" si="183"/>
        <v>0.5</v>
      </c>
      <c r="GK110" s="216">
        <f t="shared" si="184"/>
        <v>3.1496062992125991E-2</v>
      </c>
      <c r="GL110" s="17">
        <f t="shared" si="185"/>
        <v>3.1496062992125991E-2</v>
      </c>
      <c r="GM110" s="216">
        <f t="shared" si="294"/>
        <v>1.5762378487599954E-2</v>
      </c>
      <c r="GN110" s="2">
        <f t="shared" si="187"/>
        <v>3</v>
      </c>
      <c r="GO110" s="2">
        <f t="shared" si="188"/>
        <v>2</v>
      </c>
      <c r="GP110" s="142">
        <f t="shared" si="189"/>
        <v>2</v>
      </c>
      <c r="GQ110" s="2">
        <f t="shared" si="190"/>
        <v>1.5748031496062995E-2</v>
      </c>
      <c r="GR110" s="8">
        <f t="shared" si="295"/>
        <v>0.16587986031149748</v>
      </c>
      <c r="GS110" s="138">
        <f t="shared" si="191"/>
        <v>0.25</v>
      </c>
      <c r="GT110" s="12">
        <f t="shared" si="296"/>
        <v>13749.651737289401</v>
      </c>
      <c r="GU110" s="138">
        <f t="shared" si="192"/>
        <v>0.25</v>
      </c>
      <c r="GV110" s="116">
        <f t="shared" si="193"/>
        <v>2175570</v>
      </c>
      <c r="GW110" s="2">
        <f t="shared" si="297"/>
        <v>3.1496062992125991E-2</v>
      </c>
      <c r="GX110" s="8">
        <f t="shared" si="298"/>
        <v>4.5310040819999999</v>
      </c>
      <c r="GY110" s="116">
        <f t="shared" si="194"/>
        <v>2610.6840000000002</v>
      </c>
      <c r="GZ110" s="217">
        <f t="shared" si="195"/>
        <v>1.5772330752846353</v>
      </c>
      <c r="HA110" s="207">
        <f t="shared" si="196"/>
        <v>2</v>
      </c>
      <c r="HB110" s="144">
        <f t="shared" si="197"/>
        <v>32683.903659211359</v>
      </c>
      <c r="HC110" s="138">
        <f t="shared" si="299"/>
        <v>0.25</v>
      </c>
      <c r="HD110" s="116">
        <f t="shared" si="198"/>
        <v>2175570</v>
      </c>
      <c r="HE110" s="2">
        <f t="shared" si="300"/>
        <v>3.1496062992125991E-2</v>
      </c>
      <c r="HF110" s="8">
        <f t="shared" si="199"/>
        <v>4.5310040819999999</v>
      </c>
      <c r="HG110" s="116">
        <f t="shared" si="200"/>
        <v>2610.6840000000002</v>
      </c>
      <c r="HH110" s="217">
        <f t="shared" si="201"/>
        <v>1.5772330752846353</v>
      </c>
      <c r="HI110" s="207">
        <f t="shared" si="202"/>
        <v>2</v>
      </c>
      <c r="HJ110" s="144">
        <f t="shared" si="203"/>
        <v>32683.903659211359</v>
      </c>
      <c r="HK110" s="138">
        <f t="shared" si="301"/>
        <v>0.25</v>
      </c>
      <c r="HL110" s="116">
        <f t="shared" si="204"/>
        <v>2175570</v>
      </c>
      <c r="HM110" s="2">
        <f t="shared" si="302"/>
        <v>3.1496062992125991E-2</v>
      </c>
      <c r="HN110" s="8">
        <f t="shared" si="205"/>
        <v>4.5310040819999999</v>
      </c>
      <c r="HO110" s="116">
        <f t="shared" si="206"/>
        <v>2610.6840000000002</v>
      </c>
      <c r="HP110" s="217">
        <f t="shared" si="207"/>
        <v>1.5772330752846353</v>
      </c>
      <c r="HQ110" s="207">
        <f t="shared" si="208"/>
        <v>2</v>
      </c>
      <c r="HR110" s="144">
        <f t="shared" si="209"/>
        <v>32683.903659211359</v>
      </c>
      <c r="HS110" s="128">
        <f t="shared" si="210"/>
        <v>0.25</v>
      </c>
      <c r="HT110" s="2">
        <f t="shared" si="211"/>
        <v>1.5748031496062995E-2</v>
      </c>
      <c r="HU110" s="127">
        <f t="shared" si="212"/>
        <v>1.5748031496062995E-2</v>
      </c>
      <c r="HV110" s="216">
        <f t="shared" si="213"/>
        <v>0</v>
      </c>
      <c r="HW110" s="138">
        <f t="shared" si="214"/>
        <v>0</v>
      </c>
      <c r="HX110" s="138">
        <f t="shared" si="215"/>
        <v>0.25</v>
      </c>
      <c r="HY110" s="238">
        <f t="shared" si="216"/>
        <v>0</v>
      </c>
      <c r="HZ110" s="138">
        <f t="shared" si="217"/>
        <v>0</v>
      </c>
      <c r="IA110" s="138">
        <f t="shared" si="218"/>
        <v>0</v>
      </c>
      <c r="IB110" s="138">
        <f t="shared" si="219"/>
        <v>0.25</v>
      </c>
      <c r="IC110" s="138">
        <f t="shared" si="220"/>
        <v>0</v>
      </c>
      <c r="ID110" s="216">
        <f t="shared" si="221"/>
        <v>0</v>
      </c>
      <c r="IE110" s="138">
        <f t="shared" si="222"/>
        <v>0</v>
      </c>
      <c r="IF110" s="138">
        <f t="shared" si="223"/>
        <v>1.5748031496062995E-2</v>
      </c>
      <c r="IG110" s="238">
        <f t="shared" si="224"/>
        <v>0</v>
      </c>
      <c r="IH110" s="138">
        <f t="shared" si="225"/>
        <v>0</v>
      </c>
      <c r="II110" s="138">
        <f t="shared" si="226"/>
        <v>0</v>
      </c>
      <c r="IJ110" s="138">
        <f t="shared" si="227"/>
        <v>1.5748031496062995E-2</v>
      </c>
      <c r="IK110" s="138">
        <f t="shared" si="228"/>
        <v>0</v>
      </c>
      <c r="IL110" s="216">
        <f t="shared" si="229"/>
        <v>0</v>
      </c>
      <c r="IM110" s="138">
        <f t="shared" si="230"/>
        <v>0</v>
      </c>
      <c r="IN110" s="138">
        <f t="shared" si="231"/>
        <v>1.5748031496062995E-2</v>
      </c>
      <c r="IO110" s="238">
        <f t="shared" si="232"/>
        <v>0</v>
      </c>
      <c r="IP110" s="138">
        <f t="shared" si="233"/>
        <v>0</v>
      </c>
      <c r="IQ110" s="138">
        <f t="shared" si="234"/>
        <v>0</v>
      </c>
      <c r="IR110" s="138">
        <f t="shared" si="235"/>
        <v>1.5748031496062995E-2</v>
      </c>
      <c r="IS110" s="138">
        <f t="shared" si="236"/>
        <v>0</v>
      </c>
      <c r="IT110" s="17">
        <f t="shared" si="237"/>
        <v>0.25</v>
      </c>
      <c r="IU110" s="17">
        <f t="shared" si="238"/>
        <v>1.5748031496062995E-2</v>
      </c>
      <c r="IV110" s="17">
        <f t="shared" si="239"/>
        <v>1.5748031496062995E-2</v>
      </c>
      <c r="IW110" s="253">
        <f t="shared" si="240"/>
        <v>25.172244899999999</v>
      </c>
      <c r="IX110" s="116">
        <f t="shared" si="303"/>
        <v>1067.3289996299854</v>
      </c>
      <c r="IY110" s="8">
        <f t="shared" si="242"/>
        <v>2.7596104114869516E-2</v>
      </c>
      <c r="IZ110" s="8">
        <f t="shared" si="243"/>
        <v>2.7596104114869516E-2</v>
      </c>
      <c r="JA110" s="8">
        <f t="shared" si="244"/>
        <v>1.3798052057434758E-2</v>
      </c>
      <c r="JB110" s="134">
        <f t="shared" si="245"/>
        <v>0.11746510995795627</v>
      </c>
      <c r="JC110" s="170">
        <f>MAX(JA$110:JA$119)</f>
        <v>1.3798052057434758E-2</v>
      </c>
      <c r="JD110" s="272">
        <f>MAX(JB$110:JB$119)</f>
        <v>0.11746510995795627</v>
      </c>
      <c r="JE110" s="8"/>
      <c r="JF110" s="8"/>
    </row>
    <row r="111" spans="1:266" x14ac:dyDescent="0.25">
      <c r="A111" s="186">
        <v>51</v>
      </c>
      <c r="B111" s="187">
        <f>A111/100*'Inputs-Imperial'!$E$5</f>
        <v>12.281496455999999</v>
      </c>
      <c r="C111" s="188">
        <f>'Inputs-Imperial'!$E$10+('Inputs-Imperial'!$E$9-'Inputs-Imperial'!$E$10)*(100-A111)/100</f>
        <v>4.1775755930000003</v>
      </c>
      <c r="D111" s="187">
        <f t="shared" si="248"/>
        <v>0.24081365600000026</v>
      </c>
      <c r="E111" s="188">
        <f t="shared" si="249"/>
        <v>1.0081603195580462</v>
      </c>
      <c r="F111" s="423">
        <f>Loads!P71</f>
        <v>396.45979141487788</v>
      </c>
      <c r="G111" s="423">
        <f>Loads!M71</f>
        <v>3964.5979141487787</v>
      </c>
      <c r="H111" s="423">
        <f>Loads!N71</f>
        <v>21409.979315922519</v>
      </c>
      <c r="I111" s="423">
        <f>Loads!V71</f>
        <v>-7836.3185374736613</v>
      </c>
      <c r="J111" s="423">
        <f>Loads!Q71</f>
        <v>2140.9979315922524</v>
      </c>
      <c r="K111" s="2">
        <v>51</v>
      </c>
      <c r="L111" s="12">
        <f t="shared" si="41"/>
        <v>147.37795747199999</v>
      </c>
      <c r="M111" s="11">
        <f t="shared" si="42"/>
        <v>50.130907116000003</v>
      </c>
      <c r="N111" s="11">
        <f t="shared" si="43"/>
        <v>2.8897638720000032</v>
      </c>
      <c r="O111" s="152">
        <f t="shared" si="44"/>
        <v>145.17508601635865</v>
      </c>
      <c r="P111" s="151">
        <f t="shared" si="45"/>
        <v>396.45979141487788</v>
      </c>
      <c r="Q111" s="12">
        <f t="shared" si="46"/>
        <v>3964.5979141487787</v>
      </c>
      <c r="R111" s="12">
        <f t="shared" si="47"/>
        <v>256919.75179107022</v>
      </c>
      <c r="S111" s="12">
        <f t="shared" si="48"/>
        <v>-94035.822449683939</v>
      </c>
      <c r="T111" s="152">
        <f t="shared" si="49"/>
        <v>25691.97517910703</v>
      </c>
      <c r="U111" s="8">
        <f t="shared" si="261"/>
        <v>9.0235632808799995</v>
      </c>
      <c r="V111" s="8">
        <f t="shared" si="262"/>
        <v>9.0235632808799995</v>
      </c>
      <c r="W111" s="134">
        <f t="shared" si="263"/>
        <v>4.5117816404399997</v>
      </c>
      <c r="X111" s="311">
        <f t="shared" si="264"/>
        <v>12.532726779000001</v>
      </c>
      <c r="Y111" s="11">
        <f t="shared" si="265"/>
        <v>37.598180337000002</v>
      </c>
      <c r="Z111" s="11">
        <f t="shared" si="266"/>
        <v>25.065453558000002</v>
      </c>
      <c r="AA111" s="316">
        <f t="shared" si="50"/>
        <v>37.598180337000002</v>
      </c>
      <c r="AB111" s="170">
        <f t="shared" si="51"/>
        <v>6.7676724606600001</v>
      </c>
      <c r="AC111" s="11">
        <f t="shared" si="52"/>
        <v>37.598180337000002</v>
      </c>
      <c r="AD111" s="152">
        <f t="shared" si="53"/>
        <v>199.84626670590094</v>
      </c>
      <c r="AE111" s="151">
        <f t="shared" si="267"/>
        <v>10.544653700294258</v>
      </c>
      <c r="AF111" s="12">
        <f t="shared" si="268"/>
        <v>235.27040059264542</v>
      </c>
      <c r="AG111" s="216">
        <f t="shared" si="269"/>
        <v>1.6104778824309326E-2</v>
      </c>
      <c r="AH111" s="2">
        <f t="shared" si="55"/>
        <v>3</v>
      </c>
      <c r="AI111" s="2">
        <f t="shared" si="56"/>
        <v>3</v>
      </c>
      <c r="AJ111" s="127">
        <f t="shared" si="57"/>
        <v>2</v>
      </c>
      <c r="AK111" s="2">
        <f t="shared" si="58"/>
        <v>1.5748031496062995E-2</v>
      </c>
      <c r="AL111" s="8">
        <f t="shared" si="270"/>
        <v>0.16948320736147743</v>
      </c>
      <c r="AM111" s="138">
        <f t="shared" si="59"/>
        <v>0.25</v>
      </c>
      <c r="AN111" s="12">
        <f t="shared" si="271"/>
        <v>14048.330352841498</v>
      </c>
      <c r="AO111" s="138">
        <f t="shared" si="60"/>
        <v>0.25</v>
      </c>
      <c r="AP111" s="116">
        <f t="shared" si="61"/>
        <v>2175570</v>
      </c>
      <c r="AQ111" s="2">
        <f t="shared" si="62"/>
        <v>1.5748031496062995E-2</v>
      </c>
      <c r="AR111" s="8">
        <f t="shared" si="63"/>
        <v>25.065453558000002</v>
      </c>
      <c r="AS111" s="116">
        <f t="shared" si="64"/>
        <v>2610.6840000000002</v>
      </c>
      <c r="AT111" s="217">
        <f t="shared" si="65"/>
        <v>2.5769361143289305E-2</v>
      </c>
      <c r="AU111" s="207">
        <f t="shared" si="66"/>
        <v>4.8627875061073036</v>
      </c>
      <c r="AV111" s="144">
        <f t="shared" si="67"/>
        <v>2596.7311635972915</v>
      </c>
      <c r="AW111" s="138">
        <f t="shared" si="68"/>
        <v>1.5</v>
      </c>
      <c r="AX111" s="116">
        <f t="shared" si="69"/>
        <v>2175570</v>
      </c>
      <c r="AY111" s="2">
        <f t="shared" si="70"/>
        <v>1.5748031496062995E-2</v>
      </c>
      <c r="AZ111" s="8">
        <f t="shared" si="71"/>
        <v>25.065453558000002</v>
      </c>
      <c r="BA111" s="116">
        <f t="shared" si="72"/>
        <v>2610.6840000000002</v>
      </c>
      <c r="BB111" s="217">
        <f t="shared" si="73"/>
        <v>0.15461616685973584</v>
      </c>
      <c r="BC111" s="207">
        <f t="shared" si="74"/>
        <v>3.4067059680089109</v>
      </c>
      <c r="BD111" s="144">
        <f t="shared" si="75"/>
        <v>65490.581993214233</v>
      </c>
      <c r="BE111" s="138">
        <f t="shared" si="76"/>
        <v>1.5</v>
      </c>
      <c r="BF111" s="116">
        <f t="shared" si="77"/>
        <v>2175570</v>
      </c>
      <c r="BG111" s="2">
        <f t="shared" si="78"/>
        <v>1.5748031496062995E-2</v>
      </c>
      <c r="BH111" s="8">
        <f t="shared" si="79"/>
        <v>25.065453558000002</v>
      </c>
      <c r="BI111" s="116">
        <f t="shared" si="80"/>
        <v>2610.6840000000002</v>
      </c>
      <c r="BJ111" s="217">
        <f t="shared" si="81"/>
        <v>0.15461616685973584</v>
      </c>
      <c r="BK111" s="207">
        <f t="shared" si="82"/>
        <v>3.4067059680089109</v>
      </c>
      <c r="BL111" s="144">
        <f t="shared" si="83"/>
        <v>65490.581993214233</v>
      </c>
      <c r="BM111" s="216">
        <f t="shared" si="84"/>
        <v>1.5</v>
      </c>
      <c r="BN111" s="216">
        <f t="shared" si="85"/>
        <v>2.3622047244094495E-2</v>
      </c>
      <c r="BO111" s="238">
        <f t="shared" si="86"/>
        <v>1.5748031496062995E-2</v>
      </c>
      <c r="BP111" s="216">
        <f t="shared" si="87"/>
        <v>0</v>
      </c>
      <c r="BQ111" s="138">
        <f t="shared" si="88"/>
        <v>0</v>
      </c>
      <c r="BR111" s="138">
        <f t="shared" si="89"/>
        <v>1.5</v>
      </c>
      <c r="BS111" s="238">
        <f t="shared" si="90"/>
        <v>0</v>
      </c>
      <c r="BT111" s="138">
        <f t="shared" si="91"/>
        <v>0</v>
      </c>
      <c r="BU111" s="138">
        <f t="shared" si="92"/>
        <v>0</v>
      </c>
      <c r="BV111" s="138">
        <f t="shared" si="93"/>
        <v>1.5</v>
      </c>
      <c r="BW111" s="238">
        <f t="shared" si="94"/>
        <v>0</v>
      </c>
      <c r="BX111" s="216">
        <f t="shared" si="95"/>
        <v>0</v>
      </c>
      <c r="BY111" s="138">
        <f t="shared" si="96"/>
        <v>0</v>
      </c>
      <c r="BZ111" s="138">
        <f t="shared" si="97"/>
        <v>2.3622047244094495E-2</v>
      </c>
      <c r="CA111" s="238">
        <f t="shared" si="98"/>
        <v>0</v>
      </c>
      <c r="CB111" s="138">
        <f t="shared" si="99"/>
        <v>0</v>
      </c>
      <c r="CC111" s="138">
        <f t="shared" si="100"/>
        <v>0</v>
      </c>
      <c r="CD111" s="138">
        <f t="shared" si="101"/>
        <v>2.3622047244094495E-2</v>
      </c>
      <c r="CE111" s="238">
        <f t="shared" si="102"/>
        <v>0</v>
      </c>
      <c r="CF111" s="216">
        <f t="shared" si="103"/>
        <v>0</v>
      </c>
      <c r="CG111" s="138">
        <f t="shared" si="104"/>
        <v>0</v>
      </c>
      <c r="CH111" s="138">
        <f t="shared" si="105"/>
        <v>1.5748031496062995E-2</v>
      </c>
      <c r="CI111" s="238">
        <f t="shared" si="106"/>
        <v>0</v>
      </c>
      <c r="CJ111" s="138">
        <f t="shared" si="107"/>
        <v>0</v>
      </c>
      <c r="CK111" s="138">
        <f t="shared" si="108"/>
        <v>0</v>
      </c>
      <c r="CL111" s="138">
        <f t="shared" si="109"/>
        <v>1.5748031496062995E-2</v>
      </c>
      <c r="CM111" s="238">
        <f t="shared" si="110"/>
        <v>0</v>
      </c>
      <c r="CN111" s="17">
        <f t="shared" si="111"/>
        <v>1.5</v>
      </c>
      <c r="CO111" s="17">
        <f t="shared" si="112"/>
        <v>2.3622047244094495E-2</v>
      </c>
      <c r="CP111" s="17">
        <f t="shared" si="113"/>
        <v>1.5748031496062995E-2</v>
      </c>
      <c r="CQ111" s="17">
        <f>$U111-IF('Inputs-Imperial'!$E$13,0,2)*($CO111+$CN111+$CP111)</f>
        <v>9.0235632808799995</v>
      </c>
      <c r="CR111" s="116">
        <f t="shared" si="114"/>
        <v>28472.095090800405</v>
      </c>
      <c r="CS111" s="8">
        <f t="shared" si="10"/>
        <v>0.73615436361851039</v>
      </c>
      <c r="CT111" s="8">
        <f t="shared" si="115"/>
        <v>0.85799438437469411</v>
      </c>
      <c r="CU111" s="8">
        <f t="shared" si="272"/>
        <v>0.73615436361851039</v>
      </c>
      <c r="CV111" s="8">
        <f t="shared" si="116"/>
        <v>0.85799438437469411</v>
      </c>
      <c r="CW111" s="216">
        <f t="shared" si="117"/>
        <v>8.1655688965053042</v>
      </c>
      <c r="CX111" s="116">
        <f t="shared" si="118"/>
        <v>31463.790832874682</v>
      </c>
      <c r="CY111" s="8">
        <f t="shared" si="119"/>
        <v>0.81350553388270697</v>
      </c>
      <c r="CZ111" s="8">
        <f t="shared" si="120"/>
        <v>0.90194541624352575</v>
      </c>
      <c r="DA111" s="8">
        <f t="shared" si="121"/>
        <v>0.81350553388270697</v>
      </c>
      <c r="DB111" s="8">
        <f t="shared" si="122"/>
        <v>0.90194541624352575</v>
      </c>
      <c r="DC111" s="216">
        <f t="shared" si="123"/>
        <v>8.1216178646364749</v>
      </c>
      <c r="DD111" s="116">
        <f t="shared" si="124"/>
        <v>31634.060611219116</v>
      </c>
      <c r="DE111" s="8">
        <f t="shared" si="125"/>
        <v>0.81790790890712561</v>
      </c>
      <c r="DF111" s="8">
        <f t="shared" si="126"/>
        <v>0.90438261201060566</v>
      </c>
      <c r="DG111" s="8">
        <f t="shared" si="127"/>
        <v>0.81790790890712561</v>
      </c>
      <c r="DH111" s="8">
        <f t="shared" si="128"/>
        <v>0.90438261201060566</v>
      </c>
      <c r="DI111" s="216">
        <f t="shared" si="129"/>
        <v>8.1191806688693955</v>
      </c>
      <c r="DJ111" s="116">
        <f t="shared" si="130"/>
        <v>31643.556446052895</v>
      </c>
      <c r="DK111" s="8">
        <f t="shared" si="131"/>
        <v>0.81815342649994038</v>
      </c>
      <c r="DL111" s="8">
        <f t="shared" si="132"/>
        <v>0.90451833950447924</v>
      </c>
      <c r="DM111" s="8">
        <f t="shared" si="133"/>
        <v>0.81815342649994038</v>
      </c>
      <c r="DN111" s="8">
        <f t="shared" si="134"/>
        <v>0.90451833950447924</v>
      </c>
      <c r="DO111" s="216">
        <f t="shared" si="135"/>
        <v>8.1190449413755186</v>
      </c>
      <c r="DP111" s="116">
        <f t="shared" si="136"/>
        <v>31644.085436918791</v>
      </c>
      <c r="DQ111" s="170">
        <f t="shared" si="137"/>
        <v>0.81816710371382295</v>
      </c>
      <c r="DR111" s="8">
        <f t="shared" si="138"/>
        <v>0.90452589996849897</v>
      </c>
      <c r="DS111" s="8">
        <f t="shared" si="139"/>
        <v>0.81816710371382295</v>
      </c>
      <c r="DT111" s="134">
        <f t="shared" si="140"/>
        <v>0.90452589996849897</v>
      </c>
      <c r="DU111" s="170">
        <f t="shared" ref="DU111:DX119" si="307">MAX(DQ$110:DQ$119)</f>
        <v>0.85358264160295871</v>
      </c>
      <c r="DV111" s="170">
        <f t="shared" si="307"/>
        <v>0.92389536290802909</v>
      </c>
      <c r="DW111" s="170">
        <f t="shared" si="307"/>
        <v>0.85358264160295871</v>
      </c>
      <c r="DX111" s="272">
        <f t="shared" si="307"/>
        <v>0.92389536290802909</v>
      </c>
      <c r="DY111" s="272">
        <f t="shared" si="142"/>
        <v>7.1757725550639417</v>
      </c>
      <c r="DZ111" s="22">
        <f t="shared" si="273"/>
        <v>439.36057084559411</v>
      </c>
      <c r="EA111" s="216">
        <f t="shared" si="274"/>
        <v>2.8785075177528759E-2</v>
      </c>
      <c r="EB111" s="12">
        <f t="shared" si="143"/>
        <v>4</v>
      </c>
      <c r="EC111" s="7">
        <f>ROUND(MAX(DV111,DX111)/'Inputs-Imperial'!$E$21,0)</f>
        <v>8</v>
      </c>
      <c r="ED111" s="12">
        <f t="shared" si="144"/>
        <v>8</v>
      </c>
      <c r="EE111" s="2">
        <f t="shared" si="145"/>
        <v>4</v>
      </c>
      <c r="EF111" s="127">
        <f t="shared" si="146"/>
        <v>4</v>
      </c>
      <c r="EG111" s="2">
        <f t="shared" si="147"/>
        <v>3.1496062992125991E-2</v>
      </c>
      <c r="EH111" s="8">
        <f t="shared" si="275"/>
        <v>0.30292790223637533</v>
      </c>
      <c r="EI111" s="138">
        <f t="shared" si="148"/>
        <v>0.5</v>
      </c>
      <c r="EJ111" s="12">
        <f t="shared" si="276"/>
        <v>12554.72831191285</v>
      </c>
      <c r="EK111" s="138">
        <f t="shared" si="149"/>
        <v>0.5</v>
      </c>
      <c r="EL111" s="116">
        <f t="shared" si="150"/>
        <v>2175570</v>
      </c>
      <c r="EM111" s="2">
        <f t="shared" si="277"/>
        <v>3.1496062992125991E-2</v>
      </c>
      <c r="EN111" s="8">
        <f t="shared" si="151"/>
        <v>9.0235632808799995</v>
      </c>
      <c r="EO111" s="116">
        <f t="shared" si="152"/>
        <v>2610.6840000000002</v>
      </c>
      <c r="EP111" s="217">
        <f t="shared" si="153"/>
        <v>0.79535065257065773</v>
      </c>
      <c r="EQ111" s="207">
        <f t="shared" si="154"/>
        <v>2</v>
      </c>
      <c r="ER111" s="144">
        <f t="shared" si="155"/>
        <v>32962.996416010421</v>
      </c>
      <c r="ES111" s="138">
        <f t="shared" si="278"/>
        <v>0.5</v>
      </c>
      <c r="ET111" s="116">
        <f t="shared" si="156"/>
        <v>2175570</v>
      </c>
      <c r="EU111" s="2">
        <f t="shared" si="279"/>
        <v>3.1496062992125991E-2</v>
      </c>
      <c r="EV111" s="8">
        <f t="shared" si="157"/>
        <v>9.0235632808799995</v>
      </c>
      <c r="EW111" s="116">
        <f t="shared" si="158"/>
        <v>2610.6840000000002</v>
      </c>
      <c r="EX111" s="217">
        <f t="shared" si="159"/>
        <v>0.79535065257065773</v>
      </c>
      <c r="EY111" s="207">
        <f t="shared" si="160"/>
        <v>2</v>
      </c>
      <c r="EZ111" s="144">
        <f t="shared" si="161"/>
        <v>32962.996416010421</v>
      </c>
      <c r="FA111" s="138">
        <f t="shared" si="280"/>
        <v>0.5</v>
      </c>
      <c r="FB111" s="116">
        <f t="shared" si="162"/>
        <v>2175570</v>
      </c>
      <c r="FC111" s="2">
        <f t="shared" si="281"/>
        <v>3.1496062992125991E-2</v>
      </c>
      <c r="FD111" s="8">
        <f t="shared" si="163"/>
        <v>9.0235632808799995</v>
      </c>
      <c r="FE111" s="116">
        <f t="shared" si="164"/>
        <v>2610.6840000000002</v>
      </c>
      <c r="FF111" s="217">
        <f t="shared" si="165"/>
        <v>0.79535065257065773</v>
      </c>
      <c r="FG111" s="207">
        <f t="shared" si="166"/>
        <v>2</v>
      </c>
      <c r="FH111" s="144">
        <f t="shared" si="167"/>
        <v>32962.996416010421</v>
      </c>
      <c r="FI111" s="128">
        <f t="shared" si="168"/>
        <v>0.5</v>
      </c>
      <c r="FJ111" s="2">
        <f t="shared" si="169"/>
        <v>3.1496062992125991E-2</v>
      </c>
      <c r="FK111" s="127">
        <f t="shared" si="170"/>
        <v>3.1496062992125991E-2</v>
      </c>
      <c r="FL111" s="216">
        <f t="shared" si="171"/>
        <v>0</v>
      </c>
      <c r="FM111" s="138">
        <f t="shared" si="172"/>
        <v>0</v>
      </c>
      <c r="FN111" s="138">
        <f t="shared" si="173"/>
        <v>0.5</v>
      </c>
      <c r="FO111" s="238">
        <f t="shared" si="174"/>
        <v>0</v>
      </c>
      <c r="FP111" s="216">
        <f t="shared" si="282"/>
        <v>0</v>
      </c>
      <c r="FQ111" s="138">
        <f t="shared" si="283"/>
        <v>0</v>
      </c>
      <c r="FR111" s="138">
        <f t="shared" si="284"/>
        <v>0.5</v>
      </c>
      <c r="FS111" s="238">
        <f t="shared" si="285"/>
        <v>0</v>
      </c>
      <c r="FT111" s="216">
        <f t="shared" si="175"/>
        <v>0</v>
      </c>
      <c r="FU111" s="138">
        <f t="shared" si="176"/>
        <v>0</v>
      </c>
      <c r="FV111" s="138">
        <f t="shared" si="177"/>
        <v>3.1496062992125991E-2</v>
      </c>
      <c r="FW111" s="238">
        <f t="shared" si="178"/>
        <v>0</v>
      </c>
      <c r="FX111" s="216">
        <f t="shared" si="286"/>
        <v>0</v>
      </c>
      <c r="FY111" s="138">
        <f t="shared" si="287"/>
        <v>0</v>
      </c>
      <c r="FZ111" s="138">
        <f t="shared" si="288"/>
        <v>3.1496062992125991E-2</v>
      </c>
      <c r="GA111" s="238">
        <f t="shared" si="289"/>
        <v>0</v>
      </c>
      <c r="GB111" s="216">
        <f t="shared" si="179"/>
        <v>0</v>
      </c>
      <c r="GC111" s="138">
        <f t="shared" si="180"/>
        <v>0</v>
      </c>
      <c r="GD111" s="138">
        <f t="shared" si="181"/>
        <v>3.1496062992125991E-2</v>
      </c>
      <c r="GE111" s="238">
        <f t="shared" si="182"/>
        <v>0</v>
      </c>
      <c r="GF111" s="216">
        <f t="shared" si="290"/>
        <v>0</v>
      </c>
      <c r="GG111" s="138">
        <f t="shared" si="291"/>
        <v>0</v>
      </c>
      <c r="GH111" s="138">
        <f t="shared" si="292"/>
        <v>3.1496062992125991E-2</v>
      </c>
      <c r="GI111" s="238">
        <f t="shared" si="293"/>
        <v>0</v>
      </c>
      <c r="GJ111" s="216">
        <f t="shared" si="183"/>
        <v>0.5</v>
      </c>
      <c r="GK111" s="216">
        <f t="shared" si="184"/>
        <v>3.1496062992125991E-2</v>
      </c>
      <c r="GL111" s="17">
        <f t="shared" si="185"/>
        <v>3.1496062992125991E-2</v>
      </c>
      <c r="GM111" s="216">
        <f t="shared" si="294"/>
        <v>1.5413937020048637E-2</v>
      </c>
      <c r="GN111" s="2">
        <f t="shared" si="187"/>
        <v>2</v>
      </c>
      <c r="GO111" s="2">
        <f t="shared" si="188"/>
        <v>2</v>
      </c>
      <c r="GP111" s="142">
        <f t="shared" si="189"/>
        <v>2</v>
      </c>
      <c r="GQ111" s="2">
        <f t="shared" si="190"/>
        <v>1.5748031496062995E-2</v>
      </c>
      <c r="GR111" s="8">
        <f t="shared" si="295"/>
        <v>0.16221293770780443</v>
      </c>
      <c r="GS111" s="138">
        <f t="shared" si="191"/>
        <v>0.25</v>
      </c>
      <c r="GT111" s="12">
        <f t="shared" si="296"/>
        <v>13445.703393869682</v>
      </c>
      <c r="GU111" s="138">
        <f t="shared" si="192"/>
        <v>0.25</v>
      </c>
      <c r="GV111" s="116">
        <f t="shared" si="193"/>
        <v>2175570</v>
      </c>
      <c r="GW111" s="2">
        <f t="shared" si="297"/>
        <v>3.1496062992125991E-2</v>
      </c>
      <c r="GX111" s="8">
        <f t="shared" si="298"/>
        <v>4.5117816404399997</v>
      </c>
      <c r="GY111" s="116">
        <f t="shared" si="194"/>
        <v>2610.6840000000002</v>
      </c>
      <c r="GZ111" s="217">
        <f t="shared" si="195"/>
        <v>1.5907013051413155</v>
      </c>
      <c r="HA111" s="207">
        <f t="shared" si="196"/>
        <v>2</v>
      </c>
      <c r="HB111" s="144">
        <f t="shared" si="197"/>
        <v>32962.996416010421</v>
      </c>
      <c r="HC111" s="138">
        <f t="shared" si="299"/>
        <v>0.25</v>
      </c>
      <c r="HD111" s="116">
        <f t="shared" si="198"/>
        <v>2175570</v>
      </c>
      <c r="HE111" s="2">
        <f t="shared" si="300"/>
        <v>3.1496062992125991E-2</v>
      </c>
      <c r="HF111" s="8">
        <f t="shared" si="199"/>
        <v>4.5117816404399997</v>
      </c>
      <c r="HG111" s="116">
        <f t="shared" si="200"/>
        <v>2610.6840000000002</v>
      </c>
      <c r="HH111" s="217">
        <f t="shared" si="201"/>
        <v>1.5907013051413155</v>
      </c>
      <c r="HI111" s="207">
        <f t="shared" si="202"/>
        <v>2</v>
      </c>
      <c r="HJ111" s="144">
        <f t="shared" si="203"/>
        <v>32962.996416010421</v>
      </c>
      <c r="HK111" s="138">
        <f t="shared" si="301"/>
        <v>0.25</v>
      </c>
      <c r="HL111" s="116">
        <f t="shared" si="204"/>
        <v>2175570</v>
      </c>
      <c r="HM111" s="2">
        <f t="shared" si="302"/>
        <v>3.1496062992125991E-2</v>
      </c>
      <c r="HN111" s="8">
        <f t="shared" si="205"/>
        <v>4.5117816404399997</v>
      </c>
      <c r="HO111" s="116">
        <f t="shared" si="206"/>
        <v>2610.6840000000002</v>
      </c>
      <c r="HP111" s="217">
        <f t="shared" si="207"/>
        <v>1.5907013051413155</v>
      </c>
      <c r="HQ111" s="207">
        <f t="shared" si="208"/>
        <v>2</v>
      </c>
      <c r="HR111" s="144">
        <f t="shared" si="209"/>
        <v>32962.996416010421</v>
      </c>
      <c r="HS111" s="128">
        <f t="shared" si="210"/>
        <v>0.25</v>
      </c>
      <c r="HT111" s="2">
        <f t="shared" si="211"/>
        <v>1.5748031496062995E-2</v>
      </c>
      <c r="HU111" s="127">
        <f t="shared" si="212"/>
        <v>1.5748031496062995E-2</v>
      </c>
      <c r="HV111" s="216">
        <f t="shared" si="213"/>
        <v>0</v>
      </c>
      <c r="HW111" s="138">
        <f t="shared" si="214"/>
        <v>0</v>
      </c>
      <c r="HX111" s="138">
        <f t="shared" si="215"/>
        <v>0.25</v>
      </c>
      <c r="HY111" s="238">
        <f t="shared" si="216"/>
        <v>0</v>
      </c>
      <c r="HZ111" s="138">
        <f t="shared" si="217"/>
        <v>0</v>
      </c>
      <c r="IA111" s="138">
        <f t="shared" si="218"/>
        <v>0</v>
      </c>
      <c r="IB111" s="138">
        <f t="shared" si="219"/>
        <v>0.25</v>
      </c>
      <c r="IC111" s="138">
        <f t="shared" si="220"/>
        <v>0</v>
      </c>
      <c r="ID111" s="216">
        <f t="shared" si="221"/>
        <v>0</v>
      </c>
      <c r="IE111" s="138">
        <f t="shared" si="222"/>
        <v>0</v>
      </c>
      <c r="IF111" s="138">
        <f t="shared" si="223"/>
        <v>1.5748031496062995E-2</v>
      </c>
      <c r="IG111" s="238">
        <f t="shared" si="224"/>
        <v>0</v>
      </c>
      <c r="IH111" s="138">
        <f t="shared" si="225"/>
        <v>0</v>
      </c>
      <c r="II111" s="138">
        <f t="shared" si="226"/>
        <v>0</v>
      </c>
      <c r="IJ111" s="138">
        <f t="shared" si="227"/>
        <v>1.5748031496062995E-2</v>
      </c>
      <c r="IK111" s="138">
        <f t="shared" si="228"/>
        <v>0</v>
      </c>
      <c r="IL111" s="216">
        <f t="shared" si="229"/>
        <v>0</v>
      </c>
      <c r="IM111" s="138">
        <f t="shared" si="230"/>
        <v>0</v>
      </c>
      <c r="IN111" s="138">
        <f t="shared" si="231"/>
        <v>1.5748031496062995E-2</v>
      </c>
      <c r="IO111" s="238">
        <f t="shared" si="232"/>
        <v>0</v>
      </c>
      <c r="IP111" s="138">
        <f t="shared" si="233"/>
        <v>0</v>
      </c>
      <c r="IQ111" s="138">
        <f t="shared" si="234"/>
        <v>0</v>
      </c>
      <c r="IR111" s="138">
        <f t="shared" si="235"/>
        <v>1.5748031496062995E-2</v>
      </c>
      <c r="IS111" s="138">
        <f t="shared" si="236"/>
        <v>0</v>
      </c>
      <c r="IT111" s="17">
        <f t="shared" si="237"/>
        <v>0.25</v>
      </c>
      <c r="IU111" s="17">
        <f t="shared" si="238"/>
        <v>1.5748031496062995E-2</v>
      </c>
      <c r="IV111" s="17">
        <f t="shared" si="239"/>
        <v>1.5748031496062995E-2</v>
      </c>
      <c r="IW111" s="253">
        <f t="shared" si="240"/>
        <v>25.065453558000002</v>
      </c>
      <c r="IX111" s="116">
        <f t="shared" si="303"/>
        <v>1024.9954232688146</v>
      </c>
      <c r="IY111" s="8">
        <f t="shared" si="242"/>
        <v>2.6501557090266376E-2</v>
      </c>
      <c r="IZ111" s="8">
        <f t="shared" si="243"/>
        <v>2.6501557090266376E-2</v>
      </c>
      <c r="JA111" s="8">
        <f t="shared" si="244"/>
        <v>1.3250778545133188E-2</v>
      </c>
      <c r="JB111" s="134">
        <f t="shared" si="245"/>
        <v>0.11511202606649397</v>
      </c>
      <c r="JC111" s="170">
        <f t="shared" ref="JC111:JC119" si="308">MAX(JA$110:JA$119)</f>
        <v>1.3798052057434758E-2</v>
      </c>
      <c r="JD111" s="272">
        <f t="shared" ref="JD111:JD119" si="309">MAX(JB$110:JB$119)</f>
        <v>0.11746510995795627</v>
      </c>
      <c r="JE111" s="8"/>
      <c r="JF111" s="8"/>
    </row>
    <row r="112" spans="1:266" x14ac:dyDescent="0.25">
      <c r="A112" s="186">
        <v>52</v>
      </c>
      <c r="B112" s="187">
        <f>A112/100*'Inputs-Imperial'!$E$5</f>
        <v>12.522310112</v>
      </c>
      <c r="C112" s="188">
        <f>'Inputs-Imperial'!$E$10+('Inputs-Imperial'!$E$9-'Inputs-Imperial'!$E$10)*(100-A112)/100</f>
        <v>4.1597770360000004</v>
      </c>
      <c r="D112" s="187">
        <f t="shared" si="248"/>
        <v>0.24081365600000026</v>
      </c>
      <c r="E112" s="188">
        <f t="shared" si="249"/>
        <v>1.003874183975352</v>
      </c>
      <c r="F112" s="423">
        <f>Loads!P72</f>
        <v>386.33745175608942</v>
      </c>
      <c r="G112" s="423">
        <f>Loads!M72</f>
        <v>3863.3745175608942</v>
      </c>
      <c r="H112" s="423">
        <f>Loads!N72</f>
        <v>20455.249997646377</v>
      </c>
      <c r="I112" s="423">
        <f>Loads!V72</f>
        <v>-7593.5154961427415</v>
      </c>
      <c r="J112" s="423">
        <f>Loads!Q72</f>
        <v>2045.5249997646381</v>
      </c>
      <c r="K112" s="2">
        <v>52</v>
      </c>
      <c r="L112" s="12">
        <f t="shared" si="41"/>
        <v>150.26772134399999</v>
      </c>
      <c r="M112" s="11">
        <f t="shared" si="42"/>
        <v>49.917324432000001</v>
      </c>
      <c r="N112" s="11">
        <f t="shared" si="43"/>
        <v>2.8897638720000032</v>
      </c>
      <c r="O112" s="152">
        <f t="shared" si="44"/>
        <v>144.55788249245069</v>
      </c>
      <c r="P112" s="151">
        <f t="shared" si="45"/>
        <v>386.33745175608942</v>
      </c>
      <c r="Q112" s="12">
        <f t="shared" si="46"/>
        <v>3863.3745175608942</v>
      </c>
      <c r="R112" s="12">
        <f t="shared" si="47"/>
        <v>245462.99997175654</v>
      </c>
      <c r="S112" s="12">
        <f t="shared" si="48"/>
        <v>-91122.185953712906</v>
      </c>
      <c r="T112" s="152">
        <f t="shared" si="49"/>
        <v>24546.299997175658</v>
      </c>
      <c r="U112" s="8">
        <f t="shared" si="261"/>
        <v>8.9851183977599991</v>
      </c>
      <c r="V112" s="8">
        <f t="shared" si="262"/>
        <v>8.9851183977599991</v>
      </c>
      <c r="W112" s="134">
        <f t="shared" si="263"/>
        <v>4.4925591988799995</v>
      </c>
      <c r="X112" s="311">
        <f t="shared" si="264"/>
        <v>12.479331108</v>
      </c>
      <c r="Y112" s="11">
        <f t="shared" si="265"/>
        <v>37.437993324000004</v>
      </c>
      <c r="Z112" s="11">
        <f t="shared" si="266"/>
        <v>24.958662216000004</v>
      </c>
      <c r="AA112" s="316">
        <f t="shared" si="50"/>
        <v>37.437993324000004</v>
      </c>
      <c r="AB112" s="170">
        <f t="shared" si="51"/>
        <v>6.7388387983199998</v>
      </c>
      <c r="AC112" s="11">
        <f t="shared" si="52"/>
        <v>37.437993324000004</v>
      </c>
      <c r="AD112" s="152">
        <f t="shared" si="53"/>
        <v>198.14700461215497</v>
      </c>
      <c r="AE112" s="151">
        <f t="shared" si="267"/>
        <v>10.319395284159739</v>
      </c>
      <c r="AF112" s="12">
        <f t="shared" si="268"/>
        <v>229.93581490689661</v>
      </c>
      <c r="AG112" s="216">
        <f t="shared" si="269"/>
        <v>1.5740520989019197E-2</v>
      </c>
      <c r="AH112" s="2">
        <f t="shared" si="55"/>
        <v>2</v>
      </c>
      <c r="AI112" s="2">
        <f t="shared" si="56"/>
        <v>3</v>
      </c>
      <c r="AJ112" s="127">
        <f t="shared" si="57"/>
        <v>2</v>
      </c>
      <c r="AK112" s="2">
        <f t="shared" si="58"/>
        <v>1.5748031496062995E-2</v>
      </c>
      <c r="AL112" s="8">
        <f t="shared" si="270"/>
        <v>0.16564983672627609</v>
      </c>
      <c r="AM112" s="138">
        <f t="shared" si="59"/>
        <v>0.25</v>
      </c>
      <c r="AN112" s="12">
        <f t="shared" si="271"/>
        <v>13730.585262418866</v>
      </c>
      <c r="AO112" s="138">
        <f t="shared" si="60"/>
        <v>0.25</v>
      </c>
      <c r="AP112" s="116">
        <f t="shared" si="61"/>
        <v>2175570</v>
      </c>
      <c r="AQ112" s="2">
        <f t="shared" si="62"/>
        <v>1.5748031496062995E-2</v>
      </c>
      <c r="AR112" s="8">
        <f t="shared" si="63"/>
        <v>24.958662216000004</v>
      </c>
      <c r="AS112" s="116">
        <f t="shared" si="64"/>
        <v>2610.6840000000002</v>
      </c>
      <c r="AT112" s="217">
        <f t="shared" si="65"/>
        <v>2.5990353121727497E-2</v>
      </c>
      <c r="AU112" s="207">
        <f t="shared" si="66"/>
        <v>4.8592940574984418</v>
      </c>
      <c r="AV112" s="144">
        <f t="shared" si="67"/>
        <v>2617.1186175574135</v>
      </c>
      <c r="AW112" s="138">
        <f t="shared" si="68"/>
        <v>1.5</v>
      </c>
      <c r="AX112" s="116">
        <f t="shared" si="69"/>
        <v>2175570</v>
      </c>
      <c r="AY112" s="2">
        <f t="shared" si="70"/>
        <v>1.5748031496062995E-2</v>
      </c>
      <c r="AZ112" s="8">
        <f t="shared" si="71"/>
        <v>24.958662216000004</v>
      </c>
      <c r="BA112" s="116">
        <f t="shared" si="72"/>
        <v>2610.6840000000002</v>
      </c>
      <c r="BB112" s="217">
        <f t="shared" si="73"/>
        <v>0.15594211873036498</v>
      </c>
      <c r="BC112" s="207">
        <f t="shared" si="74"/>
        <v>3.3966258841601458</v>
      </c>
      <c r="BD112" s="144">
        <f t="shared" si="75"/>
        <v>65856.772278566321</v>
      </c>
      <c r="BE112" s="138">
        <f t="shared" si="76"/>
        <v>1.5</v>
      </c>
      <c r="BF112" s="116">
        <f t="shared" si="77"/>
        <v>2175570</v>
      </c>
      <c r="BG112" s="2">
        <f t="shared" si="78"/>
        <v>1.5748031496062995E-2</v>
      </c>
      <c r="BH112" s="8">
        <f t="shared" si="79"/>
        <v>24.958662216000004</v>
      </c>
      <c r="BI112" s="116">
        <f t="shared" si="80"/>
        <v>2610.6840000000002</v>
      </c>
      <c r="BJ112" s="217">
        <f t="shared" si="81"/>
        <v>0.15594211873036498</v>
      </c>
      <c r="BK112" s="207">
        <f t="shared" si="82"/>
        <v>3.3966258841601458</v>
      </c>
      <c r="BL112" s="144">
        <f t="shared" si="83"/>
        <v>65856.772278566321</v>
      </c>
      <c r="BM112" s="216">
        <f t="shared" si="84"/>
        <v>1.5</v>
      </c>
      <c r="BN112" s="216">
        <f t="shared" si="85"/>
        <v>2.3622047244094495E-2</v>
      </c>
      <c r="BO112" s="238">
        <f t="shared" si="86"/>
        <v>1.5748031496062995E-2</v>
      </c>
      <c r="BP112" s="216">
        <f t="shared" si="87"/>
        <v>0</v>
      </c>
      <c r="BQ112" s="138">
        <f t="shared" si="88"/>
        <v>0</v>
      </c>
      <c r="BR112" s="138">
        <f t="shared" si="89"/>
        <v>1.5</v>
      </c>
      <c r="BS112" s="238">
        <f t="shared" si="90"/>
        <v>0</v>
      </c>
      <c r="BT112" s="138">
        <f t="shared" si="91"/>
        <v>0</v>
      </c>
      <c r="BU112" s="138">
        <f t="shared" si="92"/>
        <v>0</v>
      </c>
      <c r="BV112" s="138">
        <f t="shared" si="93"/>
        <v>1.5</v>
      </c>
      <c r="BW112" s="238">
        <f t="shared" si="94"/>
        <v>0</v>
      </c>
      <c r="BX112" s="216">
        <f t="shared" si="95"/>
        <v>0</v>
      </c>
      <c r="BY112" s="138">
        <f t="shared" si="96"/>
        <v>0</v>
      </c>
      <c r="BZ112" s="138">
        <f t="shared" si="97"/>
        <v>2.3622047244094495E-2</v>
      </c>
      <c r="CA112" s="238">
        <f t="shared" si="98"/>
        <v>0</v>
      </c>
      <c r="CB112" s="138">
        <f t="shared" si="99"/>
        <v>0</v>
      </c>
      <c r="CC112" s="138">
        <f t="shared" si="100"/>
        <v>0</v>
      </c>
      <c r="CD112" s="138">
        <f t="shared" si="101"/>
        <v>2.3622047244094495E-2</v>
      </c>
      <c r="CE112" s="238">
        <f t="shared" si="102"/>
        <v>0</v>
      </c>
      <c r="CF112" s="216">
        <f t="shared" si="103"/>
        <v>0</v>
      </c>
      <c r="CG112" s="138">
        <f t="shared" si="104"/>
        <v>0</v>
      </c>
      <c r="CH112" s="138">
        <f t="shared" si="105"/>
        <v>1.5748031496062995E-2</v>
      </c>
      <c r="CI112" s="238">
        <f t="shared" si="106"/>
        <v>0</v>
      </c>
      <c r="CJ112" s="138">
        <f t="shared" si="107"/>
        <v>0</v>
      </c>
      <c r="CK112" s="138">
        <f t="shared" si="108"/>
        <v>0</v>
      </c>
      <c r="CL112" s="138">
        <f t="shared" si="109"/>
        <v>1.5748031496062995E-2</v>
      </c>
      <c r="CM112" s="238">
        <f t="shared" si="110"/>
        <v>0</v>
      </c>
      <c r="CN112" s="17">
        <f t="shared" si="111"/>
        <v>1.5</v>
      </c>
      <c r="CO112" s="17">
        <f t="shared" si="112"/>
        <v>2.3622047244094495E-2</v>
      </c>
      <c r="CP112" s="17">
        <f t="shared" si="113"/>
        <v>1.5748031496062995E-2</v>
      </c>
      <c r="CQ112" s="17">
        <f>$U112-IF('Inputs-Imperial'!$E$13,0,2)*($CO112+$CN112+$CP112)</f>
        <v>8.9851183977599991</v>
      </c>
      <c r="CR112" s="116">
        <f t="shared" si="114"/>
        <v>27318.838673617342</v>
      </c>
      <c r="CS112" s="8">
        <f t="shared" si="10"/>
        <v>0.70633658093785778</v>
      </c>
      <c r="CT112" s="8">
        <f t="shared" si="115"/>
        <v>0.84043832667118279</v>
      </c>
      <c r="CU112" s="8">
        <f t="shared" si="272"/>
        <v>0.70633658093785778</v>
      </c>
      <c r="CV112" s="8">
        <f t="shared" si="116"/>
        <v>0.84043832667118279</v>
      </c>
      <c r="CW112" s="216">
        <f t="shared" si="117"/>
        <v>8.1446800710888159</v>
      </c>
      <c r="CX112" s="116">
        <f t="shared" si="118"/>
        <v>30137.832036285494</v>
      </c>
      <c r="CY112" s="8">
        <f t="shared" si="119"/>
        <v>0.77922248056420107</v>
      </c>
      <c r="CZ112" s="8">
        <f t="shared" si="120"/>
        <v>0.88273579318174311</v>
      </c>
      <c r="DA112" s="8">
        <f t="shared" si="121"/>
        <v>0.77922248056420107</v>
      </c>
      <c r="DB112" s="8">
        <f t="shared" si="122"/>
        <v>0.88273579318174311</v>
      </c>
      <c r="DC112" s="216">
        <f t="shared" si="123"/>
        <v>8.1023826045782545</v>
      </c>
      <c r="DD112" s="116">
        <f t="shared" si="124"/>
        <v>30295.162787432128</v>
      </c>
      <c r="DE112" s="8">
        <f t="shared" si="125"/>
        <v>0.78329031324804854</v>
      </c>
      <c r="DF112" s="8">
        <f t="shared" si="126"/>
        <v>0.88503689937089547</v>
      </c>
      <c r="DG112" s="8">
        <f t="shared" si="127"/>
        <v>0.78329031324804854</v>
      </c>
      <c r="DH112" s="8">
        <f t="shared" si="128"/>
        <v>0.88503689937089547</v>
      </c>
      <c r="DI112" s="216">
        <f t="shared" si="129"/>
        <v>8.1000814983891036</v>
      </c>
      <c r="DJ112" s="116">
        <f t="shared" si="130"/>
        <v>30303.769168319202</v>
      </c>
      <c r="DK112" s="8">
        <f t="shared" si="131"/>
        <v>0.78351283374837633</v>
      </c>
      <c r="DL112" s="8">
        <f t="shared" si="132"/>
        <v>0.88516260299923222</v>
      </c>
      <c r="DM112" s="8">
        <f t="shared" si="133"/>
        <v>0.78351283374837633</v>
      </c>
      <c r="DN112" s="8">
        <f t="shared" si="134"/>
        <v>0.88516260299923222</v>
      </c>
      <c r="DO112" s="216">
        <f t="shared" si="135"/>
        <v>8.0999557947607652</v>
      </c>
      <c r="DP112" s="116">
        <f t="shared" si="136"/>
        <v>30304.239454063139</v>
      </c>
      <c r="DQ112" s="170">
        <f t="shared" si="137"/>
        <v>0.78352499312412449</v>
      </c>
      <c r="DR112" s="8">
        <f t="shared" si="138"/>
        <v>0.88516947141444302</v>
      </c>
      <c r="DS112" s="8">
        <f t="shared" si="139"/>
        <v>0.78352499312412449</v>
      </c>
      <c r="DT112" s="134">
        <f t="shared" si="140"/>
        <v>0.88516947141444302</v>
      </c>
      <c r="DU112" s="170">
        <f t="shared" si="307"/>
        <v>0.85358264160295871</v>
      </c>
      <c r="DV112" s="170">
        <f t="shared" si="307"/>
        <v>0.92389536290802909</v>
      </c>
      <c r="DW112" s="170">
        <f t="shared" si="307"/>
        <v>0.85358264160295871</v>
      </c>
      <c r="DX112" s="272">
        <f t="shared" si="307"/>
        <v>0.92389536290802909</v>
      </c>
      <c r="DY112" s="272">
        <f t="shared" si="142"/>
        <v>7.1373276719439414</v>
      </c>
      <c r="DZ112" s="22">
        <f t="shared" si="273"/>
        <v>429.97480350665586</v>
      </c>
      <c r="EA112" s="216">
        <f t="shared" si="274"/>
        <v>2.8170158782254231E-2</v>
      </c>
      <c r="EB112" s="12">
        <f t="shared" si="143"/>
        <v>4</v>
      </c>
      <c r="EC112" s="7">
        <f>ROUND(MAX(DV112,DX112)/'Inputs-Imperial'!$E$21,0)</f>
        <v>8</v>
      </c>
      <c r="ED112" s="12">
        <f t="shared" si="144"/>
        <v>8</v>
      </c>
      <c r="EE112" s="2">
        <f t="shared" si="145"/>
        <v>4</v>
      </c>
      <c r="EF112" s="127">
        <f t="shared" si="146"/>
        <v>4</v>
      </c>
      <c r="EG112" s="2">
        <f t="shared" si="147"/>
        <v>3.1496062992125991E-2</v>
      </c>
      <c r="EH112" s="8">
        <f t="shared" si="275"/>
        <v>0.29645665515703185</v>
      </c>
      <c r="EI112" s="138">
        <f t="shared" si="148"/>
        <v>0.5</v>
      </c>
      <c r="EJ112" s="12">
        <f t="shared" si="276"/>
        <v>12286.530010202689</v>
      </c>
      <c r="EK112" s="138">
        <f t="shared" si="149"/>
        <v>0.5</v>
      </c>
      <c r="EL112" s="116">
        <f t="shared" si="150"/>
        <v>2175570</v>
      </c>
      <c r="EM112" s="2">
        <f t="shared" si="277"/>
        <v>3.1496062992125991E-2</v>
      </c>
      <c r="EN112" s="8">
        <f t="shared" si="151"/>
        <v>8.9851183977599991</v>
      </c>
      <c r="EO112" s="116">
        <f t="shared" si="152"/>
        <v>2610.6840000000002</v>
      </c>
      <c r="EP112" s="217">
        <f t="shared" si="153"/>
        <v>0.80217139264591086</v>
      </c>
      <c r="EQ112" s="207">
        <f t="shared" si="154"/>
        <v>2</v>
      </c>
      <c r="ER112" s="144">
        <f t="shared" si="155"/>
        <v>33245.679318109549</v>
      </c>
      <c r="ES112" s="138">
        <f t="shared" si="278"/>
        <v>0.5</v>
      </c>
      <c r="ET112" s="116">
        <f t="shared" si="156"/>
        <v>2175570</v>
      </c>
      <c r="EU112" s="2">
        <f t="shared" si="279"/>
        <v>3.1496062992125991E-2</v>
      </c>
      <c r="EV112" s="8">
        <f t="shared" si="157"/>
        <v>8.9851183977599991</v>
      </c>
      <c r="EW112" s="116">
        <f t="shared" si="158"/>
        <v>2610.6840000000002</v>
      </c>
      <c r="EX112" s="217">
        <f t="shared" si="159"/>
        <v>0.80217139264591086</v>
      </c>
      <c r="EY112" s="207">
        <f t="shared" si="160"/>
        <v>2</v>
      </c>
      <c r="EZ112" s="144">
        <f t="shared" si="161"/>
        <v>33245.679318109549</v>
      </c>
      <c r="FA112" s="138">
        <f t="shared" si="280"/>
        <v>0.5</v>
      </c>
      <c r="FB112" s="116">
        <f t="shared" si="162"/>
        <v>2175570</v>
      </c>
      <c r="FC112" s="2">
        <f t="shared" si="281"/>
        <v>3.1496062992125991E-2</v>
      </c>
      <c r="FD112" s="8">
        <f t="shared" si="163"/>
        <v>8.9851183977599991</v>
      </c>
      <c r="FE112" s="116">
        <f t="shared" si="164"/>
        <v>2610.6840000000002</v>
      </c>
      <c r="FF112" s="217">
        <f t="shared" si="165"/>
        <v>0.80217139264591086</v>
      </c>
      <c r="FG112" s="207">
        <f t="shared" si="166"/>
        <v>2</v>
      </c>
      <c r="FH112" s="144">
        <f t="shared" si="167"/>
        <v>33245.679318109549</v>
      </c>
      <c r="FI112" s="128">
        <f t="shared" si="168"/>
        <v>0.5</v>
      </c>
      <c r="FJ112" s="2">
        <f t="shared" si="169"/>
        <v>3.1496062992125991E-2</v>
      </c>
      <c r="FK112" s="127">
        <f t="shared" si="170"/>
        <v>3.1496062992125991E-2</v>
      </c>
      <c r="FL112" s="216">
        <f t="shared" si="171"/>
        <v>0</v>
      </c>
      <c r="FM112" s="138">
        <f t="shared" si="172"/>
        <v>0</v>
      </c>
      <c r="FN112" s="138">
        <f t="shared" si="173"/>
        <v>0.5</v>
      </c>
      <c r="FO112" s="238">
        <f t="shared" si="174"/>
        <v>0</v>
      </c>
      <c r="FP112" s="216">
        <f t="shared" si="282"/>
        <v>0</v>
      </c>
      <c r="FQ112" s="138">
        <f t="shared" si="283"/>
        <v>0</v>
      </c>
      <c r="FR112" s="138">
        <f t="shared" si="284"/>
        <v>0.5</v>
      </c>
      <c r="FS112" s="238">
        <f t="shared" si="285"/>
        <v>0</v>
      </c>
      <c r="FT112" s="216">
        <f t="shared" si="175"/>
        <v>0</v>
      </c>
      <c r="FU112" s="138">
        <f t="shared" si="176"/>
        <v>0</v>
      </c>
      <c r="FV112" s="138">
        <f t="shared" si="177"/>
        <v>3.1496062992125991E-2</v>
      </c>
      <c r="FW112" s="238">
        <f t="shared" si="178"/>
        <v>0</v>
      </c>
      <c r="FX112" s="216">
        <f t="shared" si="286"/>
        <v>0</v>
      </c>
      <c r="FY112" s="138">
        <f t="shared" si="287"/>
        <v>0</v>
      </c>
      <c r="FZ112" s="138">
        <f t="shared" si="288"/>
        <v>3.1496062992125991E-2</v>
      </c>
      <c r="GA112" s="238">
        <f t="shared" si="289"/>
        <v>0</v>
      </c>
      <c r="GB112" s="216">
        <f t="shared" si="179"/>
        <v>0</v>
      </c>
      <c r="GC112" s="138">
        <f t="shared" si="180"/>
        <v>0</v>
      </c>
      <c r="GD112" s="138">
        <f t="shared" si="181"/>
        <v>3.1496062992125991E-2</v>
      </c>
      <c r="GE112" s="238">
        <f t="shared" si="182"/>
        <v>0</v>
      </c>
      <c r="GF112" s="216">
        <f t="shared" si="290"/>
        <v>0</v>
      </c>
      <c r="GG112" s="138">
        <f t="shared" si="291"/>
        <v>0</v>
      </c>
      <c r="GH112" s="138">
        <f t="shared" si="292"/>
        <v>3.1496062992125991E-2</v>
      </c>
      <c r="GI112" s="238">
        <f t="shared" si="293"/>
        <v>0</v>
      </c>
      <c r="GJ112" s="216">
        <f t="shared" si="183"/>
        <v>0.5</v>
      </c>
      <c r="GK112" s="216">
        <f t="shared" si="184"/>
        <v>3.1496062992125991E-2</v>
      </c>
      <c r="GL112" s="17">
        <f t="shared" si="185"/>
        <v>3.1496062992125991E-2</v>
      </c>
      <c r="GM112" s="216">
        <f t="shared" si="294"/>
        <v>1.5064437178245097E-2</v>
      </c>
      <c r="GN112" s="2">
        <f t="shared" si="187"/>
        <v>2</v>
      </c>
      <c r="GO112" s="2">
        <f t="shared" si="188"/>
        <v>2</v>
      </c>
      <c r="GP112" s="142">
        <f t="shared" si="189"/>
        <v>2</v>
      </c>
      <c r="GQ112" s="2">
        <f t="shared" si="190"/>
        <v>1.5748031496062995E-2</v>
      </c>
      <c r="GR112" s="8">
        <f t="shared" si="295"/>
        <v>0.15853487700250735</v>
      </c>
      <c r="GS112" s="138">
        <f t="shared" si="191"/>
        <v>0.25</v>
      </c>
      <c r="GT112" s="12">
        <f t="shared" si="296"/>
        <v>13140.83182192914</v>
      </c>
      <c r="GU112" s="138">
        <f t="shared" si="192"/>
        <v>0.25</v>
      </c>
      <c r="GV112" s="116">
        <f t="shared" si="193"/>
        <v>2175570</v>
      </c>
      <c r="GW112" s="2">
        <f t="shared" si="297"/>
        <v>3.1496062992125991E-2</v>
      </c>
      <c r="GX112" s="8">
        <f t="shared" si="298"/>
        <v>4.4925591988799995</v>
      </c>
      <c r="GY112" s="116">
        <f t="shared" si="194"/>
        <v>2610.6840000000002</v>
      </c>
      <c r="GZ112" s="217">
        <f t="shared" si="195"/>
        <v>1.6043427852918217</v>
      </c>
      <c r="HA112" s="207">
        <f t="shared" si="196"/>
        <v>2</v>
      </c>
      <c r="HB112" s="144">
        <f t="shared" si="197"/>
        <v>33245.679318109549</v>
      </c>
      <c r="HC112" s="138">
        <f t="shared" si="299"/>
        <v>0.25</v>
      </c>
      <c r="HD112" s="116">
        <f t="shared" si="198"/>
        <v>2175570</v>
      </c>
      <c r="HE112" s="2">
        <f t="shared" si="300"/>
        <v>3.1496062992125991E-2</v>
      </c>
      <c r="HF112" s="8">
        <f t="shared" si="199"/>
        <v>4.4925591988799995</v>
      </c>
      <c r="HG112" s="116">
        <f t="shared" si="200"/>
        <v>2610.6840000000002</v>
      </c>
      <c r="HH112" s="217">
        <f t="shared" si="201"/>
        <v>1.6043427852918217</v>
      </c>
      <c r="HI112" s="207">
        <f t="shared" si="202"/>
        <v>2</v>
      </c>
      <c r="HJ112" s="144">
        <f t="shared" si="203"/>
        <v>33245.679318109549</v>
      </c>
      <c r="HK112" s="138">
        <f t="shared" si="301"/>
        <v>0.25</v>
      </c>
      <c r="HL112" s="116">
        <f t="shared" si="204"/>
        <v>2175570</v>
      </c>
      <c r="HM112" s="2">
        <f t="shared" si="302"/>
        <v>3.1496062992125991E-2</v>
      </c>
      <c r="HN112" s="8">
        <f t="shared" si="205"/>
        <v>4.4925591988799995</v>
      </c>
      <c r="HO112" s="116">
        <f t="shared" si="206"/>
        <v>2610.6840000000002</v>
      </c>
      <c r="HP112" s="217">
        <f t="shared" si="207"/>
        <v>1.6043427852918217</v>
      </c>
      <c r="HQ112" s="207">
        <f t="shared" si="208"/>
        <v>2</v>
      </c>
      <c r="HR112" s="144">
        <f t="shared" si="209"/>
        <v>33245.679318109549</v>
      </c>
      <c r="HS112" s="128">
        <f t="shared" si="210"/>
        <v>0.25</v>
      </c>
      <c r="HT112" s="2">
        <f t="shared" si="211"/>
        <v>1.5748031496062995E-2</v>
      </c>
      <c r="HU112" s="127">
        <f t="shared" si="212"/>
        <v>1.5748031496062995E-2</v>
      </c>
      <c r="HV112" s="216">
        <f t="shared" si="213"/>
        <v>0</v>
      </c>
      <c r="HW112" s="138">
        <f t="shared" si="214"/>
        <v>0</v>
      </c>
      <c r="HX112" s="138">
        <f t="shared" si="215"/>
        <v>0.25</v>
      </c>
      <c r="HY112" s="238">
        <f t="shared" si="216"/>
        <v>0</v>
      </c>
      <c r="HZ112" s="138">
        <f t="shared" si="217"/>
        <v>0</v>
      </c>
      <c r="IA112" s="138">
        <f t="shared" si="218"/>
        <v>0</v>
      </c>
      <c r="IB112" s="138">
        <f t="shared" si="219"/>
        <v>0.25</v>
      </c>
      <c r="IC112" s="138">
        <f t="shared" si="220"/>
        <v>0</v>
      </c>
      <c r="ID112" s="216">
        <f t="shared" si="221"/>
        <v>0</v>
      </c>
      <c r="IE112" s="138">
        <f t="shared" si="222"/>
        <v>0</v>
      </c>
      <c r="IF112" s="138">
        <f t="shared" si="223"/>
        <v>1.5748031496062995E-2</v>
      </c>
      <c r="IG112" s="238">
        <f t="shared" si="224"/>
        <v>0</v>
      </c>
      <c r="IH112" s="138">
        <f t="shared" si="225"/>
        <v>0</v>
      </c>
      <c r="II112" s="138">
        <f t="shared" si="226"/>
        <v>0</v>
      </c>
      <c r="IJ112" s="138">
        <f t="shared" si="227"/>
        <v>1.5748031496062995E-2</v>
      </c>
      <c r="IK112" s="138">
        <f t="shared" si="228"/>
        <v>0</v>
      </c>
      <c r="IL112" s="216">
        <f t="shared" si="229"/>
        <v>0</v>
      </c>
      <c r="IM112" s="138">
        <f t="shared" si="230"/>
        <v>0</v>
      </c>
      <c r="IN112" s="138">
        <f t="shared" si="231"/>
        <v>1.5748031496062995E-2</v>
      </c>
      <c r="IO112" s="238">
        <f t="shared" si="232"/>
        <v>0</v>
      </c>
      <c r="IP112" s="138">
        <f t="shared" si="233"/>
        <v>0</v>
      </c>
      <c r="IQ112" s="138">
        <f t="shared" si="234"/>
        <v>0</v>
      </c>
      <c r="IR112" s="138">
        <f t="shared" si="235"/>
        <v>1.5748031496062995E-2</v>
      </c>
      <c r="IS112" s="138">
        <f t="shared" si="236"/>
        <v>0</v>
      </c>
      <c r="IT112" s="17">
        <f t="shared" si="237"/>
        <v>0.25</v>
      </c>
      <c r="IU112" s="17">
        <f t="shared" si="238"/>
        <v>1.5748031496062995E-2</v>
      </c>
      <c r="IV112" s="17">
        <f t="shared" si="239"/>
        <v>1.5748031496062995E-2</v>
      </c>
      <c r="IW112" s="253">
        <f t="shared" si="240"/>
        <v>24.958662216000004</v>
      </c>
      <c r="IX112" s="116">
        <f t="shared" si="303"/>
        <v>983.4781922502242</v>
      </c>
      <c r="IY112" s="8">
        <f t="shared" si="242"/>
        <v>2.5428116913762878E-2</v>
      </c>
      <c r="IZ112" s="8">
        <f t="shared" si="243"/>
        <v>2.5428116913762878E-2</v>
      </c>
      <c r="JA112" s="8">
        <f t="shared" si="244"/>
        <v>1.2714058456881439E-2</v>
      </c>
      <c r="JB112" s="134">
        <f t="shared" si="245"/>
        <v>0.11275663375997635</v>
      </c>
      <c r="JC112" s="170">
        <f t="shared" si="308"/>
        <v>1.3798052057434758E-2</v>
      </c>
      <c r="JD112" s="272">
        <f t="shared" si="309"/>
        <v>0.11746510995795627</v>
      </c>
      <c r="JE112" s="8"/>
      <c r="JF112" s="8"/>
    </row>
    <row r="113" spans="1:266" x14ac:dyDescent="0.25">
      <c r="A113" s="186">
        <v>53</v>
      </c>
      <c r="B113" s="187">
        <f>A113/100*'Inputs-Imperial'!$E$5</f>
        <v>12.763123768</v>
      </c>
      <c r="C113" s="188">
        <f>'Inputs-Imperial'!$E$10+('Inputs-Imperial'!$E$9-'Inputs-Imperial'!$E$10)*(100-A113)/100</f>
        <v>4.1419784790000005</v>
      </c>
      <c r="D113" s="187">
        <f t="shared" si="248"/>
        <v>0.24081365600000026</v>
      </c>
      <c r="E113" s="188">
        <f t="shared" si="249"/>
        <v>0.99958804839265747</v>
      </c>
      <c r="F113" s="423">
        <f>Loads!P73</f>
        <v>376.27334238657187</v>
      </c>
      <c r="G113" s="423">
        <f>Loads!M73</f>
        <v>3762.733423865719</v>
      </c>
      <c r="H113" s="423">
        <f>Loads!N73</f>
        <v>19524.8966555753</v>
      </c>
      <c r="I113" s="423">
        <f>Loads!V73</f>
        <v>-7353.5137763143903</v>
      </c>
      <c r="J113" s="423">
        <f>Loads!Q73</f>
        <v>1952.4896655575305</v>
      </c>
      <c r="K113" s="2">
        <v>53</v>
      </c>
      <c r="L113" s="12">
        <f t="shared" si="41"/>
        <v>153.157485216</v>
      </c>
      <c r="M113" s="11">
        <f t="shared" si="42"/>
        <v>49.703741748000006</v>
      </c>
      <c r="N113" s="11">
        <f t="shared" si="43"/>
        <v>2.8897638720000032</v>
      </c>
      <c r="O113" s="152">
        <f t="shared" si="44"/>
        <v>143.94067896854267</v>
      </c>
      <c r="P113" s="151">
        <f t="shared" si="45"/>
        <v>376.27334238657187</v>
      </c>
      <c r="Q113" s="12">
        <f t="shared" si="46"/>
        <v>3762.733423865719</v>
      </c>
      <c r="R113" s="12">
        <f t="shared" si="47"/>
        <v>234298.75986690359</v>
      </c>
      <c r="S113" s="12">
        <f t="shared" si="48"/>
        <v>-88242.165315772683</v>
      </c>
      <c r="T113" s="152">
        <f t="shared" si="49"/>
        <v>23429.875986690367</v>
      </c>
      <c r="U113" s="8">
        <f t="shared" si="261"/>
        <v>8.9466735146400005</v>
      </c>
      <c r="V113" s="8">
        <f t="shared" si="262"/>
        <v>8.9466735146400005</v>
      </c>
      <c r="W113" s="134">
        <f t="shared" si="263"/>
        <v>4.4733367573200002</v>
      </c>
      <c r="X113" s="311">
        <f t="shared" si="264"/>
        <v>12.425935437000001</v>
      </c>
      <c r="Y113" s="11">
        <f t="shared" si="265"/>
        <v>37.277806311000006</v>
      </c>
      <c r="Z113" s="11">
        <f t="shared" si="266"/>
        <v>24.851870874000006</v>
      </c>
      <c r="AA113" s="316">
        <f t="shared" si="50"/>
        <v>37.277806311000006</v>
      </c>
      <c r="AB113" s="170">
        <f t="shared" si="51"/>
        <v>6.7100051359800004</v>
      </c>
      <c r="AC113" s="11">
        <f t="shared" si="52"/>
        <v>37.277806311000006</v>
      </c>
      <c r="AD113" s="152">
        <f t="shared" si="53"/>
        <v>196.4549976783091</v>
      </c>
      <c r="AE113" s="151">
        <f t="shared" si="267"/>
        <v>10.093763008676301</v>
      </c>
      <c r="AF113" s="12">
        <f t="shared" si="268"/>
        <v>224.58620640506015</v>
      </c>
      <c r="AG113" s="216">
        <f t="shared" si="269"/>
        <v>1.5375254427663658E-2</v>
      </c>
      <c r="AH113" s="2">
        <f t="shared" si="55"/>
        <v>2</v>
      </c>
      <c r="AI113" s="2">
        <f t="shared" si="56"/>
        <v>3</v>
      </c>
      <c r="AJ113" s="127">
        <f t="shared" si="57"/>
        <v>2</v>
      </c>
      <c r="AK113" s="2">
        <f t="shared" si="58"/>
        <v>1.5748031496062995E-2</v>
      </c>
      <c r="AL113" s="8">
        <f t="shared" si="270"/>
        <v>0.16180585047624516</v>
      </c>
      <c r="AM113" s="138">
        <f t="shared" si="59"/>
        <v>0.25</v>
      </c>
      <c r="AN113" s="12">
        <f t="shared" si="271"/>
        <v>13411.960251995037</v>
      </c>
      <c r="AO113" s="138">
        <f t="shared" si="60"/>
        <v>0.25</v>
      </c>
      <c r="AP113" s="116">
        <f t="shared" si="61"/>
        <v>2175570</v>
      </c>
      <c r="AQ113" s="2">
        <f t="shared" si="62"/>
        <v>1.5748031496062995E-2</v>
      </c>
      <c r="AR113" s="8">
        <f t="shared" si="63"/>
        <v>24.851870874000006</v>
      </c>
      <c r="AS113" s="116">
        <f t="shared" si="64"/>
        <v>2610.6840000000002</v>
      </c>
      <c r="AT113" s="217">
        <f t="shared" si="65"/>
        <v>2.6214200100500084E-2</v>
      </c>
      <c r="AU113" s="207">
        <f t="shared" si="66"/>
        <v>4.8557596181809588</v>
      </c>
      <c r="AV113" s="144">
        <f t="shared" si="67"/>
        <v>2637.7390881402389</v>
      </c>
      <c r="AW113" s="138">
        <f t="shared" si="68"/>
        <v>1.5</v>
      </c>
      <c r="AX113" s="116">
        <f t="shared" si="69"/>
        <v>2175570</v>
      </c>
      <c r="AY113" s="2">
        <f t="shared" si="70"/>
        <v>1.5748031496062995E-2</v>
      </c>
      <c r="AZ113" s="8">
        <f t="shared" si="71"/>
        <v>24.851870874000006</v>
      </c>
      <c r="BA113" s="116">
        <f t="shared" si="72"/>
        <v>2610.6840000000002</v>
      </c>
      <c r="BB113" s="217">
        <f t="shared" si="73"/>
        <v>0.1572852006030005</v>
      </c>
      <c r="BC113" s="207">
        <f t="shared" si="74"/>
        <v>3.3864933903861827</v>
      </c>
      <c r="BD113" s="144">
        <f t="shared" si="75"/>
        <v>66225.82681971282</v>
      </c>
      <c r="BE113" s="138">
        <f t="shared" si="76"/>
        <v>1.5</v>
      </c>
      <c r="BF113" s="116">
        <f t="shared" si="77"/>
        <v>2175570</v>
      </c>
      <c r="BG113" s="2">
        <f t="shared" si="78"/>
        <v>1.5748031496062995E-2</v>
      </c>
      <c r="BH113" s="8">
        <f t="shared" si="79"/>
        <v>24.851870874000006</v>
      </c>
      <c r="BI113" s="116">
        <f t="shared" si="80"/>
        <v>2610.6840000000002</v>
      </c>
      <c r="BJ113" s="217">
        <f t="shared" si="81"/>
        <v>0.1572852006030005</v>
      </c>
      <c r="BK113" s="207">
        <f t="shared" si="82"/>
        <v>3.3864933903861827</v>
      </c>
      <c r="BL113" s="144">
        <f t="shared" si="83"/>
        <v>66225.82681971282</v>
      </c>
      <c r="BM113" s="216">
        <f t="shared" si="84"/>
        <v>1.5</v>
      </c>
      <c r="BN113" s="216">
        <f t="shared" si="85"/>
        <v>2.3622047244094495E-2</v>
      </c>
      <c r="BO113" s="238">
        <f t="shared" si="86"/>
        <v>1.5748031496062995E-2</v>
      </c>
      <c r="BP113" s="216">
        <f t="shared" si="87"/>
        <v>0</v>
      </c>
      <c r="BQ113" s="138">
        <f t="shared" si="88"/>
        <v>0</v>
      </c>
      <c r="BR113" s="138">
        <f t="shared" si="89"/>
        <v>1.5</v>
      </c>
      <c r="BS113" s="238">
        <f t="shared" si="90"/>
        <v>0</v>
      </c>
      <c r="BT113" s="138">
        <f t="shared" si="91"/>
        <v>0</v>
      </c>
      <c r="BU113" s="138">
        <f t="shared" si="92"/>
        <v>0</v>
      </c>
      <c r="BV113" s="138">
        <f t="shared" si="93"/>
        <v>1.5</v>
      </c>
      <c r="BW113" s="238">
        <f t="shared" si="94"/>
        <v>0</v>
      </c>
      <c r="BX113" s="216">
        <f t="shared" si="95"/>
        <v>0</v>
      </c>
      <c r="BY113" s="138">
        <f t="shared" si="96"/>
        <v>0</v>
      </c>
      <c r="BZ113" s="138">
        <f t="shared" si="97"/>
        <v>2.3622047244094495E-2</v>
      </c>
      <c r="CA113" s="238">
        <f t="shared" si="98"/>
        <v>0</v>
      </c>
      <c r="CB113" s="138">
        <f t="shared" si="99"/>
        <v>0</v>
      </c>
      <c r="CC113" s="138">
        <f t="shared" si="100"/>
        <v>0</v>
      </c>
      <c r="CD113" s="138">
        <f t="shared" si="101"/>
        <v>2.3622047244094495E-2</v>
      </c>
      <c r="CE113" s="238">
        <f t="shared" si="102"/>
        <v>0</v>
      </c>
      <c r="CF113" s="216">
        <f t="shared" si="103"/>
        <v>0</v>
      </c>
      <c r="CG113" s="138">
        <f t="shared" si="104"/>
        <v>0</v>
      </c>
      <c r="CH113" s="138">
        <f t="shared" si="105"/>
        <v>1.5748031496062995E-2</v>
      </c>
      <c r="CI113" s="238">
        <f t="shared" si="106"/>
        <v>0</v>
      </c>
      <c r="CJ113" s="138">
        <f t="shared" si="107"/>
        <v>0</v>
      </c>
      <c r="CK113" s="138">
        <f t="shared" si="108"/>
        <v>0</v>
      </c>
      <c r="CL113" s="138">
        <f t="shared" si="109"/>
        <v>1.5748031496062995E-2</v>
      </c>
      <c r="CM113" s="238">
        <f t="shared" si="110"/>
        <v>0</v>
      </c>
      <c r="CN113" s="17">
        <f t="shared" si="111"/>
        <v>1.5</v>
      </c>
      <c r="CO113" s="17">
        <f t="shared" si="112"/>
        <v>2.3622047244094495E-2</v>
      </c>
      <c r="CP113" s="17">
        <f t="shared" si="113"/>
        <v>1.5748031496062995E-2</v>
      </c>
      <c r="CQ113" s="17">
        <f>$U113-IF('Inputs-Imperial'!$E$13,0,2)*($CO113+$CN113+$CP113)</f>
        <v>8.9466735146400005</v>
      </c>
      <c r="CR113" s="116">
        <f t="shared" si="114"/>
        <v>26188.365931036369</v>
      </c>
      <c r="CS113" s="8">
        <f t="shared" si="10"/>
        <v>0.67710787684183715</v>
      </c>
      <c r="CT113" s="8">
        <f t="shared" si="115"/>
        <v>0.82286564932669126</v>
      </c>
      <c r="CU113" s="8">
        <f t="shared" si="272"/>
        <v>0.67710787684183715</v>
      </c>
      <c r="CV113" s="8">
        <f t="shared" si="116"/>
        <v>0.82286564932669126</v>
      </c>
      <c r="CW113" s="216">
        <f t="shared" si="117"/>
        <v>8.1238078653133101</v>
      </c>
      <c r="CX113" s="116">
        <f t="shared" si="118"/>
        <v>28841.002120114448</v>
      </c>
      <c r="CY113" s="8">
        <f t="shared" si="119"/>
        <v>0.74569256298645303</v>
      </c>
      <c r="CZ113" s="8">
        <f t="shared" si="120"/>
        <v>0.86353492285283573</v>
      </c>
      <c r="DA113" s="8">
        <f t="shared" si="121"/>
        <v>0.74569256298645303</v>
      </c>
      <c r="DB113" s="8">
        <f t="shared" si="122"/>
        <v>0.86353492285283573</v>
      </c>
      <c r="DC113" s="216">
        <f t="shared" si="123"/>
        <v>8.083138591787165</v>
      </c>
      <c r="DD113" s="116">
        <f t="shared" si="124"/>
        <v>28986.111917586288</v>
      </c>
      <c r="DE113" s="8">
        <f t="shared" si="125"/>
        <v>0.74944441933113093</v>
      </c>
      <c r="DF113" s="8">
        <f t="shared" si="126"/>
        <v>0.86570457971015202</v>
      </c>
      <c r="DG113" s="8">
        <f t="shared" si="127"/>
        <v>0.74944441933113093</v>
      </c>
      <c r="DH113" s="8">
        <f t="shared" si="128"/>
        <v>0.86570457971015202</v>
      </c>
      <c r="DI113" s="216">
        <f t="shared" si="129"/>
        <v>8.0809689349298495</v>
      </c>
      <c r="DJ113" s="116">
        <f t="shared" si="130"/>
        <v>28993.894389836252</v>
      </c>
      <c r="DK113" s="8">
        <f t="shared" si="131"/>
        <v>0.74964563743216217</v>
      </c>
      <c r="DL113" s="8">
        <f t="shared" si="132"/>
        <v>0.86582078828829367</v>
      </c>
      <c r="DM113" s="8">
        <f t="shared" si="133"/>
        <v>0.74964563743216217</v>
      </c>
      <c r="DN113" s="8">
        <f t="shared" si="134"/>
        <v>0.86582078828829367</v>
      </c>
      <c r="DO113" s="216">
        <f t="shared" si="135"/>
        <v>8.0808527263517078</v>
      </c>
      <c r="DP113" s="116">
        <f t="shared" si="136"/>
        <v>28994.311343263809</v>
      </c>
      <c r="DQ113" s="170">
        <f t="shared" si="137"/>
        <v>0.74965641788523885</v>
      </c>
      <c r="DR113" s="8">
        <f t="shared" si="138"/>
        <v>0.86582701383431027</v>
      </c>
      <c r="DS113" s="8">
        <f t="shared" si="139"/>
        <v>0.74965641788523885</v>
      </c>
      <c r="DT113" s="134">
        <f t="shared" si="140"/>
        <v>0.86582701383431027</v>
      </c>
      <c r="DU113" s="170">
        <f t="shared" si="307"/>
        <v>0.85358264160295871</v>
      </c>
      <c r="DV113" s="170">
        <f t="shared" si="307"/>
        <v>0.92389536290802909</v>
      </c>
      <c r="DW113" s="170">
        <f t="shared" si="307"/>
        <v>0.85358264160295871</v>
      </c>
      <c r="DX113" s="272">
        <f t="shared" si="307"/>
        <v>0.92389536290802909</v>
      </c>
      <c r="DY113" s="272">
        <f t="shared" si="142"/>
        <v>7.0988827888239427</v>
      </c>
      <c r="DZ113" s="22">
        <f t="shared" si="273"/>
        <v>420.57345869484601</v>
      </c>
      <c r="EA113" s="216">
        <f t="shared" si="274"/>
        <v>2.7554221815819159E-2</v>
      </c>
      <c r="EB113" s="12">
        <f t="shared" si="143"/>
        <v>4</v>
      </c>
      <c r="EC113" s="7">
        <f>ROUND(MAX(DV113,DX113)/'Inputs-Imperial'!$E$21,0)</f>
        <v>8</v>
      </c>
      <c r="ED113" s="12">
        <f t="shared" si="144"/>
        <v>8</v>
      </c>
      <c r="EE113" s="2">
        <f t="shared" si="145"/>
        <v>4</v>
      </c>
      <c r="EF113" s="127">
        <f t="shared" si="146"/>
        <v>4</v>
      </c>
      <c r="EG113" s="2">
        <f t="shared" si="147"/>
        <v>3.1496062992125991E-2</v>
      </c>
      <c r="EH113" s="8">
        <f t="shared" si="275"/>
        <v>0.28997466780764075</v>
      </c>
      <c r="EI113" s="138">
        <f t="shared" si="148"/>
        <v>0.5</v>
      </c>
      <c r="EJ113" s="12">
        <f t="shared" si="276"/>
        <v>12017.886582205221</v>
      </c>
      <c r="EK113" s="138">
        <f t="shared" si="149"/>
        <v>0.5</v>
      </c>
      <c r="EL113" s="116">
        <f t="shared" si="150"/>
        <v>2175570</v>
      </c>
      <c r="EM113" s="2">
        <f t="shared" si="277"/>
        <v>3.1496062992125991E-2</v>
      </c>
      <c r="EN113" s="8">
        <f t="shared" si="151"/>
        <v>8.9466735146400005</v>
      </c>
      <c r="EO113" s="116">
        <f t="shared" si="152"/>
        <v>2610.6840000000002</v>
      </c>
      <c r="EP113" s="217">
        <f t="shared" si="153"/>
        <v>0.80908025001543504</v>
      </c>
      <c r="EQ113" s="207">
        <f t="shared" si="154"/>
        <v>2</v>
      </c>
      <c r="ER113" s="144">
        <f t="shared" si="155"/>
        <v>33532.01420697182</v>
      </c>
      <c r="ES113" s="138">
        <f t="shared" si="278"/>
        <v>0.5</v>
      </c>
      <c r="ET113" s="116">
        <f t="shared" si="156"/>
        <v>2175570</v>
      </c>
      <c r="EU113" s="2">
        <f t="shared" si="279"/>
        <v>3.1496062992125991E-2</v>
      </c>
      <c r="EV113" s="8">
        <f t="shared" si="157"/>
        <v>8.9466735146400005</v>
      </c>
      <c r="EW113" s="116">
        <f t="shared" si="158"/>
        <v>2610.6840000000002</v>
      </c>
      <c r="EX113" s="217">
        <f t="shared" si="159"/>
        <v>0.80908025001543504</v>
      </c>
      <c r="EY113" s="207">
        <f t="shared" si="160"/>
        <v>2</v>
      </c>
      <c r="EZ113" s="144">
        <f t="shared" si="161"/>
        <v>33532.01420697182</v>
      </c>
      <c r="FA113" s="138">
        <f t="shared" si="280"/>
        <v>0.5</v>
      </c>
      <c r="FB113" s="116">
        <f t="shared" si="162"/>
        <v>2175570</v>
      </c>
      <c r="FC113" s="2">
        <f t="shared" si="281"/>
        <v>3.1496062992125991E-2</v>
      </c>
      <c r="FD113" s="8">
        <f t="shared" si="163"/>
        <v>8.9466735146400005</v>
      </c>
      <c r="FE113" s="116">
        <f t="shared" si="164"/>
        <v>2610.6840000000002</v>
      </c>
      <c r="FF113" s="217">
        <f t="shared" si="165"/>
        <v>0.80908025001543504</v>
      </c>
      <c r="FG113" s="207">
        <f t="shared" si="166"/>
        <v>2</v>
      </c>
      <c r="FH113" s="144">
        <f t="shared" si="167"/>
        <v>33532.01420697182</v>
      </c>
      <c r="FI113" s="128">
        <f t="shared" si="168"/>
        <v>0.5</v>
      </c>
      <c r="FJ113" s="2">
        <f t="shared" si="169"/>
        <v>3.1496062992125991E-2</v>
      </c>
      <c r="FK113" s="127">
        <f t="shared" si="170"/>
        <v>3.1496062992125991E-2</v>
      </c>
      <c r="FL113" s="216">
        <f t="shared" si="171"/>
        <v>0</v>
      </c>
      <c r="FM113" s="138">
        <f t="shared" si="172"/>
        <v>0</v>
      </c>
      <c r="FN113" s="138">
        <f t="shared" si="173"/>
        <v>0.5</v>
      </c>
      <c r="FO113" s="238">
        <f t="shared" si="174"/>
        <v>0</v>
      </c>
      <c r="FP113" s="216">
        <f t="shared" si="282"/>
        <v>0</v>
      </c>
      <c r="FQ113" s="138">
        <f t="shared" si="283"/>
        <v>0</v>
      </c>
      <c r="FR113" s="138">
        <f t="shared" si="284"/>
        <v>0.5</v>
      </c>
      <c r="FS113" s="238">
        <f t="shared" si="285"/>
        <v>0</v>
      </c>
      <c r="FT113" s="216">
        <f t="shared" si="175"/>
        <v>0</v>
      </c>
      <c r="FU113" s="138">
        <f t="shared" si="176"/>
        <v>0</v>
      </c>
      <c r="FV113" s="138">
        <f t="shared" si="177"/>
        <v>3.1496062992125991E-2</v>
      </c>
      <c r="FW113" s="238">
        <f t="shared" si="178"/>
        <v>0</v>
      </c>
      <c r="FX113" s="216">
        <f t="shared" si="286"/>
        <v>0</v>
      </c>
      <c r="FY113" s="138">
        <f t="shared" si="287"/>
        <v>0</v>
      </c>
      <c r="FZ113" s="138">
        <f t="shared" si="288"/>
        <v>3.1496062992125991E-2</v>
      </c>
      <c r="GA113" s="238">
        <f t="shared" si="289"/>
        <v>0</v>
      </c>
      <c r="GB113" s="216">
        <f t="shared" si="179"/>
        <v>0</v>
      </c>
      <c r="GC113" s="138">
        <f t="shared" si="180"/>
        <v>0</v>
      </c>
      <c r="GD113" s="138">
        <f t="shared" si="181"/>
        <v>3.1496062992125991E-2</v>
      </c>
      <c r="GE113" s="238">
        <f t="shared" si="182"/>
        <v>0</v>
      </c>
      <c r="GF113" s="216">
        <f t="shared" si="290"/>
        <v>0</v>
      </c>
      <c r="GG113" s="138">
        <f t="shared" si="291"/>
        <v>0</v>
      </c>
      <c r="GH113" s="138">
        <f t="shared" si="292"/>
        <v>3.1496062992125991E-2</v>
      </c>
      <c r="GI113" s="238">
        <f t="shared" si="293"/>
        <v>0</v>
      </c>
      <c r="GJ113" s="216">
        <f t="shared" si="183"/>
        <v>0.5</v>
      </c>
      <c r="GK113" s="216">
        <f t="shared" si="184"/>
        <v>3.1496062992125991E-2</v>
      </c>
      <c r="GL113" s="17">
        <f t="shared" si="185"/>
        <v>3.1496062992125991E-2</v>
      </c>
      <c r="GM113" s="216">
        <f t="shared" si="294"/>
        <v>1.4713953104084E-2</v>
      </c>
      <c r="GN113" s="2">
        <f t="shared" si="187"/>
        <v>2</v>
      </c>
      <c r="GO113" s="2">
        <f t="shared" si="188"/>
        <v>2</v>
      </c>
      <c r="GP113" s="142">
        <f t="shared" si="189"/>
        <v>2</v>
      </c>
      <c r="GQ113" s="2">
        <f t="shared" si="190"/>
        <v>1.5748031496062995E-2</v>
      </c>
      <c r="GR113" s="8">
        <f t="shared" si="295"/>
        <v>0.15484645844886177</v>
      </c>
      <c r="GS113" s="138">
        <f t="shared" si="191"/>
        <v>0.25</v>
      </c>
      <c r="GT113" s="12">
        <f t="shared" si="296"/>
        <v>12835.101696049185</v>
      </c>
      <c r="GU113" s="138">
        <f t="shared" si="192"/>
        <v>0.25</v>
      </c>
      <c r="GV113" s="116">
        <f t="shared" si="193"/>
        <v>2175570</v>
      </c>
      <c r="GW113" s="2">
        <f t="shared" si="297"/>
        <v>3.1496062992125991E-2</v>
      </c>
      <c r="GX113" s="8">
        <f t="shared" si="298"/>
        <v>4.4733367573200002</v>
      </c>
      <c r="GY113" s="116">
        <f t="shared" si="194"/>
        <v>2610.6840000000002</v>
      </c>
      <c r="GZ113" s="217">
        <f t="shared" si="195"/>
        <v>1.6181605000308701</v>
      </c>
      <c r="HA113" s="207">
        <f t="shared" si="196"/>
        <v>2</v>
      </c>
      <c r="HB113" s="144">
        <f t="shared" si="197"/>
        <v>33532.01420697182</v>
      </c>
      <c r="HC113" s="138">
        <f t="shared" si="299"/>
        <v>0.25</v>
      </c>
      <c r="HD113" s="116">
        <f t="shared" si="198"/>
        <v>2175570</v>
      </c>
      <c r="HE113" s="2">
        <f t="shared" si="300"/>
        <v>3.1496062992125991E-2</v>
      </c>
      <c r="HF113" s="8">
        <f t="shared" si="199"/>
        <v>4.4733367573200002</v>
      </c>
      <c r="HG113" s="116">
        <f t="shared" si="200"/>
        <v>2610.6840000000002</v>
      </c>
      <c r="HH113" s="217">
        <f t="shared" si="201"/>
        <v>1.6181605000308701</v>
      </c>
      <c r="HI113" s="207">
        <f t="shared" si="202"/>
        <v>2</v>
      </c>
      <c r="HJ113" s="144">
        <f t="shared" si="203"/>
        <v>33532.01420697182</v>
      </c>
      <c r="HK113" s="138">
        <f t="shared" si="301"/>
        <v>0.25</v>
      </c>
      <c r="HL113" s="116">
        <f t="shared" si="204"/>
        <v>2175570</v>
      </c>
      <c r="HM113" s="2">
        <f t="shared" si="302"/>
        <v>3.1496062992125991E-2</v>
      </c>
      <c r="HN113" s="8">
        <f t="shared" si="205"/>
        <v>4.4733367573200002</v>
      </c>
      <c r="HO113" s="116">
        <f t="shared" si="206"/>
        <v>2610.6840000000002</v>
      </c>
      <c r="HP113" s="217">
        <f t="shared" si="207"/>
        <v>1.6181605000308701</v>
      </c>
      <c r="HQ113" s="207">
        <f t="shared" si="208"/>
        <v>2</v>
      </c>
      <c r="HR113" s="144">
        <f t="shared" si="209"/>
        <v>33532.01420697182</v>
      </c>
      <c r="HS113" s="128">
        <f t="shared" si="210"/>
        <v>0.25</v>
      </c>
      <c r="HT113" s="2">
        <f t="shared" si="211"/>
        <v>1.5748031496062995E-2</v>
      </c>
      <c r="HU113" s="127">
        <f t="shared" si="212"/>
        <v>1.5748031496062995E-2</v>
      </c>
      <c r="HV113" s="216">
        <f t="shared" si="213"/>
        <v>0</v>
      </c>
      <c r="HW113" s="138">
        <f t="shared" si="214"/>
        <v>0</v>
      </c>
      <c r="HX113" s="138">
        <f t="shared" si="215"/>
        <v>0.25</v>
      </c>
      <c r="HY113" s="238">
        <f t="shared" si="216"/>
        <v>0</v>
      </c>
      <c r="HZ113" s="138">
        <f t="shared" si="217"/>
        <v>0</v>
      </c>
      <c r="IA113" s="138">
        <f t="shared" si="218"/>
        <v>0</v>
      </c>
      <c r="IB113" s="138">
        <f t="shared" si="219"/>
        <v>0.25</v>
      </c>
      <c r="IC113" s="138">
        <f t="shared" si="220"/>
        <v>0</v>
      </c>
      <c r="ID113" s="216">
        <f t="shared" si="221"/>
        <v>0</v>
      </c>
      <c r="IE113" s="138">
        <f t="shared" si="222"/>
        <v>0</v>
      </c>
      <c r="IF113" s="138">
        <f t="shared" si="223"/>
        <v>1.5748031496062995E-2</v>
      </c>
      <c r="IG113" s="238">
        <f t="shared" si="224"/>
        <v>0</v>
      </c>
      <c r="IH113" s="138">
        <f t="shared" si="225"/>
        <v>0</v>
      </c>
      <c r="II113" s="138">
        <f t="shared" si="226"/>
        <v>0</v>
      </c>
      <c r="IJ113" s="138">
        <f t="shared" si="227"/>
        <v>1.5748031496062995E-2</v>
      </c>
      <c r="IK113" s="138">
        <f t="shared" si="228"/>
        <v>0</v>
      </c>
      <c r="IL113" s="216">
        <f t="shared" si="229"/>
        <v>0</v>
      </c>
      <c r="IM113" s="138">
        <f t="shared" si="230"/>
        <v>0</v>
      </c>
      <c r="IN113" s="138">
        <f t="shared" si="231"/>
        <v>1.5748031496062995E-2</v>
      </c>
      <c r="IO113" s="238">
        <f t="shared" si="232"/>
        <v>0</v>
      </c>
      <c r="IP113" s="138">
        <f t="shared" si="233"/>
        <v>0</v>
      </c>
      <c r="IQ113" s="138">
        <f t="shared" si="234"/>
        <v>0</v>
      </c>
      <c r="IR113" s="138">
        <f t="shared" si="235"/>
        <v>1.5748031496062995E-2</v>
      </c>
      <c r="IS113" s="138">
        <f t="shared" si="236"/>
        <v>0</v>
      </c>
      <c r="IT113" s="17">
        <f t="shared" si="237"/>
        <v>0.25</v>
      </c>
      <c r="IU113" s="17">
        <f t="shared" si="238"/>
        <v>1.5748031496062995E-2</v>
      </c>
      <c r="IV113" s="17">
        <f t="shared" si="239"/>
        <v>1.5748031496062995E-2</v>
      </c>
      <c r="IW113" s="253">
        <f t="shared" si="240"/>
        <v>24.851870874000006</v>
      </c>
      <c r="IX113" s="116">
        <f t="shared" si="303"/>
        <v>942.78117351730941</v>
      </c>
      <c r="IY113" s="8">
        <f t="shared" si="242"/>
        <v>2.4375883566306142E-2</v>
      </c>
      <c r="IZ113" s="8">
        <f t="shared" si="243"/>
        <v>2.4375883566306142E-2</v>
      </c>
      <c r="JA113" s="8">
        <f t="shared" si="244"/>
        <v>1.2187941783153071E-2</v>
      </c>
      <c r="JB113" s="134">
        <f t="shared" si="245"/>
        <v>0.11039901169463914</v>
      </c>
      <c r="JC113" s="170">
        <f t="shared" si="308"/>
        <v>1.3798052057434758E-2</v>
      </c>
      <c r="JD113" s="272">
        <f t="shared" si="309"/>
        <v>0.11746510995795627</v>
      </c>
      <c r="JE113" s="8"/>
      <c r="JF113" s="8"/>
    </row>
    <row r="114" spans="1:266" x14ac:dyDescent="0.25">
      <c r="A114" s="186">
        <v>54</v>
      </c>
      <c r="B114" s="187">
        <f>A114/100*'Inputs-Imperial'!$E$5</f>
        <v>13.003937424</v>
      </c>
      <c r="C114" s="188">
        <f>'Inputs-Imperial'!$E$10+('Inputs-Imperial'!$E$9-'Inputs-Imperial'!$E$10)*(100-A114)/100</f>
        <v>4.1241799220000006</v>
      </c>
      <c r="D114" s="187">
        <f t="shared" si="248"/>
        <v>0.24081365600000026</v>
      </c>
      <c r="E114" s="188">
        <f t="shared" si="249"/>
        <v>0.99530191280996338</v>
      </c>
      <c r="F114" s="423">
        <f>Loads!P74</f>
        <v>366.26846617605088</v>
      </c>
      <c r="G114" s="423">
        <f>Loads!M74</f>
        <v>3662.6846617605088</v>
      </c>
      <c r="H114" s="423">
        <f>Loads!N74</f>
        <v>18618.779063220798</v>
      </c>
      <c r="I114" s="423">
        <f>Loads!V74</f>
        <v>-7116.3450041804153</v>
      </c>
      <c r="J114" s="423">
        <f>Loads!Q74</f>
        <v>1861.8779063220802</v>
      </c>
      <c r="K114" s="2">
        <v>54</v>
      </c>
      <c r="L114" s="12">
        <f t="shared" si="41"/>
        <v>156.047249088</v>
      </c>
      <c r="M114" s="11">
        <f t="shared" si="42"/>
        <v>49.490159064000011</v>
      </c>
      <c r="N114" s="11">
        <f t="shared" si="43"/>
        <v>2.8897638720000032</v>
      </c>
      <c r="O114" s="152">
        <f t="shared" si="44"/>
        <v>143.32347544463474</v>
      </c>
      <c r="P114" s="151">
        <f t="shared" si="45"/>
        <v>366.26846617605088</v>
      </c>
      <c r="Q114" s="12">
        <f t="shared" si="46"/>
        <v>3662.6846617605088</v>
      </c>
      <c r="R114" s="12">
        <f t="shared" si="47"/>
        <v>223425.34875864958</v>
      </c>
      <c r="S114" s="12">
        <f t="shared" si="48"/>
        <v>-85396.140050164977</v>
      </c>
      <c r="T114" s="152">
        <f t="shared" si="49"/>
        <v>22342.534875864963</v>
      </c>
      <c r="U114" s="8">
        <f t="shared" si="261"/>
        <v>8.9082286315200019</v>
      </c>
      <c r="V114" s="8">
        <f t="shared" si="262"/>
        <v>8.9082286315200019</v>
      </c>
      <c r="W114" s="134">
        <f t="shared" si="263"/>
        <v>4.4541143157600009</v>
      </c>
      <c r="X114" s="311">
        <f t="shared" si="264"/>
        <v>12.372539766000003</v>
      </c>
      <c r="Y114" s="11">
        <f t="shared" si="265"/>
        <v>37.117619298000008</v>
      </c>
      <c r="Z114" s="11">
        <f t="shared" si="266"/>
        <v>24.745079532000005</v>
      </c>
      <c r="AA114" s="316">
        <f t="shared" si="50"/>
        <v>37.117619298000008</v>
      </c>
      <c r="AB114" s="170">
        <f t="shared" si="51"/>
        <v>6.681171473640001</v>
      </c>
      <c r="AC114" s="11">
        <f t="shared" si="52"/>
        <v>37.117619298000008</v>
      </c>
      <c r="AD114" s="152">
        <f t="shared" si="53"/>
        <v>194.77024590436335</v>
      </c>
      <c r="AE114" s="151">
        <f t="shared" si="267"/>
        <v>9.8677790521922386</v>
      </c>
      <c r="AF114" s="12">
        <f t="shared" si="268"/>
        <v>219.22275564640515</v>
      </c>
      <c r="AG114" s="216">
        <f t="shared" si="269"/>
        <v>1.5009057938603403E-2</v>
      </c>
      <c r="AH114" s="2">
        <f t="shared" si="55"/>
        <v>2</v>
      </c>
      <c r="AI114" s="2">
        <f t="shared" si="56"/>
        <v>3</v>
      </c>
      <c r="AJ114" s="127">
        <f t="shared" si="57"/>
        <v>2</v>
      </c>
      <c r="AK114" s="2">
        <f t="shared" si="58"/>
        <v>1.5748031496062995E-2</v>
      </c>
      <c r="AL114" s="8">
        <f t="shared" si="270"/>
        <v>0.15795207786828097</v>
      </c>
      <c r="AM114" s="138">
        <f t="shared" si="59"/>
        <v>0.25</v>
      </c>
      <c r="AN114" s="12">
        <f t="shared" si="271"/>
        <v>13092.524058024837</v>
      </c>
      <c r="AO114" s="138">
        <f t="shared" si="60"/>
        <v>0.25</v>
      </c>
      <c r="AP114" s="116">
        <f t="shared" si="61"/>
        <v>2175570</v>
      </c>
      <c r="AQ114" s="2">
        <f t="shared" si="62"/>
        <v>1.5748031496062995E-2</v>
      </c>
      <c r="AR114" s="8">
        <f t="shared" si="63"/>
        <v>24.745079532000005</v>
      </c>
      <c r="AS114" s="116">
        <f t="shared" si="64"/>
        <v>2610.6840000000002</v>
      </c>
      <c r="AT114" s="217">
        <f t="shared" si="65"/>
        <v>2.6440951470643004E-2</v>
      </c>
      <c r="AU114" s="207">
        <f t="shared" si="66"/>
        <v>4.8521835656573913</v>
      </c>
      <c r="AV114" s="144">
        <f t="shared" si="67"/>
        <v>2658.5960027229512</v>
      </c>
      <c r="AW114" s="138">
        <f t="shared" si="68"/>
        <v>1.25</v>
      </c>
      <c r="AX114" s="116">
        <f t="shared" si="69"/>
        <v>2175570</v>
      </c>
      <c r="AY114" s="2">
        <f t="shared" si="70"/>
        <v>1.5748031496062995E-2</v>
      </c>
      <c r="AZ114" s="8">
        <f t="shared" si="71"/>
        <v>24.745079532000005</v>
      </c>
      <c r="BA114" s="116">
        <f t="shared" si="72"/>
        <v>2610.6840000000002</v>
      </c>
      <c r="BB114" s="217">
        <f t="shared" si="73"/>
        <v>0.13220475735321502</v>
      </c>
      <c r="BC114" s="207">
        <f t="shared" si="74"/>
        <v>3.5893092738502972</v>
      </c>
      <c r="BD114" s="144">
        <f t="shared" si="75"/>
        <v>49166.128810204878</v>
      </c>
      <c r="BE114" s="138">
        <f t="shared" si="76"/>
        <v>1.25</v>
      </c>
      <c r="BF114" s="116">
        <f t="shared" si="77"/>
        <v>2175570</v>
      </c>
      <c r="BG114" s="2">
        <f t="shared" si="78"/>
        <v>1.5748031496062995E-2</v>
      </c>
      <c r="BH114" s="8">
        <f t="shared" si="79"/>
        <v>24.745079532000005</v>
      </c>
      <c r="BI114" s="116">
        <f t="shared" si="80"/>
        <v>2610.6840000000002</v>
      </c>
      <c r="BJ114" s="217">
        <f t="shared" si="81"/>
        <v>0.13220475735321502</v>
      </c>
      <c r="BK114" s="207">
        <f t="shared" si="82"/>
        <v>3.5893092738502972</v>
      </c>
      <c r="BL114" s="144">
        <f t="shared" si="83"/>
        <v>49166.128810204878</v>
      </c>
      <c r="BM114" s="216">
        <f t="shared" si="84"/>
        <v>1.25</v>
      </c>
      <c r="BN114" s="216">
        <f t="shared" si="85"/>
        <v>2.3622047244094495E-2</v>
      </c>
      <c r="BO114" s="238">
        <f t="shared" si="86"/>
        <v>1.5748031496062995E-2</v>
      </c>
      <c r="BP114" s="216">
        <f t="shared" si="87"/>
        <v>0</v>
      </c>
      <c r="BQ114" s="138">
        <f t="shared" si="88"/>
        <v>0</v>
      </c>
      <c r="BR114" s="138">
        <f t="shared" si="89"/>
        <v>1.25</v>
      </c>
      <c r="BS114" s="238">
        <f t="shared" si="90"/>
        <v>0</v>
      </c>
      <c r="BT114" s="138">
        <f t="shared" si="91"/>
        <v>0</v>
      </c>
      <c r="BU114" s="138">
        <f t="shared" si="92"/>
        <v>0</v>
      </c>
      <c r="BV114" s="138">
        <f t="shared" si="93"/>
        <v>1.5</v>
      </c>
      <c r="BW114" s="238">
        <f t="shared" si="94"/>
        <v>0</v>
      </c>
      <c r="BX114" s="216">
        <f t="shared" si="95"/>
        <v>0</v>
      </c>
      <c r="BY114" s="138">
        <f t="shared" si="96"/>
        <v>0</v>
      </c>
      <c r="BZ114" s="138">
        <f t="shared" si="97"/>
        <v>2.3622047244094495E-2</v>
      </c>
      <c r="CA114" s="238">
        <f t="shared" si="98"/>
        <v>0</v>
      </c>
      <c r="CB114" s="138">
        <f t="shared" si="99"/>
        <v>0</v>
      </c>
      <c r="CC114" s="138">
        <f t="shared" si="100"/>
        <v>0</v>
      </c>
      <c r="CD114" s="138">
        <f t="shared" si="101"/>
        <v>2.3622047244094495E-2</v>
      </c>
      <c r="CE114" s="238">
        <f t="shared" si="102"/>
        <v>0</v>
      </c>
      <c r="CF114" s="216">
        <f t="shared" si="103"/>
        <v>0</v>
      </c>
      <c r="CG114" s="138">
        <f t="shared" si="104"/>
        <v>0</v>
      </c>
      <c r="CH114" s="138">
        <f t="shared" si="105"/>
        <v>1.5748031496062995E-2</v>
      </c>
      <c r="CI114" s="238">
        <f t="shared" si="106"/>
        <v>0</v>
      </c>
      <c r="CJ114" s="138">
        <f t="shared" si="107"/>
        <v>0</v>
      </c>
      <c r="CK114" s="138">
        <f t="shared" si="108"/>
        <v>0</v>
      </c>
      <c r="CL114" s="138">
        <f t="shared" si="109"/>
        <v>1.5748031496062995E-2</v>
      </c>
      <c r="CM114" s="238">
        <f t="shared" si="110"/>
        <v>0</v>
      </c>
      <c r="CN114" s="17">
        <f t="shared" si="111"/>
        <v>1.5</v>
      </c>
      <c r="CO114" s="17">
        <f t="shared" si="112"/>
        <v>2.3622047244094495E-2</v>
      </c>
      <c r="CP114" s="17">
        <f t="shared" si="113"/>
        <v>1.5748031496062995E-2</v>
      </c>
      <c r="CQ114" s="17">
        <f>$U114-IF('Inputs-Imperial'!$E$13,0,2)*($CO114+$CN114+$CP114)</f>
        <v>8.9082286315200019</v>
      </c>
      <c r="CR114" s="116">
        <f t="shared" si="114"/>
        <v>25080.782948037868</v>
      </c>
      <c r="CS114" s="8">
        <f t="shared" si="10"/>
        <v>0.64847099418870913</v>
      </c>
      <c r="CT114" s="8">
        <f t="shared" si="115"/>
        <v>0.80527696737750365</v>
      </c>
      <c r="CU114" s="8">
        <f t="shared" si="272"/>
        <v>0.64847099418870913</v>
      </c>
      <c r="CV114" s="8">
        <f t="shared" si="116"/>
        <v>0.80527696737750365</v>
      </c>
      <c r="CW114" s="216">
        <f t="shared" si="117"/>
        <v>8.1029516641424966</v>
      </c>
      <c r="CX114" s="116">
        <f t="shared" si="118"/>
        <v>27573.328586835869</v>
      </c>
      <c r="CY114" s="8">
        <f t="shared" si="119"/>
        <v>0.71291649223399733</v>
      </c>
      <c r="CZ114" s="8">
        <f t="shared" si="120"/>
        <v>0.84434382347121917</v>
      </c>
      <c r="DA114" s="8">
        <f t="shared" si="121"/>
        <v>0.71291649223399733</v>
      </c>
      <c r="DB114" s="8">
        <f t="shared" si="122"/>
        <v>0.84434382347121917</v>
      </c>
      <c r="DC114" s="216">
        <f t="shared" si="123"/>
        <v>8.0638848080487815</v>
      </c>
      <c r="DD114" s="116">
        <f t="shared" si="124"/>
        <v>27706.912248503686</v>
      </c>
      <c r="DE114" s="8">
        <f t="shared" si="125"/>
        <v>0.71637033695920249</v>
      </c>
      <c r="DF114" s="8">
        <f t="shared" si="126"/>
        <v>0.8463866356218076</v>
      </c>
      <c r="DG114" s="8">
        <f t="shared" si="127"/>
        <v>0.71637033695920249</v>
      </c>
      <c r="DH114" s="8">
        <f t="shared" si="128"/>
        <v>0.8463866356218076</v>
      </c>
      <c r="DI114" s="216">
        <f t="shared" si="129"/>
        <v>8.0618419958981935</v>
      </c>
      <c r="DJ114" s="116">
        <f t="shared" si="130"/>
        <v>27713.932978632769</v>
      </c>
      <c r="DK114" s="8">
        <f t="shared" si="131"/>
        <v>0.71655185999443505</v>
      </c>
      <c r="DL114" s="8">
        <f t="shared" si="132"/>
        <v>0.84649386293961693</v>
      </c>
      <c r="DM114" s="8">
        <f t="shared" si="133"/>
        <v>0.71655185999443505</v>
      </c>
      <c r="DN114" s="8">
        <f t="shared" si="134"/>
        <v>0.84649386293961693</v>
      </c>
      <c r="DO114" s="216">
        <f t="shared" si="135"/>
        <v>8.0617347685803846</v>
      </c>
      <c r="DP114" s="116">
        <f t="shared" si="136"/>
        <v>27714.301595411234</v>
      </c>
      <c r="DQ114" s="170">
        <f t="shared" si="137"/>
        <v>0.71656139068928226</v>
      </c>
      <c r="DR114" s="8">
        <f t="shared" si="138"/>
        <v>0.84649949243297384</v>
      </c>
      <c r="DS114" s="8">
        <f t="shared" si="139"/>
        <v>0.71656139068928226</v>
      </c>
      <c r="DT114" s="134">
        <f t="shared" si="140"/>
        <v>0.84649949243297384</v>
      </c>
      <c r="DU114" s="170">
        <f t="shared" si="307"/>
        <v>0.85358264160295871</v>
      </c>
      <c r="DV114" s="170">
        <f t="shared" si="307"/>
        <v>0.92389536290802909</v>
      </c>
      <c r="DW114" s="170">
        <f t="shared" si="307"/>
        <v>0.85358264160295871</v>
      </c>
      <c r="DX114" s="272">
        <f t="shared" si="307"/>
        <v>0.92389536290802909</v>
      </c>
      <c r="DY114" s="272">
        <f t="shared" si="142"/>
        <v>7.0604379057039441</v>
      </c>
      <c r="DZ114" s="22">
        <f t="shared" si="273"/>
        <v>411.15746050800993</v>
      </c>
      <c r="EA114" s="216">
        <f t="shared" si="274"/>
        <v>2.6937324821266585E-2</v>
      </c>
      <c r="EB114" s="12">
        <f t="shared" si="143"/>
        <v>4</v>
      </c>
      <c r="EC114" s="7">
        <f>ROUND(MAX(DV114,DX114)/'Inputs-Imperial'!$E$21,0)</f>
        <v>8</v>
      </c>
      <c r="ED114" s="12">
        <f t="shared" si="144"/>
        <v>8</v>
      </c>
      <c r="EE114" s="2">
        <f t="shared" si="145"/>
        <v>4</v>
      </c>
      <c r="EF114" s="127">
        <f t="shared" si="146"/>
        <v>4</v>
      </c>
      <c r="EG114" s="2">
        <f t="shared" si="147"/>
        <v>3.1496062992125991E-2</v>
      </c>
      <c r="EH114" s="8">
        <f t="shared" si="275"/>
        <v>0.28348257733008586</v>
      </c>
      <c r="EI114" s="138">
        <f t="shared" si="148"/>
        <v>0.5</v>
      </c>
      <c r="EJ114" s="12">
        <f t="shared" si="276"/>
        <v>11748.824434016382</v>
      </c>
      <c r="EK114" s="138">
        <f t="shared" si="149"/>
        <v>0.5</v>
      </c>
      <c r="EL114" s="116">
        <f t="shared" si="150"/>
        <v>2175570</v>
      </c>
      <c r="EM114" s="2">
        <f t="shared" si="277"/>
        <v>3.1496062992125991E-2</v>
      </c>
      <c r="EN114" s="8">
        <f t="shared" si="151"/>
        <v>8.9082286315200019</v>
      </c>
      <c r="EO114" s="116">
        <f t="shared" si="152"/>
        <v>2610.6840000000002</v>
      </c>
      <c r="EP114" s="217">
        <f t="shared" si="153"/>
        <v>0.81607874909391998</v>
      </c>
      <c r="EQ114" s="207">
        <f t="shared" si="154"/>
        <v>2</v>
      </c>
      <c r="ER114" s="144">
        <f t="shared" si="155"/>
        <v>33822.064261367239</v>
      </c>
      <c r="ES114" s="138">
        <f t="shared" si="278"/>
        <v>0.5</v>
      </c>
      <c r="ET114" s="116">
        <f t="shared" si="156"/>
        <v>2175570</v>
      </c>
      <c r="EU114" s="2">
        <f t="shared" si="279"/>
        <v>3.1496062992125991E-2</v>
      </c>
      <c r="EV114" s="8">
        <f t="shared" si="157"/>
        <v>8.9082286315200019</v>
      </c>
      <c r="EW114" s="116">
        <f t="shared" si="158"/>
        <v>2610.6840000000002</v>
      </c>
      <c r="EX114" s="217">
        <f t="shared" si="159"/>
        <v>0.81607874909391998</v>
      </c>
      <c r="EY114" s="207">
        <f t="shared" si="160"/>
        <v>2</v>
      </c>
      <c r="EZ114" s="144">
        <f t="shared" si="161"/>
        <v>33822.064261367239</v>
      </c>
      <c r="FA114" s="138">
        <f t="shared" si="280"/>
        <v>0.5</v>
      </c>
      <c r="FB114" s="116">
        <f t="shared" si="162"/>
        <v>2175570</v>
      </c>
      <c r="FC114" s="2">
        <f t="shared" si="281"/>
        <v>3.1496062992125991E-2</v>
      </c>
      <c r="FD114" s="8">
        <f t="shared" si="163"/>
        <v>8.9082286315200019</v>
      </c>
      <c r="FE114" s="116">
        <f t="shared" si="164"/>
        <v>2610.6840000000002</v>
      </c>
      <c r="FF114" s="217">
        <f t="shared" si="165"/>
        <v>0.81607874909391998</v>
      </c>
      <c r="FG114" s="207">
        <f t="shared" si="166"/>
        <v>2</v>
      </c>
      <c r="FH114" s="144">
        <f t="shared" si="167"/>
        <v>33822.064261367239</v>
      </c>
      <c r="FI114" s="128">
        <f t="shared" si="168"/>
        <v>0.5</v>
      </c>
      <c r="FJ114" s="2">
        <f t="shared" si="169"/>
        <v>3.1496062992125991E-2</v>
      </c>
      <c r="FK114" s="127">
        <f t="shared" si="170"/>
        <v>3.1496062992125991E-2</v>
      </c>
      <c r="FL114" s="216">
        <f t="shared" si="171"/>
        <v>0</v>
      </c>
      <c r="FM114" s="138">
        <f t="shared" si="172"/>
        <v>0</v>
      </c>
      <c r="FN114" s="138">
        <f t="shared" si="173"/>
        <v>0.5</v>
      </c>
      <c r="FO114" s="238">
        <f t="shared" si="174"/>
        <v>0</v>
      </c>
      <c r="FP114" s="216">
        <f t="shared" si="282"/>
        <v>0</v>
      </c>
      <c r="FQ114" s="138">
        <f t="shared" si="283"/>
        <v>0</v>
      </c>
      <c r="FR114" s="138">
        <f t="shared" si="284"/>
        <v>0.5</v>
      </c>
      <c r="FS114" s="238">
        <f t="shared" si="285"/>
        <v>0</v>
      </c>
      <c r="FT114" s="216">
        <f t="shared" si="175"/>
        <v>0</v>
      </c>
      <c r="FU114" s="138">
        <f t="shared" si="176"/>
        <v>0</v>
      </c>
      <c r="FV114" s="138">
        <f t="shared" si="177"/>
        <v>3.1496062992125991E-2</v>
      </c>
      <c r="FW114" s="238">
        <f t="shared" si="178"/>
        <v>0</v>
      </c>
      <c r="FX114" s="216">
        <f t="shared" si="286"/>
        <v>0</v>
      </c>
      <c r="FY114" s="138">
        <f t="shared" si="287"/>
        <v>0</v>
      </c>
      <c r="FZ114" s="138">
        <f t="shared" si="288"/>
        <v>3.1496062992125991E-2</v>
      </c>
      <c r="GA114" s="238">
        <f t="shared" si="289"/>
        <v>0</v>
      </c>
      <c r="GB114" s="216">
        <f t="shared" si="179"/>
        <v>0</v>
      </c>
      <c r="GC114" s="138">
        <f t="shared" si="180"/>
        <v>0</v>
      </c>
      <c r="GD114" s="138">
        <f t="shared" si="181"/>
        <v>3.1496062992125991E-2</v>
      </c>
      <c r="GE114" s="238">
        <f t="shared" si="182"/>
        <v>0</v>
      </c>
      <c r="GF114" s="216">
        <f t="shared" si="290"/>
        <v>0</v>
      </c>
      <c r="GG114" s="138">
        <f t="shared" si="291"/>
        <v>0</v>
      </c>
      <c r="GH114" s="138">
        <f t="shared" si="292"/>
        <v>3.1496062992125991E-2</v>
      </c>
      <c r="GI114" s="238">
        <f t="shared" si="293"/>
        <v>0</v>
      </c>
      <c r="GJ114" s="216">
        <f t="shared" si="183"/>
        <v>0.5</v>
      </c>
      <c r="GK114" s="216">
        <f t="shared" si="184"/>
        <v>3.1496062992125991E-2</v>
      </c>
      <c r="GL114" s="17">
        <f t="shared" si="185"/>
        <v>3.1496062992125991E-2</v>
      </c>
      <c r="GM114" s="216">
        <f t="shared" si="294"/>
        <v>1.4362562142893004E-2</v>
      </c>
      <c r="GN114" s="2">
        <f t="shared" si="187"/>
        <v>2</v>
      </c>
      <c r="GO114" s="2">
        <f t="shared" si="188"/>
        <v>2</v>
      </c>
      <c r="GP114" s="142">
        <f t="shared" si="189"/>
        <v>2</v>
      </c>
      <c r="GQ114" s="2">
        <f t="shared" si="190"/>
        <v>1.5748031496062995E-2</v>
      </c>
      <c r="GR114" s="8">
        <f t="shared" si="295"/>
        <v>0.15114849601235894</v>
      </c>
      <c r="GS114" s="138">
        <f t="shared" si="191"/>
        <v>0.25</v>
      </c>
      <c r="GT114" s="12">
        <f t="shared" si="296"/>
        <v>12528.580485192053</v>
      </c>
      <c r="GU114" s="138">
        <f t="shared" si="192"/>
        <v>0.25</v>
      </c>
      <c r="GV114" s="116">
        <f t="shared" si="193"/>
        <v>2175570</v>
      </c>
      <c r="GW114" s="2">
        <f t="shared" si="297"/>
        <v>3.1496062992125991E-2</v>
      </c>
      <c r="GX114" s="8">
        <f t="shared" si="298"/>
        <v>4.4541143157600009</v>
      </c>
      <c r="GY114" s="116">
        <f t="shared" si="194"/>
        <v>2610.6840000000002</v>
      </c>
      <c r="GZ114" s="217">
        <f t="shared" si="195"/>
        <v>1.63215749818784</v>
      </c>
      <c r="HA114" s="207">
        <f t="shared" si="196"/>
        <v>2</v>
      </c>
      <c r="HB114" s="144">
        <f t="shared" si="197"/>
        <v>33822.064261367239</v>
      </c>
      <c r="HC114" s="138">
        <f t="shared" si="299"/>
        <v>0.25</v>
      </c>
      <c r="HD114" s="116">
        <f t="shared" si="198"/>
        <v>2175570</v>
      </c>
      <c r="HE114" s="2">
        <f t="shared" si="300"/>
        <v>3.1496062992125991E-2</v>
      </c>
      <c r="HF114" s="8">
        <f t="shared" si="199"/>
        <v>4.4541143157600009</v>
      </c>
      <c r="HG114" s="116">
        <f t="shared" si="200"/>
        <v>2610.6840000000002</v>
      </c>
      <c r="HH114" s="217">
        <f t="shared" si="201"/>
        <v>1.63215749818784</v>
      </c>
      <c r="HI114" s="207">
        <f t="shared" si="202"/>
        <v>2</v>
      </c>
      <c r="HJ114" s="144">
        <f t="shared" si="203"/>
        <v>33822.064261367239</v>
      </c>
      <c r="HK114" s="138">
        <f t="shared" si="301"/>
        <v>0.25</v>
      </c>
      <c r="HL114" s="116">
        <f t="shared" si="204"/>
        <v>2175570</v>
      </c>
      <c r="HM114" s="2">
        <f t="shared" si="302"/>
        <v>3.1496062992125991E-2</v>
      </c>
      <c r="HN114" s="8">
        <f t="shared" si="205"/>
        <v>4.4541143157600009</v>
      </c>
      <c r="HO114" s="116">
        <f t="shared" si="206"/>
        <v>2610.6840000000002</v>
      </c>
      <c r="HP114" s="217">
        <f t="shared" si="207"/>
        <v>1.63215749818784</v>
      </c>
      <c r="HQ114" s="207">
        <f t="shared" si="208"/>
        <v>2</v>
      </c>
      <c r="HR114" s="144">
        <f t="shared" si="209"/>
        <v>33822.064261367239</v>
      </c>
      <c r="HS114" s="128">
        <f t="shared" si="210"/>
        <v>0.25</v>
      </c>
      <c r="HT114" s="2">
        <f t="shared" si="211"/>
        <v>1.5748031496062995E-2</v>
      </c>
      <c r="HU114" s="127">
        <f t="shared" si="212"/>
        <v>1.5748031496062995E-2</v>
      </c>
      <c r="HV114" s="216">
        <f t="shared" si="213"/>
        <v>0</v>
      </c>
      <c r="HW114" s="138">
        <f t="shared" si="214"/>
        <v>0</v>
      </c>
      <c r="HX114" s="138">
        <f t="shared" si="215"/>
        <v>0.25</v>
      </c>
      <c r="HY114" s="238">
        <f t="shared" si="216"/>
        <v>0</v>
      </c>
      <c r="HZ114" s="138">
        <f t="shared" si="217"/>
        <v>0</v>
      </c>
      <c r="IA114" s="138">
        <f t="shared" si="218"/>
        <v>0</v>
      </c>
      <c r="IB114" s="138">
        <f t="shared" si="219"/>
        <v>0.25</v>
      </c>
      <c r="IC114" s="138">
        <f t="shared" si="220"/>
        <v>0</v>
      </c>
      <c r="ID114" s="216">
        <f t="shared" si="221"/>
        <v>0</v>
      </c>
      <c r="IE114" s="138">
        <f t="shared" si="222"/>
        <v>0</v>
      </c>
      <c r="IF114" s="138">
        <f t="shared" si="223"/>
        <v>1.5748031496062995E-2</v>
      </c>
      <c r="IG114" s="238">
        <f t="shared" si="224"/>
        <v>0</v>
      </c>
      <c r="IH114" s="138">
        <f t="shared" si="225"/>
        <v>0</v>
      </c>
      <c r="II114" s="138">
        <f t="shared" si="226"/>
        <v>0</v>
      </c>
      <c r="IJ114" s="138">
        <f t="shared" si="227"/>
        <v>1.5748031496062995E-2</v>
      </c>
      <c r="IK114" s="138">
        <f t="shared" si="228"/>
        <v>0</v>
      </c>
      <c r="IL114" s="216">
        <f t="shared" si="229"/>
        <v>0</v>
      </c>
      <c r="IM114" s="138">
        <f t="shared" si="230"/>
        <v>0</v>
      </c>
      <c r="IN114" s="138">
        <f t="shared" si="231"/>
        <v>1.5748031496062995E-2</v>
      </c>
      <c r="IO114" s="238">
        <f t="shared" si="232"/>
        <v>0</v>
      </c>
      <c r="IP114" s="138">
        <f t="shared" si="233"/>
        <v>0</v>
      </c>
      <c r="IQ114" s="138">
        <f t="shared" si="234"/>
        <v>0</v>
      </c>
      <c r="IR114" s="138">
        <f t="shared" si="235"/>
        <v>1.5748031496062995E-2</v>
      </c>
      <c r="IS114" s="138">
        <f t="shared" si="236"/>
        <v>0</v>
      </c>
      <c r="IT114" s="17">
        <f t="shared" si="237"/>
        <v>0.25</v>
      </c>
      <c r="IU114" s="17">
        <f t="shared" si="238"/>
        <v>1.5748031496062995E-2</v>
      </c>
      <c r="IV114" s="17">
        <f t="shared" si="239"/>
        <v>1.5748031496062995E-2</v>
      </c>
      <c r="IW114" s="253">
        <f t="shared" si="240"/>
        <v>24.745079532000005</v>
      </c>
      <c r="IX114" s="116">
        <f t="shared" si="303"/>
        <v>902.90818612936346</v>
      </c>
      <c r="IY114" s="8">
        <f t="shared" si="242"/>
        <v>2.3344955790793535E-2</v>
      </c>
      <c r="IZ114" s="8">
        <f t="shared" si="243"/>
        <v>2.3344955790793535E-2</v>
      </c>
      <c r="JA114" s="8">
        <f t="shared" si="244"/>
        <v>1.1672477895396768E-2</v>
      </c>
      <c r="JB114" s="134">
        <f t="shared" si="245"/>
        <v>0.10803924238625874</v>
      </c>
      <c r="JC114" s="170">
        <f t="shared" si="308"/>
        <v>1.3798052057434758E-2</v>
      </c>
      <c r="JD114" s="272">
        <f t="shared" si="309"/>
        <v>0.11746510995795627</v>
      </c>
      <c r="JE114" s="8"/>
      <c r="JF114" s="8"/>
    </row>
    <row r="115" spans="1:266" x14ac:dyDescent="0.25">
      <c r="A115" s="186">
        <v>55</v>
      </c>
      <c r="B115" s="187">
        <f>A115/100*'Inputs-Imperial'!$E$5</f>
        <v>13.24475108</v>
      </c>
      <c r="C115" s="188">
        <f>'Inputs-Imperial'!$E$10+('Inputs-Imperial'!$E$9-'Inputs-Imperial'!$E$10)*(100-A115)/100</f>
        <v>4.1063813650000007</v>
      </c>
      <c r="D115" s="187">
        <f t="shared" si="248"/>
        <v>0.24081365600000026</v>
      </c>
      <c r="E115" s="188">
        <f t="shared" si="249"/>
        <v>0.99101577722726875</v>
      </c>
      <c r="F115" s="423">
        <f>Loads!P75</f>
        <v>356.32384842986653</v>
      </c>
      <c r="G115" s="423">
        <f>Loads!M75</f>
        <v>3563.2384842986648</v>
      </c>
      <c r="H115" s="423">
        <f>Loads!N75</f>
        <v>17736.754579047127</v>
      </c>
      <c r="I115" s="423">
        <f>Loads!V75</f>
        <v>-6882.0410242852031</v>
      </c>
      <c r="J115" s="423">
        <f>Loads!Q75</f>
        <v>1773.6754579047129</v>
      </c>
      <c r="K115" s="2">
        <v>55</v>
      </c>
      <c r="L115" s="12">
        <f t="shared" si="41"/>
        <v>158.93701296</v>
      </c>
      <c r="M115" s="11">
        <f t="shared" si="42"/>
        <v>49.276576380000009</v>
      </c>
      <c r="N115" s="11">
        <f t="shared" si="43"/>
        <v>2.8897638720000032</v>
      </c>
      <c r="O115" s="152">
        <f t="shared" si="44"/>
        <v>142.70627192072669</v>
      </c>
      <c r="P115" s="151">
        <f t="shared" si="45"/>
        <v>356.32384842986653</v>
      </c>
      <c r="Q115" s="12">
        <f t="shared" si="46"/>
        <v>3563.2384842986648</v>
      </c>
      <c r="R115" s="12">
        <f t="shared" si="47"/>
        <v>212841.05494856552</v>
      </c>
      <c r="S115" s="12">
        <f t="shared" si="48"/>
        <v>-82584.492291422444</v>
      </c>
      <c r="T115" s="152">
        <f t="shared" si="49"/>
        <v>21284.105494856554</v>
      </c>
      <c r="U115" s="8">
        <f t="shared" si="261"/>
        <v>8.8697837484000015</v>
      </c>
      <c r="V115" s="8">
        <f t="shared" si="262"/>
        <v>8.8697837484000015</v>
      </c>
      <c r="W115" s="134">
        <f t="shared" si="263"/>
        <v>4.4348918742000007</v>
      </c>
      <c r="X115" s="311">
        <f t="shared" si="264"/>
        <v>12.319144095000002</v>
      </c>
      <c r="Y115" s="11">
        <f t="shared" si="265"/>
        <v>36.95743228500001</v>
      </c>
      <c r="Z115" s="11">
        <f t="shared" si="266"/>
        <v>24.638288190000008</v>
      </c>
      <c r="AA115" s="316">
        <f t="shared" si="50"/>
        <v>36.95743228500001</v>
      </c>
      <c r="AB115" s="170">
        <f t="shared" si="51"/>
        <v>6.6523378113000007</v>
      </c>
      <c r="AC115" s="11">
        <f t="shared" si="52"/>
        <v>36.95743228500001</v>
      </c>
      <c r="AD115" s="152">
        <f t="shared" si="53"/>
        <v>193.09274929031764</v>
      </c>
      <c r="AE115" s="151">
        <f t="shared" si="267"/>
        <v>9.6414665846384686</v>
      </c>
      <c r="AF115" s="12">
        <f t="shared" si="268"/>
        <v>213.84669438637363</v>
      </c>
      <c r="AG115" s="216">
        <f t="shared" si="269"/>
        <v>1.4642013739323561E-2</v>
      </c>
      <c r="AH115" s="2">
        <f t="shared" si="55"/>
        <v>2</v>
      </c>
      <c r="AI115" s="2">
        <f t="shared" si="56"/>
        <v>3</v>
      </c>
      <c r="AJ115" s="127">
        <f t="shared" si="57"/>
        <v>2</v>
      </c>
      <c r="AK115" s="2">
        <f t="shared" si="58"/>
        <v>1.5748031496062995E-2</v>
      </c>
      <c r="AL115" s="8">
        <f t="shared" si="270"/>
        <v>0.15408938414140574</v>
      </c>
      <c r="AM115" s="138">
        <f t="shared" si="59"/>
        <v>0.25</v>
      </c>
      <c r="AN115" s="12">
        <f t="shared" si="271"/>
        <v>12772.348399493339</v>
      </c>
      <c r="AO115" s="138">
        <f t="shared" si="60"/>
        <v>0.25</v>
      </c>
      <c r="AP115" s="116">
        <f t="shared" si="61"/>
        <v>2175570</v>
      </c>
      <c r="AQ115" s="2">
        <f t="shared" si="62"/>
        <v>1.5748031496062995E-2</v>
      </c>
      <c r="AR115" s="8">
        <f t="shared" si="63"/>
        <v>24.638288190000008</v>
      </c>
      <c r="AS115" s="116">
        <f t="shared" si="64"/>
        <v>2610.6840000000002</v>
      </c>
      <c r="AT115" s="217">
        <f t="shared" si="65"/>
        <v>2.6670657695900907E-2</v>
      </c>
      <c r="AU115" s="207">
        <f t="shared" si="66"/>
        <v>4.8485652660752834</v>
      </c>
      <c r="AV115" s="144">
        <f t="shared" si="67"/>
        <v>2679.6928489772531</v>
      </c>
      <c r="AW115" s="138">
        <f t="shared" si="68"/>
        <v>1.25</v>
      </c>
      <c r="AX115" s="116">
        <f t="shared" si="69"/>
        <v>2175570</v>
      </c>
      <c r="AY115" s="2">
        <f t="shared" si="70"/>
        <v>1.5748031496062995E-2</v>
      </c>
      <c r="AZ115" s="8">
        <f t="shared" si="71"/>
        <v>24.638288190000008</v>
      </c>
      <c r="BA115" s="116">
        <f t="shared" si="72"/>
        <v>2610.6840000000002</v>
      </c>
      <c r="BB115" s="217">
        <f t="shared" si="73"/>
        <v>0.13335328847950453</v>
      </c>
      <c r="BC115" s="207">
        <f t="shared" si="74"/>
        <v>3.5793618099881264</v>
      </c>
      <c r="BD115" s="144">
        <f t="shared" si="75"/>
        <v>49455.816926083498</v>
      </c>
      <c r="BE115" s="138">
        <f t="shared" si="76"/>
        <v>1.25</v>
      </c>
      <c r="BF115" s="116">
        <f t="shared" si="77"/>
        <v>2175570</v>
      </c>
      <c r="BG115" s="2">
        <f t="shared" si="78"/>
        <v>1.5748031496062995E-2</v>
      </c>
      <c r="BH115" s="8">
        <f t="shared" si="79"/>
        <v>24.638288190000008</v>
      </c>
      <c r="BI115" s="116">
        <f t="shared" si="80"/>
        <v>2610.6840000000002</v>
      </c>
      <c r="BJ115" s="217">
        <f t="shared" si="81"/>
        <v>0.13335328847950453</v>
      </c>
      <c r="BK115" s="207">
        <f t="shared" si="82"/>
        <v>3.5793618099881264</v>
      </c>
      <c r="BL115" s="144">
        <f t="shared" si="83"/>
        <v>49455.816926083498</v>
      </c>
      <c r="BM115" s="216">
        <f t="shared" si="84"/>
        <v>1.25</v>
      </c>
      <c r="BN115" s="216">
        <f t="shared" si="85"/>
        <v>2.3622047244094495E-2</v>
      </c>
      <c r="BO115" s="238">
        <f t="shared" si="86"/>
        <v>1.5748031496062995E-2</v>
      </c>
      <c r="BP115" s="216">
        <f t="shared" si="87"/>
        <v>0</v>
      </c>
      <c r="BQ115" s="138">
        <f t="shared" si="88"/>
        <v>0</v>
      </c>
      <c r="BR115" s="138">
        <f t="shared" si="89"/>
        <v>1.25</v>
      </c>
      <c r="BS115" s="238">
        <f t="shared" si="90"/>
        <v>0</v>
      </c>
      <c r="BT115" s="138">
        <f t="shared" si="91"/>
        <v>0</v>
      </c>
      <c r="BU115" s="138">
        <f t="shared" si="92"/>
        <v>0</v>
      </c>
      <c r="BV115" s="138">
        <f t="shared" si="93"/>
        <v>1.5</v>
      </c>
      <c r="BW115" s="238">
        <f t="shared" si="94"/>
        <v>0</v>
      </c>
      <c r="BX115" s="216">
        <f t="shared" si="95"/>
        <v>0</v>
      </c>
      <c r="BY115" s="138">
        <f t="shared" si="96"/>
        <v>0</v>
      </c>
      <c r="BZ115" s="138">
        <f t="shared" si="97"/>
        <v>2.3622047244094495E-2</v>
      </c>
      <c r="CA115" s="238">
        <f t="shared" si="98"/>
        <v>0</v>
      </c>
      <c r="CB115" s="138">
        <f t="shared" si="99"/>
        <v>0</v>
      </c>
      <c r="CC115" s="138">
        <f t="shared" si="100"/>
        <v>0</v>
      </c>
      <c r="CD115" s="138">
        <f t="shared" si="101"/>
        <v>2.3622047244094495E-2</v>
      </c>
      <c r="CE115" s="238">
        <f t="shared" si="102"/>
        <v>0</v>
      </c>
      <c r="CF115" s="216">
        <f t="shared" si="103"/>
        <v>0</v>
      </c>
      <c r="CG115" s="138">
        <f t="shared" si="104"/>
        <v>0</v>
      </c>
      <c r="CH115" s="138">
        <f t="shared" si="105"/>
        <v>1.5748031496062995E-2</v>
      </c>
      <c r="CI115" s="238">
        <f t="shared" si="106"/>
        <v>0</v>
      </c>
      <c r="CJ115" s="138">
        <f t="shared" si="107"/>
        <v>0</v>
      </c>
      <c r="CK115" s="138">
        <f t="shared" si="108"/>
        <v>0</v>
      </c>
      <c r="CL115" s="138">
        <f t="shared" si="109"/>
        <v>1.5748031496062995E-2</v>
      </c>
      <c r="CM115" s="238">
        <f t="shared" si="110"/>
        <v>0</v>
      </c>
      <c r="CN115" s="17">
        <f t="shared" si="111"/>
        <v>1.5</v>
      </c>
      <c r="CO115" s="17">
        <f t="shared" si="112"/>
        <v>2.3622047244094495E-2</v>
      </c>
      <c r="CP115" s="17">
        <f t="shared" si="113"/>
        <v>1.5748031496062995E-2</v>
      </c>
      <c r="CQ115" s="17">
        <f>$U115-IF('Inputs-Imperial'!$E$13,0,2)*($CO115+$CN115+$CP115)</f>
        <v>8.8697837484000015</v>
      </c>
      <c r="CR115" s="116">
        <f t="shared" si="114"/>
        <v>23996.194381510079</v>
      </c>
      <c r="CS115" s="8">
        <f t="shared" si="10"/>
        <v>0.62042863891299371</v>
      </c>
      <c r="CT115" s="8">
        <f t="shared" si="115"/>
        <v>0.78767292635521868</v>
      </c>
      <c r="CU115" s="8">
        <f t="shared" si="272"/>
        <v>0.62042863891299371</v>
      </c>
      <c r="CV115" s="8">
        <f t="shared" si="116"/>
        <v>0.78767292635521868</v>
      </c>
      <c r="CW115" s="216">
        <f t="shared" si="117"/>
        <v>8.0821108220447844</v>
      </c>
      <c r="CX115" s="116">
        <f t="shared" si="118"/>
        <v>26334.834999789877</v>
      </c>
      <c r="CY115" s="8">
        <f t="shared" si="119"/>
        <v>0.6808948775438991</v>
      </c>
      <c r="CZ115" s="8">
        <f t="shared" si="120"/>
        <v>0.82516354593734875</v>
      </c>
      <c r="DA115" s="8">
        <f t="shared" si="121"/>
        <v>0.6808948775438991</v>
      </c>
      <c r="DB115" s="8">
        <f t="shared" si="122"/>
        <v>0.82516354593734875</v>
      </c>
      <c r="DC115" s="216">
        <f t="shared" si="123"/>
        <v>8.0446202024626512</v>
      </c>
      <c r="DD115" s="116">
        <f t="shared" si="124"/>
        <v>26457.564135024022</v>
      </c>
      <c r="DE115" s="8">
        <f t="shared" si="125"/>
        <v>0.68406807530674774</v>
      </c>
      <c r="DF115" s="8">
        <f t="shared" si="126"/>
        <v>0.82708407995000588</v>
      </c>
      <c r="DG115" s="8">
        <f t="shared" si="127"/>
        <v>0.68406807530674774</v>
      </c>
      <c r="DH115" s="8">
        <f t="shared" si="128"/>
        <v>0.82708407995000588</v>
      </c>
      <c r="DI115" s="216">
        <f t="shared" si="129"/>
        <v>8.0426996684499965</v>
      </c>
      <c r="DJ115" s="116">
        <f t="shared" si="130"/>
        <v>26463.881995183918</v>
      </c>
      <c r="DK115" s="8">
        <f t="shared" si="131"/>
        <v>0.68423142543291882</v>
      </c>
      <c r="DL115" s="8">
        <f t="shared" si="132"/>
        <v>0.82718282467234461</v>
      </c>
      <c r="DM115" s="8">
        <f t="shared" si="133"/>
        <v>0.68423142543291882</v>
      </c>
      <c r="DN115" s="8">
        <f t="shared" si="134"/>
        <v>0.82718282467234461</v>
      </c>
      <c r="DO115" s="216">
        <f t="shared" si="135"/>
        <v>8.0426009237276563</v>
      </c>
      <c r="DP115" s="116">
        <f t="shared" si="136"/>
        <v>26464.206911054349</v>
      </c>
      <c r="DQ115" s="170">
        <f t="shared" si="137"/>
        <v>0.6842398262279803</v>
      </c>
      <c r="DR115" s="8">
        <f t="shared" si="138"/>
        <v>0.82718790261220598</v>
      </c>
      <c r="DS115" s="8">
        <f t="shared" si="139"/>
        <v>0.6842398262279803</v>
      </c>
      <c r="DT115" s="134">
        <f t="shared" si="140"/>
        <v>0.82718790261220598</v>
      </c>
      <c r="DU115" s="170">
        <f t="shared" si="307"/>
        <v>0.85358264160295871</v>
      </c>
      <c r="DV115" s="170">
        <f t="shared" si="307"/>
        <v>0.92389536290802909</v>
      </c>
      <c r="DW115" s="170">
        <f t="shared" si="307"/>
        <v>0.85358264160295871</v>
      </c>
      <c r="DX115" s="272">
        <f t="shared" si="307"/>
        <v>0.92389536290802909</v>
      </c>
      <c r="DY115" s="272">
        <f t="shared" si="142"/>
        <v>7.0219930225839438</v>
      </c>
      <c r="DZ115" s="22">
        <f t="shared" si="273"/>
        <v>401.72777435993618</v>
      </c>
      <c r="EA115" s="216">
        <f t="shared" si="274"/>
        <v>2.6319531048488106E-2</v>
      </c>
      <c r="EB115" s="12">
        <f t="shared" si="143"/>
        <v>4</v>
      </c>
      <c r="EC115" s="7">
        <f>ROUND(MAX(DV115,DX115)/'Inputs-Imperial'!$E$21,0)</f>
        <v>8</v>
      </c>
      <c r="ED115" s="12">
        <f t="shared" si="144"/>
        <v>8</v>
      </c>
      <c r="EE115" s="2">
        <f t="shared" si="145"/>
        <v>4</v>
      </c>
      <c r="EF115" s="127">
        <f t="shared" si="146"/>
        <v>4</v>
      </c>
      <c r="EG115" s="2">
        <f t="shared" si="147"/>
        <v>3.1496062992125991E-2</v>
      </c>
      <c r="EH115" s="8">
        <f t="shared" si="275"/>
        <v>0.27698104935253942</v>
      </c>
      <c r="EI115" s="138">
        <f t="shared" si="148"/>
        <v>0.5</v>
      </c>
      <c r="EJ115" s="12">
        <f t="shared" si="276"/>
        <v>11479.371152335174</v>
      </c>
      <c r="EK115" s="138">
        <f t="shared" si="149"/>
        <v>0.5</v>
      </c>
      <c r="EL115" s="116">
        <f t="shared" si="150"/>
        <v>2175570</v>
      </c>
      <c r="EM115" s="2">
        <f t="shared" si="277"/>
        <v>3.1496062992125991E-2</v>
      </c>
      <c r="EN115" s="8">
        <f t="shared" si="151"/>
        <v>8.8697837484000015</v>
      </c>
      <c r="EO115" s="116">
        <f t="shared" si="152"/>
        <v>2610.6840000000002</v>
      </c>
      <c r="EP115" s="217">
        <f t="shared" si="153"/>
        <v>0.82316844740434914</v>
      </c>
      <c r="EQ115" s="207">
        <f t="shared" si="154"/>
        <v>2</v>
      </c>
      <c r="ER115" s="144">
        <f t="shared" si="155"/>
        <v>34115.89403222609</v>
      </c>
      <c r="ES115" s="138">
        <f t="shared" si="278"/>
        <v>0.5</v>
      </c>
      <c r="ET115" s="116">
        <f t="shared" si="156"/>
        <v>2175570</v>
      </c>
      <c r="EU115" s="2">
        <f t="shared" si="279"/>
        <v>3.1496062992125991E-2</v>
      </c>
      <c r="EV115" s="8">
        <f t="shared" si="157"/>
        <v>8.8697837484000015</v>
      </c>
      <c r="EW115" s="116">
        <f t="shared" si="158"/>
        <v>2610.6840000000002</v>
      </c>
      <c r="EX115" s="217">
        <f t="shared" si="159"/>
        <v>0.82316844740434914</v>
      </c>
      <c r="EY115" s="207">
        <f t="shared" si="160"/>
        <v>2</v>
      </c>
      <c r="EZ115" s="144">
        <f t="shared" si="161"/>
        <v>34115.89403222609</v>
      </c>
      <c r="FA115" s="138">
        <f t="shared" si="280"/>
        <v>0.5</v>
      </c>
      <c r="FB115" s="116">
        <f t="shared" si="162"/>
        <v>2175570</v>
      </c>
      <c r="FC115" s="2">
        <f t="shared" si="281"/>
        <v>3.1496062992125991E-2</v>
      </c>
      <c r="FD115" s="8">
        <f t="shared" si="163"/>
        <v>8.8697837484000015</v>
      </c>
      <c r="FE115" s="116">
        <f t="shared" si="164"/>
        <v>2610.6840000000002</v>
      </c>
      <c r="FF115" s="217">
        <f t="shared" si="165"/>
        <v>0.82316844740434914</v>
      </c>
      <c r="FG115" s="207">
        <f t="shared" si="166"/>
        <v>2</v>
      </c>
      <c r="FH115" s="144">
        <f t="shared" si="167"/>
        <v>34115.89403222609</v>
      </c>
      <c r="FI115" s="128">
        <f t="shared" si="168"/>
        <v>0.5</v>
      </c>
      <c r="FJ115" s="2">
        <f t="shared" si="169"/>
        <v>3.1496062992125991E-2</v>
      </c>
      <c r="FK115" s="127">
        <f t="shared" si="170"/>
        <v>3.1496062992125991E-2</v>
      </c>
      <c r="FL115" s="216">
        <f t="shared" si="171"/>
        <v>0</v>
      </c>
      <c r="FM115" s="138">
        <f t="shared" si="172"/>
        <v>0</v>
      </c>
      <c r="FN115" s="138">
        <f t="shared" si="173"/>
        <v>0.5</v>
      </c>
      <c r="FO115" s="238">
        <f t="shared" si="174"/>
        <v>0</v>
      </c>
      <c r="FP115" s="216">
        <f t="shared" si="282"/>
        <v>0</v>
      </c>
      <c r="FQ115" s="138">
        <f t="shared" si="283"/>
        <v>0</v>
      </c>
      <c r="FR115" s="138">
        <f t="shared" si="284"/>
        <v>0.5</v>
      </c>
      <c r="FS115" s="238">
        <f t="shared" si="285"/>
        <v>0</v>
      </c>
      <c r="FT115" s="216">
        <f t="shared" si="175"/>
        <v>0</v>
      </c>
      <c r="FU115" s="138">
        <f t="shared" si="176"/>
        <v>0</v>
      </c>
      <c r="FV115" s="138">
        <f t="shared" si="177"/>
        <v>3.1496062992125991E-2</v>
      </c>
      <c r="FW115" s="238">
        <f t="shared" si="178"/>
        <v>0</v>
      </c>
      <c r="FX115" s="216">
        <f t="shared" si="286"/>
        <v>0</v>
      </c>
      <c r="FY115" s="138">
        <f t="shared" si="287"/>
        <v>0</v>
      </c>
      <c r="FZ115" s="138">
        <f t="shared" si="288"/>
        <v>3.1496062992125991E-2</v>
      </c>
      <c r="GA115" s="238">
        <f t="shared" si="289"/>
        <v>0</v>
      </c>
      <c r="GB115" s="216">
        <f t="shared" si="179"/>
        <v>0</v>
      </c>
      <c r="GC115" s="138">
        <f t="shared" si="180"/>
        <v>0</v>
      </c>
      <c r="GD115" s="138">
        <f t="shared" si="181"/>
        <v>3.1496062992125991E-2</v>
      </c>
      <c r="GE115" s="238">
        <f t="shared" si="182"/>
        <v>0</v>
      </c>
      <c r="GF115" s="216">
        <f t="shared" si="290"/>
        <v>0</v>
      </c>
      <c r="GG115" s="138">
        <f t="shared" si="291"/>
        <v>0</v>
      </c>
      <c r="GH115" s="138">
        <f t="shared" si="292"/>
        <v>3.1496062992125991E-2</v>
      </c>
      <c r="GI115" s="238">
        <f t="shared" si="293"/>
        <v>0</v>
      </c>
      <c r="GJ115" s="216">
        <f t="shared" si="183"/>
        <v>0.5</v>
      </c>
      <c r="GK115" s="216">
        <f t="shared" si="184"/>
        <v>3.1496062992125991E-2</v>
      </c>
      <c r="GL115" s="17">
        <f t="shared" si="185"/>
        <v>3.1496062992125991E-2</v>
      </c>
      <c r="GM115" s="216">
        <f t="shared" si="294"/>
        <v>1.4010344994159847E-2</v>
      </c>
      <c r="GN115" s="2">
        <f t="shared" si="187"/>
        <v>2</v>
      </c>
      <c r="GO115" s="2">
        <f t="shared" si="188"/>
        <v>2</v>
      </c>
      <c r="GP115" s="142">
        <f t="shared" si="189"/>
        <v>2</v>
      </c>
      <c r="GQ115" s="2">
        <f t="shared" si="190"/>
        <v>1.5748031496062995E-2</v>
      </c>
      <c r="GR115" s="8">
        <f t="shared" si="295"/>
        <v>0.14744183895694482</v>
      </c>
      <c r="GS115" s="138">
        <f t="shared" si="191"/>
        <v>0.25</v>
      </c>
      <c r="GT115" s="12">
        <f t="shared" si="296"/>
        <v>12221.338584181251</v>
      </c>
      <c r="GU115" s="138">
        <f t="shared" si="192"/>
        <v>0.25</v>
      </c>
      <c r="GV115" s="116">
        <f t="shared" si="193"/>
        <v>2175570</v>
      </c>
      <c r="GW115" s="2">
        <f t="shared" si="297"/>
        <v>3.1496062992125991E-2</v>
      </c>
      <c r="GX115" s="8">
        <f t="shared" si="298"/>
        <v>4.4348918742000007</v>
      </c>
      <c r="GY115" s="116">
        <f t="shared" si="194"/>
        <v>2610.6840000000002</v>
      </c>
      <c r="GZ115" s="217">
        <f t="shared" si="195"/>
        <v>1.6463368948086983</v>
      </c>
      <c r="HA115" s="207">
        <f t="shared" si="196"/>
        <v>2</v>
      </c>
      <c r="HB115" s="144">
        <f t="shared" si="197"/>
        <v>34115.89403222609</v>
      </c>
      <c r="HC115" s="138">
        <f t="shared" si="299"/>
        <v>0.25</v>
      </c>
      <c r="HD115" s="116">
        <f t="shared" si="198"/>
        <v>2175570</v>
      </c>
      <c r="HE115" s="2">
        <f t="shared" si="300"/>
        <v>3.1496062992125991E-2</v>
      </c>
      <c r="HF115" s="8">
        <f t="shared" si="199"/>
        <v>4.4348918742000007</v>
      </c>
      <c r="HG115" s="116">
        <f t="shared" si="200"/>
        <v>2610.6840000000002</v>
      </c>
      <c r="HH115" s="217">
        <f t="shared" si="201"/>
        <v>1.6463368948086983</v>
      </c>
      <c r="HI115" s="207">
        <f t="shared" si="202"/>
        <v>2</v>
      </c>
      <c r="HJ115" s="144">
        <f t="shared" si="203"/>
        <v>34115.89403222609</v>
      </c>
      <c r="HK115" s="138">
        <f t="shared" si="301"/>
        <v>0.25</v>
      </c>
      <c r="HL115" s="116">
        <f t="shared" si="204"/>
        <v>2175570</v>
      </c>
      <c r="HM115" s="2">
        <f t="shared" si="302"/>
        <v>3.1496062992125991E-2</v>
      </c>
      <c r="HN115" s="8">
        <f t="shared" si="205"/>
        <v>4.4348918742000007</v>
      </c>
      <c r="HO115" s="116">
        <f t="shared" si="206"/>
        <v>2610.6840000000002</v>
      </c>
      <c r="HP115" s="217">
        <f t="shared" si="207"/>
        <v>1.6463368948086983</v>
      </c>
      <c r="HQ115" s="207">
        <f t="shared" si="208"/>
        <v>2</v>
      </c>
      <c r="HR115" s="144">
        <f t="shared" si="209"/>
        <v>34115.89403222609</v>
      </c>
      <c r="HS115" s="128">
        <f t="shared" si="210"/>
        <v>0.25</v>
      </c>
      <c r="HT115" s="2">
        <f t="shared" si="211"/>
        <v>1.5748031496062995E-2</v>
      </c>
      <c r="HU115" s="127">
        <f t="shared" si="212"/>
        <v>1.5748031496062995E-2</v>
      </c>
      <c r="HV115" s="216">
        <f t="shared" si="213"/>
        <v>0</v>
      </c>
      <c r="HW115" s="138">
        <f t="shared" si="214"/>
        <v>0</v>
      </c>
      <c r="HX115" s="138">
        <f t="shared" si="215"/>
        <v>0.25</v>
      </c>
      <c r="HY115" s="238">
        <f t="shared" si="216"/>
        <v>0</v>
      </c>
      <c r="HZ115" s="138">
        <f t="shared" si="217"/>
        <v>0</v>
      </c>
      <c r="IA115" s="138">
        <f t="shared" si="218"/>
        <v>0</v>
      </c>
      <c r="IB115" s="138">
        <f t="shared" si="219"/>
        <v>0.25</v>
      </c>
      <c r="IC115" s="138">
        <f t="shared" si="220"/>
        <v>0</v>
      </c>
      <c r="ID115" s="216">
        <f t="shared" si="221"/>
        <v>0</v>
      </c>
      <c r="IE115" s="138">
        <f t="shared" si="222"/>
        <v>0</v>
      </c>
      <c r="IF115" s="138">
        <f t="shared" si="223"/>
        <v>1.5748031496062995E-2</v>
      </c>
      <c r="IG115" s="238">
        <f t="shared" si="224"/>
        <v>0</v>
      </c>
      <c r="IH115" s="138">
        <f t="shared" si="225"/>
        <v>0</v>
      </c>
      <c r="II115" s="138">
        <f t="shared" si="226"/>
        <v>0</v>
      </c>
      <c r="IJ115" s="138">
        <f t="shared" si="227"/>
        <v>1.5748031496062995E-2</v>
      </c>
      <c r="IK115" s="138">
        <f t="shared" si="228"/>
        <v>0</v>
      </c>
      <c r="IL115" s="216">
        <f t="shared" si="229"/>
        <v>0</v>
      </c>
      <c r="IM115" s="138">
        <f t="shared" si="230"/>
        <v>0</v>
      </c>
      <c r="IN115" s="138">
        <f t="shared" si="231"/>
        <v>1.5748031496062995E-2</v>
      </c>
      <c r="IO115" s="238">
        <f t="shared" si="232"/>
        <v>0</v>
      </c>
      <c r="IP115" s="138">
        <f t="shared" si="233"/>
        <v>0</v>
      </c>
      <c r="IQ115" s="138">
        <f t="shared" si="234"/>
        <v>0</v>
      </c>
      <c r="IR115" s="138">
        <f t="shared" si="235"/>
        <v>1.5748031496062995E-2</v>
      </c>
      <c r="IS115" s="138">
        <f t="shared" si="236"/>
        <v>0</v>
      </c>
      <c r="IT115" s="17">
        <f t="shared" si="237"/>
        <v>0.25</v>
      </c>
      <c r="IU115" s="17">
        <f t="shared" si="238"/>
        <v>1.5748031496062995E-2</v>
      </c>
      <c r="IV115" s="17">
        <f t="shared" si="239"/>
        <v>1.5748031496062995E-2</v>
      </c>
      <c r="IW115" s="253">
        <f t="shared" si="240"/>
        <v>24.638288190000008</v>
      </c>
      <c r="IX115" s="116">
        <f t="shared" si="303"/>
        <v>863.86299773436281</v>
      </c>
      <c r="IY115" s="8">
        <f t="shared" si="242"/>
        <v>2.2335431000867774E-2</v>
      </c>
      <c r="IZ115" s="8">
        <f t="shared" si="243"/>
        <v>2.2335431000867774E-2</v>
      </c>
      <c r="JA115" s="8">
        <f t="shared" si="244"/>
        <v>1.1167715500433887E-2</v>
      </c>
      <c r="JB115" s="134">
        <f t="shared" si="245"/>
        <v>0.10567741244198728</v>
      </c>
      <c r="JC115" s="170">
        <f t="shared" si="308"/>
        <v>1.3798052057434758E-2</v>
      </c>
      <c r="JD115" s="272">
        <f t="shared" si="309"/>
        <v>0.11746510995795627</v>
      </c>
      <c r="JE115" s="8"/>
      <c r="JF115" s="8"/>
    </row>
    <row r="116" spans="1:266" x14ac:dyDescent="0.25">
      <c r="A116" s="186">
        <v>56</v>
      </c>
      <c r="B116" s="187">
        <f>A116/100*'Inputs-Imperial'!$E$5</f>
        <v>13.485564736000001</v>
      </c>
      <c r="C116" s="188">
        <f>'Inputs-Imperial'!$E$10+('Inputs-Imperial'!$E$9-'Inputs-Imperial'!$E$10)*(100-A116)/100</f>
        <v>4.088582808</v>
      </c>
      <c r="D116" s="187">
        <f t="shared" si="248"/>
        <v>0.24081365600000026</v>
      </c>
      <c r="E116" s="188">
        <f t="shared" si="249"/>
        <v>0.98672964164457444</v>
      </c>
      <c r="F116" s="423">
        <f>Loads!P76</f>
        <v>346.44053818624366</v>
      </c>
      <c r="G116" s="423">
        <f>Loads!M76</f>
        <v>3464.4053818624361</v>
      </c>
      <c r="H116" s="423">
        <f>Loads!N76</f>
        <v>16878.678092443264</v>
      </c>
      <c r="I116" s="423">
        <f>Loads!V76</f>
        <v>-6650.6339203640673</v>
      </c>
      <c r="J116" s="423">
        <f>Loads!Q76</f>
        <v>1687.8678092443267</v>
      </c>
      <c r="K116" s="2">
        <v>56</v>
      </c>
      <c r="L116" s="12">
        <f t="shared" si="41"/>
        <v>161.82677683200001</v>
      </c>
      <c r="M116" s="11">
        <f t="shared" si="42"/>
        <v>49.062993695999999</v>
      </c>
      <c r="N116" s="11">
        <f t="shared" si="43"/>
        <v>2.8897638720000032</v>
      </c>
      <c r="O116" s="152">
        <f t="shared" si="44"/>
        <v>142.08906839681873</v>
      </c>
      <c r="P116" s="151">
        <f t="shared" si="45"/>
        <v>346.44053818624366</v>
      </c>
      <c r="Q116" s="12">
        <f t="shared" si="46"/>
        <v>3464.4053818624361</v>
      </c>
      <c r="R116" s="12">
        <f t="shared" si="47"/>
        <v>202544.13710931916</v>
      </c>
      <c r="S116" s="12">
        <f t="shared" si="48"/>
        <v>-79807.607044368808</v>
      </c>
      <c r="T116" s="152">
        <f t="shared" si="49"/>
        <v>20254.41371093192</v>
      </c>
      <c r="U116" s="8">
        <f t="shared" si="261"/>
        <v>8.8313388652799993</v>
      </c>
      <c r="V116" s="8">
        <f t="shared" si="262"/>
        <v>8.8313388652799993</v>
      </c>
      <c r="W116" s="134">
        <f t="shared" si="263"/>
        <v>4.4156694326399997</v>
      </c>
      <c r="X116" s="311">
        <f t="shared" si="264"/>
        <v>12.265748424</v>
      </c>
      <c r="Y116" s="11">
        <f t="shared" si="265"/>
        <v>36.797245271999998</v>
      </c>
      <c r="Z116" s="11">
        <f t="shared" si="266"/>
        <v>24.531496847999996</v>
      </c>
      <c r="AA116" s="316">
        <f t="shared" si="50"/>
        <v>36.797245271999998</v>
      </c>
      <c r="AB116" s="170">
        <f t="shared" si="51"/>
        <v>6.6235041489599995</v>
      </c>
      <c r="AC116" s="11">
        <f t="shared" si="52"/>
        <v>36.797245271999998</v>
      </c>
      <c r="AD116" s="152">
        <f t="shared" si="53"/>
        <v>191.42250783617197</v>
      </c>
      <c r="AE116" s="151">
        <f t="shared" si="267"/>
        <v>9.4148498243660512</v>
      </c>
      <c r="AF116" s="12">
        <f t="shared" si="268"/>
        <v>208.45930801583626</v>
      </c>
      <c r="AG116" s="216">
        <f t="shared" si="269"/>
        <v>1.4274207629967351E-2</v>
      </c>
      <c r="AH116" s="2">
        <f t="shared" si="55"/>
        <v>2</v>
      </c>
      <c r="AI116" s="2">
        <f t="shared" si="56"/>
        <v>3</v>
      </c>
      <c r="AJ116" s="127">
        <f t="shared" si="57"/>
        <v>2</v>
      </c>
      <c r="AK116" s="2">
        <f t="shared" si="58"/>
        <v>1.5748031496062995E-2</v>
      </c>
      <c r="AL116" s="8">
        <f t="shared" si="270"/>
        <v>0.15021867223775998</v>
      </c>
      <c r="AM116" s="138">
        <f t="shared" si="59"/>
        <v>0.25</v>
      </c>
      <c r="AN116" s="12">
        <f t="shared" si="271"/>
        <v>12451.50812056756</v>
      </c>
      <c r="AO116" s="138">
        <f t="shared" si="60"/>
        <v>0.25</v>
      </c>
      <c r="AP116" s="116">
        <f t="shared" si="61"/>
        <v>2175570</v>
      </c>
      <c r="AQ116" s="2">
        <f t="shared" si="62"/>
        <v>1.5748031496062995E-2</v>
      </c>
      <c r="AR116" s="8">
        <f t="shared" si="63"/>
        <v>24.531496847999996</v>
      </c>
      <c r="AS116" s="116">
        <f t="shared" si="64"/>
        <v>2610.6840000000002</v>
      </c>
      <c r="AT116" s="217">
        <f t="shared" si="65"/>
        <v>2.6903370340806542E-2</v>
      </c>
      <c r="AU116" s="207">
        <f t="shared" si="66"/>
        <v>4.8449040739926899</v>
      </c>
      <c r="AV116" s="144">
        <f t="shared" si="67"/>
        <v>2701.0331760700988</v>
      </c>
      <c r="AW116" s="138">
        <f t="shared" si="68"/>
        <v>1.25</v>
      </c>
      <c r="AX116" s="116">
        <f t="shared" si="69"/>
        <v>2175570</v>
      </c>
      <c r="AY116" s="2">
        <f t="shared" si="70"/>
        <v>1.5748031496062995E-2</v>
      </c>
      <c r="AZ116" s="8">
        <f t="shared" si="71"/>
        <v>24.531496847999996</v>
      </c>
      <c r="BA116" s="116">
        <f t="shared" si="72"/>
        <v>2610.6840000000002</v>
      </c>
      <c r="BB116" s="217">
        <f t="shared" si="73"/>
        <v>0.13451685170403271</v>
      </c>
      <c r="BC116" s="207">
        <f t="shared" si="74"/>
        <v>3.5693518483533491</v>
      </c>
      <c r="BD116" s="144">
        <f t="shared" si="75"/>
        <v>49747.82581982277</v>
      </c>
      <c r="BE116" s="138">
        <f t="shared" si="76"/>
        <v>1.25</v>
      </c>
      <c r="BF116" s="116">
        <f t="shared" si="77"/>
        <v>2175570</v>
      </c>
      <c r="BG116" s="2">
        <f t="shared" si="78"/>
        <v>1.5748031496062995E-2</v>
      </c>
      <c r="BH116" s="8">
        <f t="shared" si="79"/>
        <v>24.531496847999996</v>
      </c>
      <c r="BI116" s="116">
        <f t="shared" si="80"/>
        <v>2610.6840000000002</v>
      </c>
      <c r="BJ116" s="217">
        <f t="shared" si="81"/>
        <v>0.13451685170403271</v>
      </c>
      <c r="BK116" s="207">
        <f t="shared" si="82"/>
        <v>3.5693518483533491</v>
      </c>
      <c r="BL116" s="144">
        <f t="shared" si="83"/>
        <v>49747.82581982277</v>
      </c>
      <c r="BM116" s="216">
        <f t="shared" si="84"/>
        <v>1.25</v>
      </c>
      <c r="BN116" s="216">
        <f t="shared" si="85"/>
        <v>2.3622047244094495E-2</v>
      </c>
      <c r="BO116" s="238">
        <f t="shared" si="86"/>
        <v>1.5748031496062995E-2</v>
      </c>
      <c r="BP116" s="216">
        <f t="shared" si="87"/>
        <v>0</v>
      </c>
      <c r="BQ116" s="138">
        <f t="shared" si="88"/>
        <v>0</v>
      </c>
      <c r="BR116" s="138">
        <f t="shared" si="89"/>
        <v>1.25</v>
      </c>
      <c r="BS116" s="238">
        <f t="shared" si="90"/>
        <v>0</v>
      </c>
      <c r="BT116" s="138">
        <f t="shared" si="91"/>
        <v>0</v>
      </c>
      <c r="BU116" s="138">
        <f t="shared" si="92"/>
        <v>0</v>
      </c>
      <c r="BV116" s="138">
        <f t="shared" si="93"/>
        <v>1.5</v>
      </c>
      <c r="BW116" s="238">
        <f t="shared" si="94"/>
        <v>0</v>
      </c>
      <c r="BX116" s="216">
        <f t="shared" si="95"/>
        <v>0</v>
      </c>
      <c r="BY116" s="138">
        <f t="shared" si="96"/>
        <v>0</v>
      </c>
      <c r="BZ116" s="138">
        <f t="shared" si="97"/>
        <v>2.3622047244094495E-2</v>
      </c>
      <c r="CA116" s="238">
        <f t="shared" si="98"/>
        <v>0</v>
      </c>
      <c r="CB116" s="138">
        <f t="shared" si="99"/>
        <v>0</v>
      </c>
      <c r="CC116" s="138">
        <f t="shared" si="100"/>
        <v>0</v>
      </c>
      <c r="CD116" s="138">
        <f t="shared" si="101"/>
        <v>2.3622047244094495E-2</v>
      </c>
      <c r="CE116" s="238">
        <f t="shared" si="102"/>
        <v>0</v>
      </c>
      <c r="CF116" s="216">
        <f t="shared" si="103"/>
        <v>0</v>
      </c>
      <c r="CG116" s="138">
        <f t="shared" si="104"/>
        <v>0</v>
      </c>
      <c r="CH116" s="138">
        <f t="shared" si="105"/>
        <v>1.5748031496062995E-2</v>
      </c>
      <c r="CI116" s="238">
        <f t="shared" si="106"/>
        <v>0</v>
      </c>
      <c r="CJ116" s="138">
        <f t="shared" si="107"/>
        <v>0</v>
      </c>
      <c r="CK116" s="138">
        <f t="shared" si="108"/>
        <v>0</v>
      </c>
      <c r="CL116" s="138">
        <f t="shared" si="109"/>
        <v>1.5748031496062995E-2</v>
      </c>
      <c r="CM116" s="238">
        <f t="shared" si="110"/>
        <v>0</v>
      </c>
      <c r="CN116" s="17">
        <f t="shared" si="111"/>
        <v>1.5</v>
      </c>
      <c r="CO116" s="17">
        <f t="shared" si="112"/>
        <v>2.3622047244094495E-2</v>
      </c>
      <c r="CP116" s="17">
        <f t="shared" si="113"/>
        <v>1.5748031496062995E-2</v>
      </c>
      <c r="CQ116" s="17">
        <f>$U116-IF('Inputs-Imperial'!$E$13,0,2)*($CO116+$CN116+$CP116)</f>
        <v>8.8313388652799993</v>
      </c>
      <c r="CR116" s="116">
        <f t="shared" si="114"/>
        <v>22934.703355751873</v>
      </c>
      <c r="CS116" s="8">
        <f t="shared" si="10"/>
        <v>0.59298347732366363</v>
      </c>
      <c r="CT116" s="8">
        <f t="shared" si="115"/>
        <v>0.77005420414647674</v>
      </c>
      <c r="CU116" s="8">
        <f t="shared" si="272"/>
        <v>0.59298347732366363</v>
      </c>
      <c r="CV116" s="8">
        <f t="shared" si="116"/>
        <v>0.77005420414647674</v>
      </c>
      <c r="CW116" s="216">
        <f t="shared" si="117"/>
        <v>8.0612846611335236</v>
      </c>
      <c r="CX116" s="116">
        <f t="shared" si="118"/>
        <v>25125.540856516382</v>
      </c>
      <c r="CY116" s="8">
        <f t="shared" si="119"/>
        <v>0.64962822303076728</v>
      </c>
      <c r="CZ116" s="8">
        <f t="shared" si="120"/>
        <v>0.80599517556296041</v>
      </c>
      <c r="DA116" s="8">
        <f t="shared" si="121"/>
        <v>0.64962822303076728</v>
      </c>
      <c r="DB116" s="8">
        <f t="shared" si="122"/>
        <v>0.80599517556296041</v>
      </c>
      <c r="DC116" s="216">
        <f t="shared" si="123"/>
        <v>8.0253436897170403</v>
      </c>
      <c r="DD116" s="116">
        <f t="shared" si="124"/>
        <v>25238.063930999135</v>
      </c>
      <c r="DE116" s="8">
        <f t="shared" si="125"/>
        <v>0.65253754010153719</v>
      </c>
      <c r="DF116" s="8">
        <f t="shared" si="126"/>
        <v>0.80779795747546745</v>
      </c>
      <c r="DG116" s="8">
        <f t="shared" si="127"/>
        <v>0.65253754010153719</v>
      </c>
      <c r="DH116" s="8">
        <f t="shared" si="128"/>
        <v>0.80779795747546745</v>
      </c>
      <c r="DI116" s="216">
        <f t="shared" si="129"/>
        <v>8.0235409078045308</v>
      </c>
      <c r="DJ116" s="116">
        <f t="shared" si="130"/>
        <v>25243.734585101156</v>
      </c>
      <c r="DK116" s="8">
        <f t="shared" si="131"/>
        <v>0.65268415652538869</v>
      </c>
      <c r="DL116" s="8">
        <f t="shared" si="132"/>
        <v>0.80788870305592753</v>
      </c>
      <c r="DM116" s="8">
        <f t="shared" si="133"/>
        <v>0.65268415652538869</v>
      </c>
      <c r="DN116" s="8">
        <f t="shared" si="134"/>
        <v>0.80788870305592753</v>
      </c>
      <c r="DO116" s="216">
        <f t="shared" si="135"/>
        <v>8.0234501622240728</v>
      </c>
      <c r="DP116" s="116">
        <f t="shared" si="136"/>
        <v>25244.020092869203</v>
      </c>
      <c r="DQ116" s="170">
        <f t="shared" si="137"/>
        <v>0.65269153841241268</v>
      </c>
      <c r="DR116" s="8">
        <f t="shared" si="138"/>
        <v>0.80789327167170577</v>
      </c>
      <c r="DS116" s="8">
        <f t="shared" si="139"/>
        <v>0.65269153841241268</v>
      </c>
      <c r="DT116" s="134">
        <f t="shared" si="140"/>
        <v>0.80789327167170577</v>
      </c>
      <c r="DU116" s="170">
        <f t="shared" si="307"/>
        <v>0.85358264160295871</v>
      </c>
      <c r="DV116" s="170">
        <f t="shared" si="307"/>
        <v>0.92389536290802909</v>
      </c>
      <c r="DW116" s="170">
        <f t="shared" si="307"/>
        <v>0.85358264160295871</v>
      </c>
      <c r="DX116" s="272">
        <f t="shared" si="307"/>
        <v>0.92389536290802909</v>
      </c>
      <c r="DY116" s="272">
        <f t="shared" si="142"/>
        <v>6.9835481394639416</v>
      </c>
      <c r="DZ116" s="22">
        <f t="shared" si="273"/>
        <v>392.2854093485854</v>
      </c>
      <c r="EA116" s="216">
        <f t="shared" si="274"/>
        <v>2.5700906609380396E-2</v>
      </c>
      <c r="EB116" s="12">
        <f t="shared" si="143"/>
        <v>4</v>
      </c>
      <c r="EC116" s="7">
        <f>ROUND(MAX(DV116,DX116)/'Inputs-Imperial'!$E$21,0)</f>
        <v>8</v>
      </c>
      <c r="ED116" s="12">
        <f t="shared" si="144"/>
        <v>8</v>
      </c>
      <c r="EE116" s="2">
        <f t="shared" si="145"/>
        <v>4</v>
      </c>
      <c r="EF116" s="127">
        <f t="shared" si="146"/>
        <v>4</v>
      </c>
      <c r="EG116" s="2">
        <f t="shared" si="147"/>
        <v>3.1496062992125991E-2</v>
      </c>
      <c r="EH116" s="8">
        <f t="shared" si="275"/>
        <v>0.27047077962229582</v>
      </c>
      <c r="EI116" s="138">
        <f t="shared" si="148"/>
        <v>0.5</v>
      </c>
      <c r="EJ116" s="12">
        <f t="shared" si="276"/>
        <v>11209.555572135825</v>
      </c>
      <c r="EK116" s="138">
        <f t="shared" si="149"/>
        <v>0.5</v>
      </c>
      <c r="EL116" s="116">
        <f t="shared" si="150"/>
        <v>2175570</v>
      </c>
      <c r="EM116" s="2">
        <f t="shared" si="277"/>
        <v>3.1496062992125991E-2</v>
      </c>
      <c r="EN116" s="8">
        <f t="shared" si="151"/>
        <v>8.8313388652799993</v>
      </c>
      <c r="EO116" s="116">
        <f t="shared" si="152"/>
        <v>2610.6840000000002</v>
      </c>
      <c r="EP116" s="217">
        <f t="shared" si="153"/>
        <v>0.83035093644464619</v>
      </c>
      <c r="EQ116" s="207">
        <f t="shared" si="154"/>
        <v>2</v>
      </c>
      <c r="ER116" s="144">
        <f t="shared" si="155"/>
        <v>34413.569478556739</v>
      </c>
      <c r="ES116" s="138">
        <f t="shared" si="278"/>
        <v>0.5</v>
      </c>
      <c r="ET116" s="116">
        <f t="shared" si="156"/>
        <v>2175570</v>
      </c>
      <c r="EU116" s="2">
        <f t="shared" si="279"/>
        <v>3.1496062992125991E-2</v>
      </c>
      <c r="EV116" s="8">
        <f t="shared" si="157"/>
        <v>8.8313388652799993</v>
      </c>
      <c r="EW116" s="116">
        <f t="shared" si="158"/>
        <v>2610.6840000000002</v>
      </c>
      <c r="EX116" s="217">
        <f t="shared" si="159"/>
        <v>0.83035093644464619</v>
      </c>
      <c r="EY116" s="207">
        <f t="shared" si="160"/>
        <v>2</v>
      </c>
      <c r="EZ116" s="144">
        <f t="shared" si="161"/>
        <v>34413.569478556739</v>
      </c>
      <c r="FA116" s="138">
        <f t="shared" si="280"/>
        <v>0.5</v>
      </c>
      <c r="FB116" s="116">
        <f t="shared" si="162"/>
        <v>2175570</v>
      </c>
      <c r="FC116" s="2">
        <f t="shared" si="281"/>
        <v>3.1496062992125991E-2</v>
      </c>
      <c r="FD116" s="8">
        <f t="shared" si="163"/>
        <v>8.8313388652799993</v>
      </c>
      <c r="FE116" s="116">
        <f t="shared" si="164"/>
        <v>2610.6840000000002</v>
      </c>
      <c r="FF116" s="217">
        <f t="shared" si="165"/>
        <v>0.83035093644464619</v>
      </c>
      <c r="FG116" s="207">
        <f t="shared" si="166"/>
        <v>2</v>
      </c>
      <c r="FH116" s="144">
        <f t="shared" si="167"/>
        <v>34413.569478556739</v>
      </c>
      <c r="FI116" s="128">
        <f t="shared" si="168"/>
        <v>0.5</v>
      </c>
      <c r="FJ116" s="2">
        <f t="shared" si="169"/>
        <v>3.1496062992125991E-2</v>
      </c>
      <c r="FK116" s="127">
        <f t="shared" si="170"/>
        <v>3.1496062992125991E-2</v>
      </c>
      <c r="FL116" s="216">
        <f t="shared" si="171"/>
        <v>0</v>
      </c>
      <c r="FM116" s="138">
        <f t="shared" si="172"/>
        <v>0</v>
      </c>
      <c r="FN116" s="138">
        <f t="shared" si="173"/>
        <v>0.5</v>
      </c>
      <c r="FO116" s="238">
        <f t="shared" si="174"/>
        <v>0</v>
      </c>
      <c r="FP116" s="216">
        <f t="shared" si="282"/>
        <v>0</v>
      </c>
      <c r="FQ116" s="138">
        <f t="shared" si="283"/>
        <v>0</v>
      </c>
      <c r="FR116" s="138">
        <f t="shared" si="284"/>
        <v>0.5</v>
      </c>
      <c r="FS116" s="238">
        <f t="shared" si="285"/>
        <v>0</v>
      </c>
      <c r="FT116" s="216">
        <f t="shared" si="175"/>
        <v>0</v>
      </c>
      <c r="FU116" s="138">
        <f t="shared" si="176"/>
        <v>0</v>
      </c>
      <c r="FV116" s="138">
        <f t="shared" si="177"/>
        <v>3.1496062992125991E-2</v>
      </c>
      <c r="FW116" s="238">
        <f t="shared" si="178"/>
        <v>0</v>
      </c>
      <c r="FX116" s="216">
        <f t="shared" si="286"/>
        <v>0</v>
      </c>
      <c r="FY116" s="138">
        <f t="shared" si="287"/>
        <v>0</v>
      </c>
      <c r="FZ116" s="138">
        <f t="shared" si="288"/>
        <v>3.1496062992125991E-2</v>
      </c>
      <c r="GA116" s="238">
        <f t="shared" si="289"/>
        <v>0</v>
      </c>
      <c r="GB116" s="216">
        <f t="shared" si="179"/>
        <v>0</v>
      </c>
      <c r="GC116" s="138">
        <f t="shared" si="180"/>
        <v>0</v>
      </c>
      <c r="GD116" s="138">
        <f t="shared" si="181"/>
        <v>3.1496062992125991E-2</v>
      </c>
      <c r="GE116" s="238">
        <f t="shared" si="182"/>
        <v>0</v>
      </c>
      <c r="GF116" s="216">
        <f t="shared" si="290"/>
        <v>0</v>
      </c>
      <c r="GG116" s="138">
        <f t="shared" si="291"/>
        <v>0</v>
      </c>
      <c r="GH116" s="138">
        <f t="shared" si="292"/>
        <v>3.1496062992125991E-2</v>
      </c>
      <c r="GI116" s="238">
        <f t="shared" si="293"/>
        <v>0</v>
      </c>
      <c r="GJ116" s="216">
        <f t="shared" si="183"/>
        <v>0.5</v>
      </c>
      <c r="GK116" s="216">
        <f t="shared" si="184"/>
        <v>3.1496062992125991E-2</v>
      </c>
      <c r="GL116" s="17">
        <f t="shared" si="185"/>
        <v>3.1496062992125991E-2</v>
      </c>
      <c r="GM116" s="216">
        <f t="shared" si="294"/>
        <v>1.3657385871342222E-2</v>
      </c>
      <c r="GN116" s="2">
        <f t="shared" si="187"/>
        <v>2</v>
      </c>
      <c r="GO116" s="2">
        <f t="shared" si="188"/>
        <v>2</v>
      </c>
      <c r="GP116" s="142">
        <f t="shared" si="189"/>
        <v>2</v>
      </c>
      <c r="GQ116" s="2">
        <f t="shared" si="190"/>
        <v>1.5748031496062995E-2</v>
      </c>
      <c r="GR116" s="8">
        <f t="shared" si="295"/>
        <v>0.14372737352682485</v>
      </c>
      <c r="GS116" s="138">
        <f t="shared" si="191"/>
        <v>0.25</v>
      </c>
      <c r="GT116" s="12">
        <f t="shared" si="296"/>
        <v>11913.44945310504</v>
      </c>
      <c r="GU116" s="138">
        <f t="shared" si="192"/>
        <v>0.25</v>
      </c>
      <c r="GV116" s="116">
        <f t="shared" si="193"/>
        <v>2175570</v>
      </c>
      <c r="GW116" s="2">
        <f t="shared" si="297"/>
        <v>3.1496062992125991E-2</v>
      </c>
      <c r="GX116" s="8">
        <f t="shared" si="298"/>
        <v>4.4156694326399997</v>
      </c>
      <c r="GY116" s="116">
        <f t="shared" si="194"/>
        <v>2610.6840000000002</v>
      </c>
      <c r="GZ116" s="217">
        <f t="shared" si="195"/>
        <v>1.6607018728892924</v>
      </c>
      <c r="HA116" s="207">
        <f t="shared" si="196"/>
        <v>2</v>
      </c>
      <c r="HB116" s="144">
        <f t="shared" si="197"/>
        <v>34413.569478556739</v>
      </c>
      <c r="HC116" s="138">
        <f t="shared" si="299"/>
        <v>0.25</v>
      </c>
      <c r="HD116" s="116">
        <f t="shared" si="198"/>
        <v>2175570</v>
      </c>
      <c r="HE116" s="2">
        <f t="shared" si="300"/>
        <v>3.1496062992125991E-2</v>
      </c>
      <c r="HF116" s="8">
        <f t="shared" si="199"/>
        <v>4.4156694326399997</v>
      </c>
      <c r="HG116" s="116">
        <f t="shared" si="200"/>
        <v>2610.6840000000002</v>
      </c>
      <c r="HH116" s="217">
        <f t="shared" si="201"/>
        <v>1.6607018728892924</v>
      </c>
      <c r="HI116" s="207">
        <f t="shared" si="202"/>
        <v>2</v>
      </c>
      <c r="HJ116" s="144">
        <f t="shared" si="203"/>
        <v>34413.569478556739</v>
      </c>
      <c r="HK116" s="138">
        <f t="shared" si="301"/>
        <v>0.25</v>
      </c>
      <c r="HL116" s="116">
        <f t="shared" si="204"/>
        <v>2175570</v>
      </c>
      <c r="HM116" s="2">
        <f t="shared" si="302"/>
        <v>3.1496062992125991E-2</v>
      </c>
      <c r="HN116" s="8">
        <f t="shared" si="205"/>
        <v>4.4156694326399997</v>
      </c>
      <c r="HO116" s="116">
        <f t="shared" si="206"/>
        <v>2610.6840000000002</v>
      </c>
      <c r="HP116" s="217">
        <f t="shared" si="207"/>
        <v>1.6607018728892924</v>
      </c>
      <c r="HQ116" s="207">
        <f t="shared" si="208"/>
        <v>2</v>
      </c>
      <c r="HR116" s="144">
        <f t="shared" si="209"/>
        <v>34413.569478556739</v>
      </c>
      <c r="HS116" s="128">
        <f t="shared" si="210"/>
        <v>0.25</v>
      </c>
      <c r="HT116" s="2">
        <f t="shared" si="211"/>
        <v>1.5748031496062995E-2</v>
      </c>
      <c r="HU116" s="127">
        <f t="shared" si="212"/>
        <v>1.5748031496062995E-2</v>
      </c>
      <c r="HV116" s="216">
        <f t="shared" si="213"/>
        <v>0</v>
      </c>
      <c r="HW116" s="138">
        <f t="shared" si="214"/>
        <v>0</v>
      </c>
      <c r="HX116" s="138">
        <f t="shared" si="215"/>
        <v>0.25</v>
      </c>
      <c r="HY116" s="238">
        <f t="shared" si="216"/>
        <v>0</v>
      </c>
      <c r="HZ116" s="138">
        <f t="shared" si="217"/>
        <v>0</v>
      </c>
      <c r="IA116" s="138">
        <f t="shared" si="218"/>
        <v>0</v>
      </c>
      <c r="IB116" s="138">
        <f t="shared" si="219"/>
        <v>0.25</v>
      </c>
      <c r="IC116" s="138">
        <f t="shared" si="220"/>
        <v>0</v>
      </c>
      <c r="ID116" s="216">
        <f t="shared" si="221"/>
        <v>0</v>
      </c>
      <c r="IE116" s="138">
        <f t="shared" si="222"/>
        <v>0</v>
      </c>
      <c r="IF116" s="138">
        <f t="shared" si="223"/>
        <v>1.5748031496062995E-2</v>
      </c>
      <c r="IG116" s="238">
        <f t="shared" si="224"/>
        <v>0</v>
      </c>
      <c r="IH116" s="138">
        <f t="shared" si="225"/>
        <v>0</v>
      </c>
      <c r="II116" s="138">
        <f t="shared" si="226"/>
        <v>0</v>
      </c>
      <c r="IJ116" s="138">
        <f t="shared" si="227"/>
        <v>1.5748031496062995E-2</v>
      </c>
      <c r="IK116" s="138">
        <f t="shared" si="228"/>
        <v>0</v>
      </c>
      <c r="IL116" s="216">
        <f t="shared" si="229"/>
        <v>0</v>
      </c>
      <c r="IM116" s="138">
        <f t="shared" si="230"/>
        <v>0</v>
      </c>
      <c r="IN116" s="138">
        <f t="shared" si="231"/>
        <v>1.5748031496062995E-2</v>
      </c>
      <c r="IO116" s="238">
        <f t="shared" si="232"/>
        <v>0</v>
      </c>
      <c r="IP116" s="138">
        <f t="shared" si="233"/>
        <v>0</v>
      </c>
      <c r="IQ116" s="138">
        <f t="shared" si="234"/>
        <v>0</v>
      </c>
      <c r="IR116" s="138">
        <f t="shared" si="235"/>
        <v>1.5748031496062995E-2</v>
      </c>
      <c r="IS116" s="138">
        <f t="shared" si="236"/>
        <v>0</v>
      </c>
      <c r="IT116" s="17">
        <f t="shared" si="237"/>
        <v>0.25</v>
      </c>
      <c r="IU116" s="17">
        <f t="shared" si="238"/>
        <v>1.5748031496062995E-2</v>
      </c>
      <c r="IV116" s="17">
        <f t="shared" si="239"/>
        <v>1.5748031496062995E-2</v>
      </c>
      <c r="IW116" s="253">
        <f t="shared" si="240"/>
        <v>24.531496847999996</v>
      </c>
      <c r="IX116" s="116">
        <f t="shared" si="303"/>
        <v>825.64932080706774</v>
      </c>
      <c r="IY116" s="8">
        <f t="shared" si="242"/>
        <v>2.1347405183651896E-2</v>
      </c>
      <c r="IZ116" s="8">
        <f t="shared" si="243"/>
        <v>2.1347405183651896E-2</v>
      </c>
      <c r="JA116" s="8">
        <f t="shared" si="244"/>
        <v>1.0673702591825948E-2</v>
      </c>
      <c r="JB116" s="134">
        <f t="shared" si="245"/>
        <v>0.10331361280986136</v>
      </c>
      <c r="JC116" s="170">
        <f t="shared" si="308"/>
        <v>1.3798052057434758E-2</v>
      </c>
      <c r="JD116" s="272">
        <f t="shared" si="309"/>
        <v>0.11746510995795627</v>
      </c>
      <c r="JE116" s="8"/>
      <c r="JF116" s="8"/>
    </row>
    <row r="117" spans="1:266" x14ac:dyDescent="0.25">
      <c r="A117" s="186">
        <v>57</v>
      </c>
      <c r="B117" s="187">
        <f>A117/100*'Inputs-Imperial'!$E$5</f>
        <v>13.726378391999997</v>
      </c>
      <c r="C117" s="188">
        <f>'Inputs-Imperial'!$E$10+('Inputs-Imperial'!$E$9-'Inputs-Imperial'!$E$10)*(100-A117)/100</f>
        <v>4.0707842510000001</v>
      </c>
      <c r="D117" s="187">
        <f t="shared" si="248"/>
        <v>0.24081365599999671</v>
      </c>
      <c r="E117" s="188">
        <f t="shared" si="249"/>
        <v>0.98244350606186559</v>
      </c>
      <c r="F117" s="423">
        <f>Loads!P77</f>
        <v>336.61960961236065</v>
      </c>
      <c r="G117" s="423">
        <f>Loads!M77</f>
        <v>3366.1960961236059</v>
      </c>
      <c r="H117" s="423">
        <f>Loads!N77</f>
        <v>16044.401966570906</v>
      </c>
      <c r="I117" s="423">
        <f>Loads!V77</f>
        <v>-6422.156037805079</v>
      </c>
      <c r="J117" s="423">
        <f>Loads!Q77</f>
        <v>1604.4401966570908</v>
      </c>
      <c r="K117" s="2">
        <v>57</v>
      </c>
      <c r="L117" s="12">
        <f t="shared" si="41"/>
        <v>164.71654070399995</v>
      </c>
      <c r="M117" s="11">
        <f t="shared" si="42"/>
        <v>48.849411012000004</v>
      </c>
      <c r="N117" s="11">
        <f t="shared" si="43"/>
        <v>2.8897638719999605</v>
      </c>
      <c r="O117" s="152">
        <f t="shared" si="44"/>
        <v>141.47186487290864</v>
      </c>
      <c r="P117" s="151">
        <f t="shared" si="45"/>
        <v>336.61960961236065</v>
      </c>
      <c r="Q117" s="12">
        <f t="shared" si="46"/>
        <v>3366.1960961236059</v>
      </c>
      <c r="R117" s="12">
        <f t="shared" si="47"/>
        <v>192532.82359885087</v>
      </c>
      <c r="S117" s="12">
        <f t="shared" si="48"/>
        <v>-77065.872453660952</v>
      </c>
      <c r="T117" s="152">
        <f t="shared" si="49"/>
        <v>19253.282359885088</v>
      </c>
      <c r="U117" s="8">
        <f t="shared" si="261"/>
        <v>8.7928939821600007</v>
      </c>
      <c r="V117" s="8">
        <f t="shared" si="262"/>
        <v>8.7928939821600007</v>
      </c>
      <c r="W117" s="134">
        <f t="shared" si="263"/>
        <v>4.3964469910800004</v>
      </c>
      <c r="X117" s="311">
        <f t="shared" si="264"/>
        <v>12.212352753000001</v>
      </c>
      <c r="Y117" s="11">
        <f t="shared" si="265"/>
        <v>36.637058259</v>
      </c>
      <c r="Z117" s="11">
        <f t="shared" si="266"/>
        <v>24.424705505999999</v>
      </c>
      <c r="AA117" s="316">
        <f t="shared" si="50"/>
        <v>36.637058259</v>
      </c>
      <c r="AB117" s="170">
        <f t="shared" si="51"/>
        <v>6.5946704866200001</v>
      </c>
      <c r="AC117" s="11">
        <f t="shared" si="52"/>
        <v>36.637058259</v>
      </c>
      <c r="AD117" s="152">
        <f t="shared" si="53"/>
        <v>189.75952154192652</v>
      </c>
      <c r="AE117" s="151">
        <f t="shared" si="267"/>
        <v>9.1879540991714048</v>
      </c>
      <c r="AF117" s="12">
        <f t="shared" si="268"/>
        <v>203.06193815058074</v>
      </c>
      <c r="AG117" s="216">
        <f t="shared" si="269"/>
        <v>1.3905729166986677E-2</v>
      </c>
      <c r="AH117" s="2">
        <f t="shared" si="55"/>
        <v>2</v>
      </c>
      <c r="AI117" s="2">
        <f t="shared" si="56"/>
        <v>3</v>
      </c>
      <c r="AJ117" s="127">
        <f t="shared" si="57"/>
        <v>2</v>
      </c>
      <c r="AK117" s="2">
        <f t="shared" si="58"/>
        <v>1.5748031496062995E-2</v>
      </c>
      <c r="AL117" s="8">
        <f t="shared" si="270"/>
        <v>0.14634088463006392</v>
      </c>
      <c r="AM117" s="138">
        <f t="shared" si="59"/>
        <v>0.25</v>
      </c>
      <c r="AN117" s="12">
        <f t="shared" si="271"/>
        <v>12130.081342073332</v>
      </c>
      <c r="AO117" s="138">
        <f t="shared" si="60"/>
        <v>0.25</v>
      </c>
      <c r="AP117" s="116">
        <f t="shared" si="61"/>
        <v>2175570</v>
      </c>
      <c r="AQ117" s="2">
        <f t="shared" si="62"/>
        <v>1.5748031496062995E-2</v>
      </c>
      <c r="AR117" s="8">
        <f t="shared" si="63"/>
        <v>24.424705505999999</v>
      </c>
      <c r="AS117" s="116">
        <f t="shared" si="64"/>
        <v>2610.6840000000002</v>
      </c>
      <c r="AT117" s="217">
        <f t="shared" si="65"/>
        <v>2.7139142099621219E-2</v>
      </c>
      <c r="AU117" s="207">
        <f t="shared" si="66"/>
        <v>4.8411993321385483</v>
      </c>
      <c r="AV117" s="144">
        <f t="shared" si="67"/>
        <v>2722.6205958900696</v>
      </c>
      <c r="AW117" s="138">
        <f t="shared" si="68"/>
        <v>1.25</v>
      </c>
      <c r="AX117" s="116">
        <f t="shared" si="69"/>
        <v>2175570</v>
      </c>
      <c r="AY117" s="2">
        <f t="shared" si="70"/>
        <v>1.5748031496062995E-2</v>
      </c>
      <c r="AZ117" s="8">
        <f t="shared" si="71"/>
        <v>24.424705505999999</v>
      </c>
      <c r="BA117" s="116">
        <f t="shared" si="72"/>
        <v>2610.6840000000002</v>
      </c>
      <c r="BB117" s="217">
        <f t="shared" si="73"/>
        <v>0.13569571049810608</v>
      </c>
      <c r="BC117" s="207">
        <f t="shared" si="74"/>
        <v>3.5592792948445404</v>
      </c>
      <c r="BD117" s="144">
        <f t="shared" si="75"/>
        <v>50042.181956532477</v>
      </c>
      <c r="BE117" s="138">
        <f t="shared" si="76"/>
        <v>1.25</v>
      </c>
      <c r="BF117" s="116">
        <f t="shared" si="77"/>
        <v>2175570</v>
      </c>
      <c r="BG117" s="2">
        <f t="shared" si="78"/>
        <v>1.5748031496062995E-2</v>
      </c>
      <c r="BH117" s="8">
        <f t="shared" si="79"/>
        <v>24.424705505999999</v>
      </c>
      <c r="BI117" s="116">
        <f t="shared" si="80"/>
        <v>2610.6840000000002</v>
      </c>
      <c r="BJ117" s="217">
        <f t="shared" si="81"/>
        <v>0.13569571049810608</v>
      </c>
      <c r="BK117" s="207">
        <f t="shared" si="82"/>
        <v>3.5592792948445404</v>
      </c>
      <c r="BL117" s="144">
        <f t="shared" si="83"/>
        <v>50042.181956532477</v>
      </c>
      <c r="BM117" s="216">
        <f t="shared" si="84"/>
        <v>1.25</v>
      </c>
      <c r="BN117" s="216">
        <f t="shared" si="85"/>
        <v>2.3622047244094495E-2</v>
      </c>
      <c r="BO117" s="238">
        <f t="shared" si="86"/>
        <v>1.5748031496062995E-2</v>
      </c>
      <c r="BP117" s="216">
        <f t="shared" si="87"/>
        <v>0</v>
      </c>
      <c r="BQ117" s="138">
        <f t="shared" si="88"/>
        <v>0</v>
      </c>
      <c r="BR117" s="138">
        <f t="shared" si="89"/>
        <v>1.25</v>
      </c>
      <c r="BS117" s="238">
        <f t="shared" si="90"/>
        <v>0</v>
      </c>
      <c r="BT117" s="138">
        <f t="shared" si="91"/>
        <v>0</v>
      </c>
      <c r="BU117" s="138">
        <f t="shared" si="92"/>
        <v>0</v>
      </c>
      <c r="BV117" s="138">
        <f t="shared" si="93"/>
        <v>1.5</v>
      </c>
      <c r="BW117" s="238">
        <f t="shared" si="94"/>
        <v>0</v>
      </c>
      <c r="BX117" s="216">
        <f t="shared" si="95"/>
        <v>0</v>
      </c>
      <c r="BY117" s="138">
        <f t="shared" si="96"/>
        <v>0</v>
      </c>
      <c r="BZ117" s="138">
        <f t="shared" si="97"/>
        <v>2.3622047244094495E-2</v>
      </c>
      <c r="CA117" s="238">
        <f t="shared" si="98"/>
        <v>0</v>
      </c>
      <c r="CB117" s="138">
        <f t="shared" si="99"/>
        <v>0</v>
      </c>
      <c r="CC117" s="138">
        <f t="shared" si="100"/>
        <v>0</v>
      </c>
      <c r="CD117" s="138">
        <f t="shared" si="101"/>
        <v>2.3622047244094495E-2</v>
      </c>
      <c r="CE117" s="238">
        <f t="shared" si="102"/>
        <v>0</v>
      </c>
      <c r="CF117" s="216">
        <f t="shared" si="103"/>
        <v>0</v>
      </c>
      <c r="CG117" s="138">
        <f t="shared" si="104"/>
        <v>0</v>
      </c>
      <c r="CH117" s="138">
        <f t="shared" si="105"/>
        <v>1.5748031496062995E-2</v>
      </c>
      <c r="CI117" s="238">
        <f t="shared" si="106"/>
        <v>0</v>
      </c>
      <c r="CJ117" s="138">
        <f t="shared" si="107"/>
        <v>0</v>
      </c>
      <c r="CK117" s="138">
        <f t="shared" si="108"/>
        <v>0</v>
      </c>
      <c r="CL117" s="138">
        <f t="shared" si="109"/>
        <v>1.5748031496062995E-2</v>
      </c>
      <c r="CM117" s="238">
        <f t="shared" si="110"/>
        <v>0</v>
      </c>
      <c r="CN117" s="17">
        <f t="shared" si="111"/>
        <v>1.5</v>
      </c>
      <c r="CO117" s="17">
        <f t="shared" si="112"/>
        <v>2.3622047244094495E-2</v>
      </c>
      <c r="CP117" s="17">
        <f t="shared" si="113"/>
        <v>1.5748031496062995E-2</v>
      </c>
      <c r="CQ117" s="17">
        <f>$U117-IF('Inputs-Imperial'!$E$13,0,2)*($CO117+$CN117+$CP117)</f>
        <v>8.7928939821600007</v>
      </c>
      <c r="CR117" s="116">
        <f t="shared" si="114"/>
        <v>21896.411350970775</v>
      </c>
      <c r="CS117" s="8">
        <f t="shared" si="10"/>
        <v>0.56613813322122752</v>
      </c>
      <c r="CT117" s="8">
        <f t="shared" si="115"/>
        <v>0.75242151299735416</v>
      </c>
      <c r="CU117" s="8">
        <f t="shared" si="272"/>
        <v>0.56613813322122752</v>
      </c>
      <c r="CV117" s="8">
        <f t="shared" si="116"/>
        <v>0.75242151299735416</v>
      </c>
      <c r="CW117" s="216">
        <f t="shared" si="117"/>
        <v>8.0404724691626459</v>
      </c>
      <c r="CX117" s="116">
        <f t="shared" si="118"/>
        <v>23945.461456060642</v>
      </c>
      <c r="CY117" s="8">
        <f t="shared" si="119"/>
        <v>0.61911692425590126</v>
      </c>
      <c r="CZ117" s="8">
        <f t="shared" si="120"/>
        <v>0.78683983392803725</v>
      </c>
      <c r="DA117" s="8">
        <f t="shared" si="121"/>
        <v>0.61911692425590126</v>
      </c>
      <c r="DB117" s="8">
        <f t="shared" si="122"/>
        <v>0.78683983392803725</v>
      </c>
      <c r="DC117" s="216">
        <f t="shared" si="123"/>
        <v>8.0060541482319625</v>
      </c>
      <c r="DD117" s="116">
        <f t="shared" si="124"/>
        <v>24048.403874631469</v>
      </c>
      <c r="DE117" s="8">
        <f t="shared" si="125"/>
        <v>0.6217785306600202</v>
      </c>
      <c r="DF117" s="8">
        <f t="shared" si="126"/>
        <v>0.78852934673353803</v>
      </c>
      <c r="DG117" s="8">
        <f t="shared" si="127"/>
        <v>0.6217785306600202</v>
      </c>
      <c r="DH117" s="8">
        <f t="shared" si="128"/>
        <v>0.78852934673353803</v>
      </c>
      <c r="DI117" s="216">
        <f t="shared" si="129"/>
        <v>8.0043646354264641</v>
      </c>
      <c r="DJ117" s="116">
        <f t="shared" si="130"/>
        <v>24053.479866062215</v>
      </c>
      <c r="DK117" s="8">
        <f t="shared" si="131"/>
        <v>0.62190977190621288</v>
      </c>
      <c r="DL117" s="8">
        <f t="shared" si="132"/>
        <v>0.78861256134188784</v>
      </c>
      <c r="DM117" s="8">
        <f t="shared" si="133"/>
        <v>0.62190977190621288</v>
      </c>
      <c r="DN117" s="8">
        <f t="shared" si="134"/>
        <v>0.78861256134188784</v>
      </c>
      <c r="DO117" s="216">
        <f t="shared" si="135"/>
        <v>8.0042814208181117</v>
      </c>
      <c r="DP117" s="116">
        <f t="shared" si="136"/>
        <v>24053.729932345661</v>
      </c>
      <c r="DQ117" s="170">
        <f t="shared" si="137"/>
        <v>0.62191623744326463</v>
      </c>
      <c r="DR117" s="8">
        <f t="shared" si="138"/>
        <v>0.78861666064271341</v>
      </c>
      <c r="DS117" s="8">
        <f t="shared" si="139"/>
        <v>0.62191623744326463</v>
      </c>
      <c r="DT117" s="134">
        <f t="shared" si="140"/>
        <v>0.78861666064271341</v>
      </c>
      <c r="DU117" s="170">
        <f t="shared" si="307"/>
        <v>0.85358264160295871</v>
      </c>
      <c r="DV117" s="170">
        <f t="shared" si="307"/>
        <v>0.92389536290802909</v>
      </c>
      <c r="DW117" s="170">
        <f t="shared" si="307"/>
        <v>0.85358264160295871</v>
      </c>
      <c r="DX117" s="272">
        <f t="shared" si="307"/>
        <v>0.92389536290802909</v>
      </c>
      <c r="DY117" s="272">
        <f t="shared" si="142"/>
        <v>6.945103256343943</v>
      </c>
      <c r="DZ117" s="22">
        <f t="shared" si="273"/>
        <v>382.83142079880849</v>
      </c>
      <c r="EA117" s="216">
        <f t="shared" si="274"/>
        <v>2.5081520644433485E-2</v>
      </c>
      <c r="EB117" s="12">
        <f t="shared" si="143"/>
        <v>4</v>
      </c>
      <c r="EC117" s="7">
        <f>ROUND(MAX(DV117,DX117)/'Inputs-Imperial'!$E$21,0)</f>
        <v>8</v>
      </c>
      <c r="ED117" s="12">
        <f t="shared" si="144"/>
        <v>8</v>
      </c>
      <c r="EE117" s="2">
        <f t="shared" si="145"/>
        <v>4</v>
      </c>
      <c r="EF117" s="127">
        <f t="shared" si="146"/>
        <v>4</v>
      </c>
      <c r="EG117" s="2">
        <f t="shared" si="147"/>
        <v>3.1496062992125991E-2</v>
      </c>
      <c r="EH117" s="8">
        <f t="shared" si="275"/>
        <v>0.26395249575891039</v>
      </c>
      <c r="EI117" s="138">
        <f t="shared" si="148"/>
        <v>0.5</v>
      </c>
      <c r="EJ117" s="12">
        <f t="shared" si="276"/>
        <v>10939.407849325949</v>
      </c>
      <c r="EK117" s="138">
        <f t="shared" si="149"/>
        <v>0.5</v>
      </c>
      <c r="EL117" s="116">
        <f t="shared" si="150"/>
        <v>2175570</v>
      </c>
      <c r="EM117" s="2">
        <f t="shared" si="277"/>
        <v>3.1496062992125991E-2</v>
      </c>
      <c r="EN117" s="8">
        <f t="shared" si="151"/>
        <v>8.7928939821600007</v>
      </c>
      <c r="EO117" s="116">
        <f t="shared" si="152"/>
        <v>2610.6840000000002</v>
      </c>
      <c r="EP117" s="217">
        <f t="shared" si="153"/>
        <v>0.8376278425809015</v>
      </c>
      <c r="EQ117" s="207">
        <f t="shared" si="154"/>
        <v>2</v>
      </c>
      <c r="ER117" s="144">
        <f t="shared" si="155"/>
        <v>34715.158004465084</v>
      </c>
      <c r="ES117" s="138">
        <f t="shared" si="278"/>
        <v>0.5</v>
      </c>
      <c r="ET117" s="116">
        <f t="shared" si="156"/>
        <v>2175570</v>
      </c>
      <c r="EU117" s="2">
        <f t="shared" si="279"/>
        <v>3.1496062992125991E-2</v>
      </c>
      <c r="EV117" s="8">
        <f t="shared" si="157"/>
        <v>8.7928939821600007</v>
      </c>
      <c r="EW117" s="116">
        <f t="shared" si="158"/>
        <v>2610.6840000000002</v>
      </c>
      <c r="EX117" s="217">
        <f t="shared" si="159"/>
        <v>0.8376278425809015</v>
      </c>
      <c r="EY117" s="207">
        <f t="shared" si="160"/>
        <v>2</v>
      </c>
      <c r="EZ117" s="144">
        <f t="shared" si="161"/>
        <v>34715.158004465084</v>
      </c>
      <c r="FA117" s="138">
        <f t="shared" si="280"/>
        <v>0.5</v>
      </c>
      <c r="FB117" s="116">
        <f t="shared" si="162"/>
        <v>2175570</v>
      </c>
      <c r="FC117" s="2">
        <f t="shared" si="281"/>
        <v>3.1496062992125991E-2</v>
      </c>
      <c r="FD117" s="8">
        <f t="shared" si="163"/>
        <v>8.7928939821600007</v>
      </c>
      <c r="FE117" s="116">
        <f t="shared" si="164"/>
        <v>2610.6840000000002</v>
      </c>
      <c r="FF117" s="217">
        <f t="shared" si="165"/>
        <v>0.8376278425809015</v>
      </c>
      <c r="FG117" s="207">
        <f t="shared" si="166"/>
        <v>2</v>
      </c>
      <c r="FH117" s="144">
        <f t="shared" si="167"/>
        <v>34715.158004465084</v>
      </c>
      <c r="FI117" s="128">
        <f t="shared" si="168"/>
        <v>0.5</v>
      </c>
      <c r="FJ117" s="2">
        <f t="shared" si="169"/>
        <v>3.1496062992125991E-2</v>
      </c>
      <c r="FK117" s="127">
        <f t="shared" si="170"/>
        <v>3.1496062992125991E-2</v>
      </c>
      <c r="FL117" s="216">
        <f t="shared" si="171"/>
        <v>0</v>
      </c>
      <c r="FM117" s="138">
        <f t="shared" si="172"/>
        <v>0</v>
      </c>
      <c r="FN117" s="138">
        <f t="shared" si="173"/>
        <v>0.5</v>
      </c>
      <c r="FO117" s="238">
        <f t="shared" si="174"/>
        <v>0</v>
      </c>
      <c r="FP117" s="216">
        <f t="shared" si="282"/>
        <v>0</v>
      </c>
      <c r="FQ117" s="138">
        <f t="shared" si="283"/>
        <v>0</v>
      </c>
      <c r="FR117" s="138">
        <f t="shared" si="284"/>
        <v>0.5</v>
      </c>
      <c r="FS117" s="238">
        <f t="shared" si="285"/>
        <v>0</v>
      </c>
      <c r="FT117" s="216">
        <f t="shared" si="175"/>
        <v>0</v>
      </c>
      <c r="FU117" s="138">
        <f t="shared" si="176"/>
        <v>0</v>
      </c>
      <c r="FV117" s="138">
        <f t="shared" si="177"/>
        <v>3.1496062992125991E-2</v>
      </c>
      <c r="FW117" s="238">
        <f t="shared" si="178"/>
        <v>0</v>
      </c>
      <c r="FX117" s="216">
        <f t="shared" si="286"/>
        <v>0</v>
      </c>
      <c r="FY117" s="138">
        <f t="shared" si="287"/>
        <v>0</v>
      </c>
      <c r="FZ117" s="138">
        <f t="shared" si="288"/>
        <v>3.1496062992125991E-2</v>
      </c>
      <c r="GA117" s="238">
        <f t="shared" si="289"/>
        <v>0</v>
      </c>
      <c r="GB117" s="216">
        <f t="shared" si="179"/>
        <v>0</v>
      </c>
      <c r="GC117" s="138">
        <f t="shared" si="180"/>
        <v>0</v>
      </c>
      <c r="GD117" s="138">
        <f t="shared" si="181"/>
        <v>3.1496062992125991E-2</v>
      </c>
      <c r="GE117" s="238">
        <f t="shared" si="182"/>
        <v>0</v>
      </c>
      <c r="GF117" s="216">
        <f t="shared" si="290"/>
        <v>0</v>
      </c>
      <c r="GG117" s="138">
        <f t="shared" si="291"/>
        <v>0</v>
      </c>
      <c r="GH117" s="138">
        <f t="shared" si="292"/>
        <v>3.1496062992125991E-2</v>
      </c>
      <c r="GI117" s="238">
        <f t="shared" si="293"/>
        <v>0</v>
      </c>
      <c r="GJ117" s="216">
        <f t="shared" si="183"/>
        <v>0.5</v>
      </c>
      <c r="GK117" s="216">
        <f t="shared" si="184"/>
        <v>3.1496062992125991E-2</v>
      </c>
      <c r="GL117" s="17">
        <f t="shared" si="185"/>
        <v>3.1496062992125991E-2</v>
      </c>
      <c r="GM117" s="216">
        <f t="shared" si="294"/>
        <v>1.3303772671520274E-2</v>
      </c>
      <c r="GN117" s="2">
        <f t="shared" si="187"/>
        <v>2</v>
      </c>
      <c r="GO117" s="2">
        <f t="shared" si="188"/>
        <v>2</v>
      </c>
      <c r="GP117" s="142">
        <f t="shared" si="189"/>
        <v>2</v>
      </c>
      <c r="GQ117" s="2">
        <f t="shared" si="190"/>
        <v>1.5748031496062995E-2</v>
      </c>
      <c r="GR117" s="8">
        <f t="shared" si="295"/>
        <v>0.14000602473185009</v>
      </c>
      <c r="GS117" s="138">
        <f t="shared" si="191"/>
        <v>0.25</v>
      </c>
      <c r="GT117" s="12">
        <f t="shared" si="296"/>
        <v>11604.989765305687</v>
      </c>
      <c r="GU117" s="138">
        <f t="shared" si="192"/>
        <v>0.25</v>
      </c>
      <c r="GV117" s="116">
        <f t="shared" si="193"/>
        <v>2175570</v>
      </c>
      <c r="GW117" s="2">
        <f t="shared" si="297"/>
        <v>3.1496062992125991E-2</v>
      </c>
      <c r="GX117" s="8">
        <f t="shared" si="298"/>
        <v>4.3964469910800004</v>
      </c>
      <c r="GY117" s="116">
        <f t="shared" si="194"/>
        <v>2610.6840000000002</v>
      </c>
      <c r="GZ117" s="217">
        <f t="shared" si="195"/>
        <v>1.675255685161803</v>
      </c>
      <c r="HA117" s="207">
        <f t="shared" si="196"/>
        <v>2</v>
      </c>
      <c r="HB117" s="144">
        <f t="shared" si="197"/>
        <v>34715.158004465084</v>
      </c>
      <c r="HC117" s="138">
        <f t="shared" si="299"/>
        <v>0.25</v>
      </c>
      <c r="HD117" s="116">
        <f t="shared" si="198"/>
        <v>2175570</v>
      </c>
      <c r="HE117" s="2">
        <f t="shared" si="300"/>
        <v>3.1496062992125991E-2</v>
      </c>
      <c r="HF117" s="8">
        <f t="shared" si="199"/>
        <v>4.3964469910800004</v>
      </c>
      <c r="HG117" s="116">
        <f t="shared" si="200"/>
        <v>2610.6840000000002</v>
      </c>
      <c r="HH117" s="217">
        <f t="shared" si="201"/>
        <v>1.675255685161803</v>
      </c>
      <c r="HI117" s="207">
        <f t="shared" si="202"/>
        <v>2</v>
      </c>
      <c r="HJ117" s="144">
        <f t="shared" si="203"/>
        <v>34715.158004465084</v>
      </c>
      <c r="HK117" s="138">
        <f t="shared" si="301"/>
        <v>0.25</v>
      </c>
      <c r="HL117" s="116">
        <f t="shared" si="204"/>
        <v>2175570</v>
      </c>
      <c r="HM117" s="2">
        <f t="shared" si="302"/>
        <v>3.1496062992125991E-2</v>
      </c>
      <c r="HN117" s="8">
        <f t="shared" si="205"/>
        <v>4.3964469910800004</v>
      </c>
      <c r="HO117" s="116">
        <f t="shared" si="206"/>
        <v>2610.6840000000002</v>
      </c>
      <c r="HP117" s="217">
        <f t="shared" si="207"/>
        <v>1.675255685161803</v>
      </c>
      <c r="HQ117" s="207">
        <f t="shared" si="208"/>
        <v>2</v>
      </c>
      <c r="HR117" s="144">
        <f t="shared" si="209"/>
        <v>34715.158004465084</v>
      </c>
      <c r="HS117" s="128">
        <f t="shared" si="210"/>
        <v>0.25</v>
      </c>
      <c r="HT117" s="2">
        <f t="shared" si="211"/>
        <v>1.5748031496062995E-2</v>
      </c>
      <c r="HU117" s="127">
        <f t="shared" si="212"/>
        <v>1.5748031496062995E-2</v>
      </c>
      <c r="HV117" s="216">
        <f t="shared" si="213"/>
        <v>0</v>
      </c>
      <c r="HW117" s="138">
        <f t="shared" si="214"/>
        <v>0</v>
      </c>
      <c r="HX117" s="138">
        <f t="shared" si="215"/>
        <v>0.25</v>
      </c>
      <c r="HY117" s="238">
        <f t="shared" si="216"/>
        <v>0</v>
      </c>
      <c r="HZ117" s="138">
        <f t="shared" si="217"/>
        <v>0</v>
      </c>
      <c r="IA117" s="138">
        <f t="shared" si="218"/>
        <v>0</v>
      </c>
      <c r="IB117" s="138">
        <f t="shared" si="219"/>
        <v>0.25</v>
      </c>
      <c r="IC117" s="138">
        <f t="shared" si="220"/>
        <v>0</v>
      </c>
      <c r="ID117" s="216">
        <f t="shared" si="221"/>
        <v>0</v>
      </c>
      <c r="IE117" s="138">
        <f t="shared" si="222"/>
        <v>0</v>
      </c>
      <c r="IF117" s="138">
        <f t="shared" si="223"/>
        <v>1.5748031496062995E-2</v>
      </c>
      <c r="IG117" s="238">
        <f t="shared" si="224"/>
        <v>0</v>
      </c>
      <c r="IH117" s="138">
        <f t="shared" si="225"/>
        <v>0</v>
      </c>
      <c r="II117" s="138">
        <f t="shared" si="226"/>
        <v>0</v>
      </c>
      <c r="IJ117" s="138">
        <f t="shared" si="227"/>
        <v>1.5748031496062995E-2</v>
      </c>
      <c r="IK117" s="138">
        <f t="shared" si="228"/>
        <v>0</v>
      </c>
      <c r="IL117" s="216">
        <f t="shared" si="229"/>
        <v>0</v>
      </c>
      <c r="IM117" s="138">
        <f t="shared" si="230"/>
        <v>0</v>
      </c>
      <c r="IN117" s="138">
        <f t="shared" si="231"/>
        <v>1.5748031496062995E-2</v>
      </c>
      <c r="IO117" s="238">
        <f t="shared" si="232"/>
        <v>0</v>
      </c>
      <c r="IP117" s="138">
        <f t="shared" si="233"/>
        <v>0</v>
      </c>
      <c r="IQ117" s="138">
        <f t="shared" si="234"/>
        <v>0</v>
      </c>
      <c r="IR117" s="138">
        <f t="shared" si="235"/>
        <v>1.5748031496062995E-2</v>
      </c>
      <c r="IS117" s="138">
        <f t="shared" si="236"/>
        <v>0</v>
      </c>
      <c r="IT117" s="17">
        <f t="shared" si="237"/>
        <v>0.25</v>
      </c>
      <c r="IU117" s="17">
        <f t="shared" si="238"/>
        <v>1.5748031496062995E-2</v>
      </c>
      <c r="IV117" s="17">
        <f t="shared" si="239"/>
        <v>1.5748031496062995E-2</v>
      </c>
      <c r="IW117" s="253">
        <f t="shared" si="240"/>
        <v>24.424705505999999</v>
      </c>
      <c r="IX117" s="116">
        <f t="shared" si="303"/>
        <v>788.27080863494814</v>
      </c>
      <c r="IY117" s="8">
        <f t="shared" si="242"/>
        <v>2.0380972795964198E-2</v>
      </c>
      <c r="IZ117" s="8">
        <f t="shared" si="243"/>
        <v>2.0380972795964198E-2</v>
      </c>
      <c r="JA117" s="8">
        <f t="shared" si="244"/>
        <v>1.0190486397982099E-2</v>
      </c>
      <c r="JB117" s="134">
        <f t="shared" si="245"/>
        <v>0.10094793904771954</v>
      </c>
      <c r="JC117" s="170">
        <f t="shared" si="308"/>
        <v>1.3798052057434758E-2</v>
      </c>
      <c r="JD117" s="272">
        <f t="shared" si="309"/>
        <v>0.11746510995795627</v>
      </c>
      <c r="JE117" s="8"/>
      <c r="JF117" s="8"/>
    </row>
    <row r="118" spans="1:266" x14ac:dyDescent="0.25">
      <c r="A118" s="186">
        <v>58</v>
      </c>
      <c r="B118" s="187">
        <f>A118/100*'Inputs-Imperial'!$E$5</f>
        <v>13.967192047999998</v>
      </c>
      <c r="C118" s="188">
        <f>'Inputs-Imperial'!$E$10+('Inputs-Imperial'!$E$9-'Inputs-Imperial'!$E$10)*(100-A118)/100</f>
        <v>4.0529856940000002</v>
      </c>
      <c r="D118" s="187">
        <f t="shared" si="248"/>
        <v>0.24081365600000026</v>
      </c>
      <c r="E118" s="188">
        <f t="shared" si="249"/>
        <v>0.9781573704791855</v>
      </c>
      <c r="F118" s="423">
        <f>Loads!P78</f>
        <v>326.86216350946569</v>
      </c>
      <c r="G118" s="423">
        <f>Loads!M78</f>
        <v>3268.6216350946565</v>
      </c>
      <c r="H118" s="423">
        <f>Loads!N78</f>
        <v>15233.775977850451</v>
      </c>
      <c r="I118" s="423">
        <f>Loads!V78</f>
        <v>-6196.6400079107225</v>
      </c>
      <c r="J118" s="423">
        <f>Loads!Q78</f>
        <v>1523.3775977850455</v>
      </c>
      <c r="K118" s="2">
        <v>58</v>
      </c>
      <c r="L118" s="12">
        <f t="shared" si="41"/>
        <v>167.60630457599996</v>
      </c>
      <c r="M118" s="11">
        <f t="shared" si="42"/>
        <v>48.635828328000002</v>
      </c>
      <c r="N118" s="11">
        <f t="shared" si="43"/>
        <v>2.8897638720000032</v>
      </c>
      <c r="O118" s="152">
        <f t="shared" si="44"/>
        <v>140.8546613490027</v>
      </c>
      <c r="P118" s="151">
        <f t="shared" si="45"/>
        <v>326.86216350946569</v>
      </c>
      <c r="Q118" s="12">
        <f t="shared" si="46"/>
        <v>3268.6216350946565</v>
      </c>
      <c r="R118" s="12">
        <f t="shared" si="47"/>
        <v>182805.3117342054</v>
      </c>
      <c r="S118" s="12">
        <f t="shared" si="48"/>
        <v>-74359.68009492867</v>
      </c>
      <c r="T118" s="152">
        <f t="shared" si="49"/>
        <v>18280.531173420546</v>
      </c>
      <c r="U118" s="8">
        <f t="shared" si="261"/>
        <v>8.7544490990400003</v>
      </c>
      <c r="V118" s="8">
        <f t="shared" si="262"/>
        <v>8.7544490990400003</v>
      </c>
      <c r="W118" s="134">
        <f t="shared" si="263"/>
        <v>4.3772245495200002</v>
      </c>
      <c r="X118" s="311">
        <f t="shared" si="264"/>
        <v>12.158957082000001</v>
      </c>
      <c r="Y118" s="11">
        <f t="shared" si="265"/>
        <v>36.476871246000002</v>
      </c>
      <c r="Z118" s="11">
        <f t="shared" si="266"/>
        <v>24.317914164000001</v>
      </c>
      <c r="AA118" s="316">
        <f t="shared" si="50"/>
        <v>36.476871246000002</v>
      </c>
      <c r="AB118" s="170">
        <f t="shared" si="51"/>
        <v>6.5658368242799998</v>
      </c>
      <c r="AC118" s="11">
        <f t="shared" si="52"/>
        <v>36.476871246000002</v>
      </c>
      <c r="AD118" s="152">
        <f t="shared" si="53"/>
        <v>188.10379040758113</v>
      </c>
      <c r="AE118" s="151">
        <f t="shared" si="267"/>
        <v>8.9608059119190191</v>
      </c>
      <c r="AF118" s="12">
        <f t="shared" si="268"/>
        <v>197.65598538393877</v>
      </c>
      <c r="AG118" s="216">
        <f t="shared" si="269"/>
        <v>1.3536671847782121E-2</v>
      </c>
      <c r="AH118" s="2">
        <f t="shared" si="55"/>
        <v>2</v>
      </c>
      <c r="AI118" s="2">
        <f t="shared" si="56"/>
        <v>3</v>
      </c>
      <c r="AJ118" s="127">
        <f t="shared" si="57"/>
        <v>2</v>
      </c>
      <c r="AK118" s="2">
        <f t="shared" si="58"/>
        <v>1.5748031496062995E-2</v>
      </c>
      <c r="AL118" s="8">
        <f t="shared" si="270"/>
        <v>0.1424570052647291</v>
      </c>
      <c r="AM118" s="138">
        <f t="shared" si="59"/>
        <v>0.25</v>
      </c>
      <c r="AN118" s="12">
        <f t="shared" si="271"/>
        <v>11808.14962255827</v>
      </c>
      <c r="AO118" s="138">
        <f t="shared" si="60"/>
        <v>0.25</v>
      </c>
      <c r="AP118" s="116">
        <f t="shared" si="61"/>
        <v>2175570</v>
      </c>
      <c r="AQ118" s="2">
        <f t="shared" si="62"/>
        <v>1.5748031496062995E-2</v>
      </c>
      <c r="AR118" s="8">
        <f t="shared" si="63"/>
        <v>24.317914164000001</v>
      </c>
      <c r="AS118" s="116">
        <f t="shared" si="64"/>
        <v>2610.6840000000002</v>
      </c>
      <c r="AT118" s="217">
        <f t="shared" si="65"/>
        <v>2.7378026826167124E-2</v>
      </c>
      <c r="AU118" s="207">
        <f t="shared" si="66"/>
        <v>4.8374503711678161</v>
      </c>
      <c r="AV118" s="144">
        <f t="shared" si="67"/>
        <v>2744.4587843000113</v>
      </c>
      <c r="AW118" s="138">
        <f t="shared" si="68"/>
        <v>1.25</v>
      </c>
      <c r="AX118" s="116">
        <f t="shared" si="69"/>
        <v>2175570</v>
      </c>
      <c r="AY118" s="2">
        <f t="shared" si="70"/>
        <v>1.5748031496062995E-2</v>
      </c>
      <c r="AZ118" s="8">
        <f t="shared" si="71"/>
        <v>24.317914164000001</v>
      </c>
      <c r="BA118" s="116">
        <f t="shared" si="72"/>
        <v>2610.6840000000002</v>
      </c>
      <c r="BB118" s="217">
        <f t="shared" si="73"/>
        <v>0.13689013413083562</v>
      </c>
      <c r="BC118" s="207">
        <f t="shared" si="74"/>
        <v>3.5491440645599823</v>
      </c>
      <c r="BD118" s="144">
        <f t="shared" si="75"/>
        <v>50338.912326538375</v>
      </c>
      <c r="BE118" s="138">
        <f t="shared" si="76"/>
        <v>1.25</v>
      </c>
      <c r="BF118" s="116">
        <f t="shared" si="77"/>
        <v>2175570</v>
      </c>
      <c r="BG118" s="2">
        <f t="shared" si="78"/>
        <v>1.5748031496062995E-2</v>
      </c>
      <c r="BH118" s="8">
        <f t="shared" si="79"/>
        <v>24.317914164000001</v>
      </c>
      <c r="BI118" s="116">
        <f t="shared" si="80"/>
        <v>2610.6840000000002</v>
      </c>
      <c r="BJ118" s="217">
        <f t="shared" si="81"/>
        <v>0.13689013413083562</v>
      </c>
      <c r="BK118" s="207">
        <f t="shared" si="82"/>
        <v>3.5491440645599823</v>
      </c>
      <c r="BL118" s="144">
        <f t="shared" si="83"/>
        <v>50338.912326538375</v>
      </c>
      <c r="BM118" s="216">
        <f t="shared" si="84"/>
        <v>1.25</v>
      </c>
      <c r="BN118" s="216">
        <f t="shared" si="85"/>
        <v>2.3622047244094495E-2</v>
      </c>
      <c r="BO118" s="238">
        <f t="shared" si="86"/>
        <v>1.5748031496062995E-2</v>
      </c>
      <c r="BP118" s="216">
        <f t="shared" si="87"/>
        <v>0</v>
      </c>
      <c r="BQ118" s="138">
        <f t="shared" si="88"/>
        <v>0</v>
      </c>
      <c r="BR118" s="138">
        <f t="shared" si="89"/>
        <v>1.25</v>
      </c>
      <c r="BS118" s="238">
        <f t="shared" si="90"/>
        <v>0</v>
      </c>
      <c r="BT118" s="138">
        <f t="shared" si="91"/>
        <v>0</v>
      </c>
      <c r="BU118" s="138">
        <f t="shared" si="92"/>
        <v>0</v>
      </c>
      <c r="BV118" s="138">
        <f t="shared" si="93"/>
        <v>1.5</v>
      </c>
      <c r="BW118" s="238">
        <f t="shared" si="94"/>
        <v>0</v>
      </c>
      <c r="BX118" s="216">
        <f t="shared" si="95"/>
        <v>0</v>
      </c>
      <c r="BY118" s="138">
        <f t="shared" si="96"/>
        <v>0</v>
      </c>
      <c r="BZ118" s="138">
        <f t="shared" si="97"/>
        <v>2.3622047244094495E-2</v>
      </c>
      <c r="CA118" s="238">
        <f t="shared" si="98"/>
        <v>0</v>
      </c>
      <c r="CB118" s="138">
        <f t="shared" si="99"/>
        <v>0</v>
      </c>
      <c r="CC118" s="138">
        <f t="shared" si="100"/>
        <v>0</v>
      </c>
      <c r="CD118" s="138">
        <f t="shared" si="101"/>
        <v>2.3622047244094495E-2</v>
      </c>
      <c r="CE118" s="238">
        <f t="shared" si="102"/>
        <v>0</v>
      </c>
      <c r="CF118" s="216">
        <f t="shared" si="103"/>
        <v>0</v>
      </c>
      <c r="CG118" s="138">
        <f t="shared" si="104"/>
        <v>0</v>
      </c>
      <c r="CH118" s="138">
        <f t="shared" si="105"/>
        <v>1.5748031496062995E-2</v>
      </c>
      <c r="CI118" s="238">
        <f t="shared" si="106"/>
        <v>0</v>
      </c>
      <c r="CJ118" s="138">
        <f t="shared" si="107"/>
        <v>0</v>
      </c>
      <c r="CK118" s="138">
        <f t="shared" si="108"/>
        <v>0</v>
      </c>
      <c r="CL118" s="138">
        <f t="shared" si="109"/>
        <v>1.5748031496062995E-2</v>
      </c>
      <c r="CM118" s="238">
        <f t="shared" si="110"/>
        <v>0</v>
      </c>
      <c r="CN118" s="17">
        <f t="shared" si="111"/>
        <v>1.5</v>
      </c>
      <c r="CO118" s="17">
        <f t="shared" si="112"/>
        <v>2.3622047244094495E-2</v>
      </c>
      <c r="CP118" s="17">
        <f t="shared" si="113"/>
        <v>1.5748031496062995E-2</v>
      </c>
      <c r="CQ118" s="17">
        <f>$U118-IF('Inputs-Imperial'!$E$13,0,2)*($CO118+$CN118+$CP118)</f>
        <v>8.7544490990400003</v>
      </c>
      <c r="CR118" s="116">
        <f t="shared" si="114"/>
        <v>20881.418084234629</v>
      </c>
      <c r="CS118" s="8">
        <f t="shared" si="10"/>
        <v>0.53989518481970145</v>
      </c>
      <c r="CT118" s="8">
        <f t="shared" si="115"/>
        <v>0.73477560167693468</v>
      </c>
      <c r="CU118" s="8">
        <f t="shared" si="272"/>
        <v>0.53989518481970145</v>
      </c>
      <c r="CV118" s="8">
        <f t="shared" si="116"/>
        <v>0.73477560167693468</v>
      </c>
      <c r="CW118" s="216">
        <f t="shared" si="117"/>
        <v>8.0196734973630672</v>
      </c>
      <c r="CX118" s="116">
        <f t="shared" si="118"/>
        <v>22794.607759818806</v>
      </c>
      <c r="CY118" s="8">
        <f t="shared" si="119"/>
        <v>0.58936126462941096</v>
      </c>
      <c r="CZ118" s="8">
        <f t="shared" si="120"/>
        <v>0.76769868088294313</v>
      </c>
      <c r="DA118" s="8">
        <f t="shared" si="121"/>
        <v>0.58936126462941096</v>
      </c>
      <c r="DB118" s="8">
        <f t="shared" si="122"/>
        <v>0.76769868088294313</v>
      </c>
      <c r="DC118" s="216">
        <f t="shared" si="123"/>
        <v>7.9867504181570563</v>
      </c>
      <c r="DD118" s="116">
        <f t="shared" si="124"/>
        <v>22888.571967719978</v>
      </c>
      <c r="DE118" s="8">
        <f t="shared" si="125"/>
        <v>0.59179073676519189</v>
      </c>
      <c r="DF118" s="8">
        <f t="shared" si="126"/>
        <v>0.76927936197794355</v>
      </c>
      <c r="DG118" s="8">
        <f t="shared" si="127"/>
        <v>0.59179073676519189</v>
      </c>
      <c r="DH118" s="8">
        <f t="shared" si="128"/>
        <v>0.76927936197794355</v>
      </c>
      <c r="DI118" s="216">
        <f t="shared" si="129"/>
        <v>7.9851697370620567</v>
      </c>
      <c r="DJ118" s="116">
        <f t="shared" si="130"/>
        <v>22893.102808540178</v>
      </c>
      <c r="DK118" s="8">
        <f t="shared" si="131"/>
        <v>0.59190788298256769</v>
      </c>
      <c r="DL118" s="8">
        <f t="shared" si="132"/>
        <v>0.76935549844175921</v>
      </c>
      <c r="DM118" s="8">
        <f t="shared" si="133"/>
        <v>0.59190788298256769</v>
      </c>
      <c r="DN118" s="8">
        <f t="shared" si="134"/>
        <v>0.76935549844175921</v>
      </c>
      <c r="DO118" s="216">
        <f t="shared" si="135"/>
        <v>7.9850936005982414</v>
      </c>
      <c r="DP118" s="116">
        <f t="shared" si="136"/>
        <v>22893.321090251175</v>
      </c>
      <c r="DQ118" s="170">
        <f t="shared" si="137"/>
        <v>0.59191352672018294</v>
      </c>
      <c r="DR118" s="8">
        <f t="shared" si="138"/>
        <v>0.76935916626773415</v>
      </c>
      <c r="DS118" s="8">
        <f t="shared" si="139"/>
        <v>0.59191352672018294</v>
      </c>
      <c r="DT118" s="134">
        <f t="shared" si="140"/>
        <v>0.76935916626773415</v>
      </c>
      <c r="DU118" s="170">
        <f t="shared" si="307"/>
        <v>0.85358264160295871</v>
      </c>
      <c r="DV118" s="170">
        <f t="shared" si="307"/>
        <v>0.92389536290802909</v>
      </c>
      <c r="DW118" s="170">
        <f t="shared" si="307"/>
        <v>0.85358264160295871</v>
      </c>
      <c r="DX118" s="272">
        <f t="shared" si="307"/>
        <v>0.92389536290802909</v>
      </c>
      <c r="DY118" s="272">
        <f t="shared" si="142"/>
        <v>6.9066583732239426</v>
      </c>
      <c r="DZ118" s="22">
        <f t="shared" si="273"/>
        <v>373.36691299662573</v>
      </c>
      <c r="EA118" s="216">
        <f t="shared" si="274"/>
        <v>2.4461445501869357E-2</v>
      </c>
      <c r="EB118" s="12">
        <f t="shared" si="143"/>
        <v>4</v>
      </c>
      <c r="EC118" s="7">
        <f>ROUND(MAX(DV118,DX118)/'Inputs-Imperial'!$E$21,0)</f>
        <v>8</v>
      </c>
      <c r="ED118" s="12">
        <f t="shared" si="144"/>
        <v>8</v>
      </c>
      <c r="EE118" s="2">
        <f t="shared" si="145"/>
        <v>4</v>
      </c>
      <c r="EF118" s="127">
        <f t="shared" si="146"/>
        <v>4</v>
      </c>
      <c r="EG118" s="2">
        <f t="shared" si="147"/>
        <v>3.1496062992125991E-2</v>
      </c>
      <c r="EH118" s="8">
        <f t="shared" si="275"/>
        <v>0.25742695913941566</v>
      </c>
      <c r="EI118" s="138">
        <f t="shared" si="148"/>
        <v>0.5</v>
      </c>
      <c r="EJ118" s="12">
        <f t="shared" si="276"/>
        <v>10668.959538878578</v>
      </c>
      <c r="EK118" s="138">
        <f t="shared" si="149"/>
        <v>0.5</v>
      </c>
      <c r="EL118" s="116">
        <f t="shared" si="150"/>
        <v>2175570</v>
      </c>
      <c r="EM118" s="2">
        <f t="shared" si="277"/>
        <v>3.1496062992125991E-2</v>
      </c>
      <c r="EN118" s="8">
        <f t="shared" si="151"/>
        <v>8.7544490990400003</v>
      </c>
      <c r="EO118" s="116">
        <f t="shared" si="152"/>
        <v>2610.6840000000002</v>
      </c>
      <c r="EP118" s="217">
        <f t="shared" si="153"/>
        <v>0.84500082796812126</v>
      </c>
      <c r="EQ118" s="207">
        <f t="shared" si="154"/>
        <v>2</v>
      </c>
      <c r="ER118" s="144">
        <f t="shared" si="155"/>
        <v>35020.728497314631</v>
      </c>
      <c r="ES118" s="138">
        <f t="shared" si="278"/>
        <v>0.5</v>
      </c>
      <c r="ET118" s="116">
        <f t="shared" si="156"/>
        <v>2175570</v>
      </c>
      <c r="EU118" s="2">
        <f t="shared" si="279"/>
        <v>3.1496062992125991E-2</v>
      </c>
      <c r="EV118" s="8">
        <f t="shared" si="157"/>
        <v>8.7544490990400003</v>
      </c>
      <c r="EW118" s="116">
        <f t="shared" si="158"/>
        <v>2610.6840000000002</v>
      </c>
      <c r="EX118" s="217">
        <f t="shared" si="159"/>
        <v>0.84500082796812126</v>
      </c>
      <c r="EY118" s="207">
        <f t="shared" si="160"/>
        <v>2</v>
      </c>
      <c r="EZ118" s="144">
        <f t="shared" si="161"/>
        <v>35020.728497314631</v>
      </c>
      <c r="FA118" s="138">
        <f t="shared" si="280"/>
        <v>0.5</v>
      </c>
      <c r="FB118" s="116">
        <f t="shared" si="162"/>
        <v>2175570</v>
      </c>
      <c r="FC118" s="2">
        <f t="shared" si="281"/>
        <v>3.1496062992125991E-2</v>
      </c>
      <c r="FD118" s="8">
        <f t="shared" si="163"/>
        <v>8.7544490990400003</v>
      </c>
      <c r="FE118" s="116">
        <f t="shared" si="164"/>
        <v>2610.6840000000002</v>
      </c>
      <c r="FF118" s="217">
        <f t="shared" si="165"/>
        <v>0.84500082796812126</v>
      </c>
      <c r="FG118" s="207">
        <f t="shared" si="166"/>
        <v>2</v>
      </c>
      <c r="FH118" s="144">
        <f t="shared" si="167"/>
        <v>35020.728497314631</v>
      </c>
      <c r="FI118" s="128">
        <f t="shared" si="168"/>
        <v>0.5</v>
      </c>
      <c r="FJ118" s="2">
        <f t="shared" si="169"/>
        <v>3.1496062992125991E-2</v>
      </c>
      <c r="FK118" s="127">
        <f t="shared" si="170"/>
        <v>3.1496062992125991E-2</v>
      </c>
      <c r="FL118" s="216">
        <f t="shared" si="171"/>
        <v>0</v>
      </c>
      <c r="FM118" s="138">
        <f t="shared" si="172"/>
        <v>0</v>
      </c>
      <c r="FN118" s="138">
        <f t="shared" si="173"/>
        <v>0.5</v>
      </c>
      <c r="FO118" s="238">
        <f t="shared" si="174"/>
        <v>0</v>
      </c>
      <c r="FP118" s="216">
        <f t="shared" si="282"/>
        <v>0</v>
      </c>
      <c r="FQ118" s="138">
        <f t="shared" si="283"/>
        <v>0</v>
      </c>
      <c r="FR118" s="138">
        <f t="shared" si="284"/>
        <v>0.5</v>
      </c>
      <c r="FS118" s="238">
        <f t="shared" si="285"/>
        <v>0</v>
      </c>
      <c r="FT118" s="216">
        <f t="shared" si="175"/>
        <v>0</v>
      </c>
      <c r="FU118" s="138">
        <f t="shared" si="176"/>
        <v>0</v>
      </c>
      <c r="FV118" s="138">
        <f t="shared" si="177"/>
        <v>3.1496062992125991E-2</v>
      </c>
      <c r="FW118" s="238">
        <f t="shared" si="178"/>
        <v>0</v>
      </c>
      <c r="FX118" s="216">
        <f t="shared" si="286"/>
        <v>0</v>
      </c>
      <c r="FY118" s="138">
        <f t="shared" si="287"/>
        <v>0</v>
      </c>
      <c r="FZ118" s="138">
        <f t="shared" si="288"/>
        <v>3.1496062992125991E-2</v>
      </c>
      <c r="GA118" s="238">
        <f t="shared" si="289"/>
        <v>0</v>
      </c>
      <c r="GB118" s="216">
        <f t="shared" si="179"/>
        <v>0</v>
      </c>
      <c r="GC118" s="138">
        <f t="shared" si="180"/>
        <v>0</v>
      </c>
      <c r="GD118" s="138">
        <f t="shared" si="181"/>
        <v>3.1496062992125991E-2</v>
      </c>
      <c r="GE118" s="238">
        <f t="shared" si="182"/>
        <v>0</v>
      </c>
      <c r="GF118" s="216">
        <f t="shared" si="290"/>
        <v>0</v>
      </c>
      <c r="GG118" s="138">
        <f t="shared" si="291"/>
        <v>0</v>
      </c>
      <c r="GH118" s="138">
        <f t="shared" si="292"/>
        <v>3.1496062992125991E-2</v>
      </c>
      <c r="GI118" s="238">
        <f t="shared" si="293"/>
        <v>0</v>
      </c>
      <c r="GJ118" s="216">
        <f t="shared" si="183"/>
        <v>0.5</v>
      </c>
      <c r="GK118" s="216">
        <f t="shared" si="184"/>
        <v>3.1496062992125991E-2</v>
      </c>
      <c r="GL118" s="17">
        <f t="shared" si="185"/>
        <v>3.1496062992125991E-2</v>
      </c>
      <c r="GM118" s="216">
        <f t="shared" si="294"/>
        <v>1.2949597155737257E-2</v>
      </c>
      <c r="GN118" s="2">
        <f t="shared" si="187"/>
        <v>2</v>
      </c>
      <c r="GO118" s="2">
        <f t="shared" si="188"/>
        <v>2</v>
      </c>
      <c r="GP118" s="142">
        <f t="shared" si="189"/>
        <v>2</v>
      </c>
      <c r="GQ118" s="2">
        <f t="shared" si="190"/>
        <v>1.5748031496062995E-2</v>
      </c>
      <c r="GR118" s="8">
        <f t="shared" si="295"/>
        <v>0.1362787582453831</v>
      </c>
      <c r="GS118" s="138">
        <f t="shared" si="191"/>
        <v>0.25</v>
      </c>
      <c r="GT118" s="12">
        <f t="shared" si="296"/>
        <v>11296.039564692099</v>
      </c>
      <c r="GU118" s="138">
        <f t="shared" si="192"/>
        <v>0.25</v>
      </c>
      <c r="GV118" s="116">
        <f t="shared" si="193"/>
        <v>2175570</v>
      </c>
      <c r="GW118" s="2">
        <f t="shared" si="297"/>
        <v>3.1496062992125991E-2</v>
      </c>
      <c r="GX118" s="8">
        <f t="shared" si="298"/>
        <v>4.3772245495200002</v>
      </c>
      <c r="GY118" s="116">
        <f t="shared" si="194"/>
        <v>2610.6840000000002</v>
      </c>
      <c r="GZ118" s="217">
        <f t="shared" si="195"/>
        <v>1.6900016559362425</v>
      </c>
      <c r="HA118" s="207">
        <f t="shared" si="196"/>
        <v>2</v>
      </c>
      <c r="HB118" s="144">
        <f t="shared" si="197"/>
        <v>35020.728497314631</v>
      </c>
      <c r="HC118" s="138">
        <f t="shared" si="299"/>
        <v>0.25</v>
      </c>
      <c r="HD118" s="116">
        <f t="shared" si="198"/>
        <v>2175570</v>
      </c>
      <c r="HE118" s="2">
        <f t="shared" si="300"/>
        <v>3.1496062992125991E-2</v>
      </c>
      <c r="HF118" s="8">
        <f t="shared" si="199"/>
        <v>4.3772245495200002</v>
      </c>
      <c r="HG118" s="116">
        <f t="shared" si="200"/>
        <v>2610.6840000000002</v>
      </c>
      <c r="HH118" s="217">
        <f t="shared" si="201"/>
        <v>1.6900016559362425</v>
      </c>
      <c r="HI118" s="207">
        <f t="shared" si="202"/>
        <v>2</v>
      </c>
      <c r="HJ118" s="144">
        <f t="shared" si="203"/>
        <v>35020.728497314631</v>
      </c>
      <c r="HK118" s="138">
        <f t="shared" si="301"/>
        <v>0.25</v>
      </c>
      <c r="HL118" s="116">
        <f t="shared" si="204"/>
        <v>2175570</v>
      </c>
      <c r="HM118" s="2">
        <f t="shared" si="302"/>
        <v>3.1496062992125991E-2</v>
      </c>
      <c r="HN118" s="8">
        <f t="shared" si="205"/>
        <v>4.3772245495200002</v>
      </c>
      <c r="HO118" s="116">
        <f t="shared" si="206"/>
        <v>2610.6840000000002</v>
      </c>
      <c r="HP118" s="217">
        <f t="shared" si="207"/>
        <v>1.6900016559362425</v>
      </c>
      <c r="HQ118" s="207">
        <f t="shared" si="208"/>
        <v>2</v>
      </c>
      <c r="HR118" s="144">
        <f t="shared" si="209"/>
        <v>35020.728497314631</v>
      </c>
      <c r="HS118" s="128">
        <f t="shared" si="210"/>
        <v>0.25</v>
      </c>
      <c r="HT118" s="2">
        <f t="shared" si="211"/>
        <v>1.5748031496062995E-2</v>
      </c>
      <c r="HU118" s="127">
        <f t="shared" si="212"/>
        <v>1.5748031496062995E-2</v>
      </c>
      <c r="HV118" s="216">
        <f t="shared" si="213"/>
        <v>0</v>
      </c>
      <c r="HW118" s="138">
        <f t="shared" si="214"/>
        <v>0</v>
      </c>
      <c r="HX118" s="138">
        <f t="shared" si="215"/>
        <v>0.25</v>
      </c>
      <c r="HY118" s="238">
        <f t="shared" si="216"/>
        <v>0</v>
      </c>
      <c r="HZ118" s="138">
        <f t="shared" si="217"/>
        <v>0</v>
      </c>
      <c r="IA118" s="138">
        <f t="shared" si="218"/>
        <v>0</v>
      </c>
      <c r="IB118" s="138">
        <f t="shared" si="219"/>
        <v>0.25</v>
      </c>
      <c r="IC118" s="138">
        <f t="shared" si="220"/>
        <v>0</v>
      </c>
      <c r="ID118" s="216">
        <f t="shared" si="221"/>
        <v>0</v>
      </c>
      <c r="IE118" s="138">
        <f t="shared" si="222"/>
        <v>0</v>
      </c>
      <c r="IF118" s="138">
        <f t="shared" si="223"/>
        <v>1.5748031496062995E-2</v>
      </c>
      <c r="IG118" s="238">
        <f t="shared" si="224"/>
        <v>0</v>
      </c>
      <c r="IH118" s="138">
        <f t="shared" si="225"/>
        <v>0</v>
      </c>
      <c r="II118" s="138">
        <f t="shared" si="226"/>
        <v>0</v>
      </c>
      <c r="IJ118" s="138">
        <f t="shared" si="227"/>
        <v>1.5748031496062995E-2</v>
      </c>
      <c r="IK118" s="138">
        <f t="shared" si="228"/>
        <v>0</v>
      </c>
      <c r="IL118" s="216">
        <f t="shared" si="229"/>
        <v>0</v>
      </c>
      <c r="IM118" s="138">
        <f t="shared" si="230"/>
        <v>0</v>
      </c>
      <c r="IN118" s="138">
        <f t="shared" si="231"/>
        <v>1.5748031496062995E-2</v>
      </c>
      <c r="IO118" s="238">
        <f t="shared" si="232"/>
        <v>0</v>
      </c>
      <c r="IP118" s="138">
        <f t="shared" si="233"/>
        <v>0</v>
      </c>
      <c r="IQ118" s="138">
        <f t="shared" si="234"/>
        <v>0</v>
      </c>
      <c r="IR118" s="138">
        <f t="shared" si="235"/>
        <v>1.5748031496062995E-2</v>
      </c>
      <c r="IS118" s="138">
        <f t="shared" si="236"/>
        <v>0</v>
      </c>
      <c r="IT118" s="17">
        <f t="shared" si="237"/>
        <v>0.25</v>
      </c>
      <c r="IU118" s="17">
        <f t="shared" si="238"/>
        <v>1.5748031496062995E-2</v>
      </c>
      <c r="IV118" s="17">
        <f t="shared" si="239"/>
        <v>1.5748031496062995E-2</v>
      </c>
      <c r="IW118" s="253">
        <f t="shared" si="240"/>
        <v>24.317914164000001</v>
      </c>
      <c r="IX118" s="116">
        <f t="shared" si="303"/>
        <v>751.73105103244677</v>
      </c>
      <c r="IY118" s="8">
        <f t="shared" si="242"/>
        <v>1.9436226653509255E-2</v>
      </c>
      <c r="IZ118" s="8">
        <f t="shared" si="243"/>
        <v>1.9436226653509255E-2</v>
      </c>
      <c r="JA118" s="8">
        <f t="shared" si="244"/>
        <v>9.7181133267546273E-3</v>
      </c>
      <c r="JB118" s="134">
        <f t="shared" si="245"/>
        <v>9.8580491613476082E-2</v>
      </c>
      <c r="JC118" s="170">
        <f t="shared" si="308"/>
        <v>1.3798052057434758E-2</v>
      </c>
      <c r="JD118" s="272">
        <f t="shared" si="309"/>
        <v>0.11746510995795627</v>
      </c>
      <c r="JE118" s="8"/>
      <c r="JF118" s="8"/>
    </row>
    <row r="119" spans="1:266" x14ac:dyDescent="0.25">
      <c r="A119" s="186">
        <v>59</v>
      </c>
      <c r="B119" s="187">
        <f>A119/100*'Inputs-Imperial'!$E$5</f>
        <v>14.208005703999998</v>
      </c>
      <c r="C119" s="188">
        <f>'Inputs-Imperial'!$E$10+('Inputs-Imperial'!$E$9-'Inputs-Imperial'!$E$10)*(100-A119)/100</f>
        <v>4.0351871370000003</v>
      </c>
      <c r="D119" s="187">
        <f t="shared" si="248"/>
        <v>0.24081365600000026</v>
      </c>
      <c r="E119" s="188">
        <f t="shared" si="249"/>
        <v>0.9738712348964913</v>
      </c>
      <c r="F119" s="423">
        <f>Loads!P79</f>
        <v>317.16932893861832</v>
      </c>
      <c r="G119" s="423">
        <f>Loads!M79</f>
        <v>3171.6932893861831</v>
      </c>
      <c r="H119" s="423">
        <f>Loads!N79</f>
        <v>14446.647251822609</v>
      </c>
      <c r="I119" s="423">
        <f>Loads!V79</f>
        <v>-5974.1187741590966</v>
      </c>
      <c r="J119" s="423">
        <f>Loads!Q79</f>
        <v>1444.6647251822612</v>
      </c>
      <c r="K119" s="2">
        <v>59</v>
      </c>
      <c r="L119" s="12">
        <f t="shared" si="41"/>
        <v>170.49606844799996</v>
      </c>
      <c r="M119" s="11">
        <f t="shared" si="42"/>
        <v>48.422245644</v>
      </c>
      <c r="N119" s="11">
        <f t="shared" si="43"/>
        <v>2.8897638720000032</v>
      </c>
      <c r="O119" s="152">
        <f t="shared" si="44"/>
        <v>140.23745782509474</v>
      </c>
      <c r="P119" s="151">
        <f t="shared" si="45"/>
        <v>317.16932893861832</v>
      </c>
      <c r="Q119" s="12">
        <f t="shared" si="46"/>
        <v>3171.6932893861831</v>
      </c>
      <c r="R119" s="12">
        <f t="shared" si="47"/>
        <v>173359.76702187132</v>
      </c>
      <c r="S119" s="12">
        <f t="shared" si="48"/>
        <v>-71689.425289909152</v>
      </c>
      <c r="T119" s="152">
        <f t="shared" si="49"/>
        <v>17335.976702187134</v>
      </c>
      <c r="U119" s="8">
        <f t="shared" si="261"/>
        <v>8.71600421592</v>
      </c>
      <c r="V119" s="8">
        <f t="shared" si="262"/>
        <v>8.71600421592</v>
      </c>
      <c r="W119" s="134">
        <f t="shared" si="263"/>
        <v>4.35800210796</v>
      </c>
      <c r="X119" s="311">
        <f t="shared" si="264"/>
        <v>12.105561411</v>
      </c>
      <c r="Y119" s="11">
        <f t="shared" si="265"/>
        <v>36.316684233000004</v>
      </c>
      <c r="Z119" s="11">
        <f t="shared" si="266"/>
        <v>24.211122822000004</v>
      </c>
      <c r="AA119" s="316">
        <f t="shared" si="50"/>
        <v>36.316684233000004</v>
      </c>
      <c r="AB119" s="170">
        <f t="shared" si="51"/>
        <v>6.5370031619399995</v>
      </c>
      <c r="AC119" s="11">
        <f t="shared" si="52"/>
        <v>36.316684233000004</v>
      </c>
      <c r="AD119" s="152">
        <f t="shared" si="53"/>
        <v>186.45531443313587</v>
      </c>
      <c r="AE119" s="151">
        <f t="shared" si="267"/>
        <v>8.7334330112222904</v>
      </c>
      <c r="AF119" s="12">
        <f t="shared" si="268"/>
        <v>192.24291221695765</v>
      </c>
      <c r="AG119" s="216">
        <f t="shared" si="269"/>
        <v>1.3167133307306303E-2</v>
      </c>
      <c r="AH119" s="2">
        <f t="shared" si="55"/>
        <v>2</v>
      </c>
      <c r="AI119" s="2">
        <f t="shared" si="56"/>
        <v>3</v>
      </c>
      <c r="AJ119" s="127">
        <f t="shared" si="57"/>
        <v>2</v>
      </c>
      <c r="AK119" s="2">
        <f t="shared" si="58"/>
        <v>1.5748031496062995E-2</v>
      </c>
      <c r="AL119" s="8">
        <f t="shared" si="270"/>
        <v>0.1385680616308691</v>
      </c>
      <c r="AM119" s="138">
        <f t="shared" si="59"/>
        <v>0.25</v>
      </c>
      <c r="AN119" s="12">
        <f t="shared" si="271"/>
        <v>11485.798129790483</v>
      </c>
      <c r="AO119" s="138">
        <f t="shared" si="60"/>
        <v>0.25</v>
      </c>
      <c r="AP119" s="116">
        <f t="shared" si="61"/>
        <v>2175570</v>
      </c>
      <c r="AQ119" s="2">
        <f t="shared" si="62"/>
        <v>1.5748031496062995E-2</v>
      </c>
      <c r="AR119" s="8">
        <f t="shared" si="63"/>
        <v>24.211122822000004</v>
      </c>
      <c r="AS119" s="116">
        <f t="shared" si="64"/>
        <v>2610.6840000000002</v>
      </c>
      <c r="AT119" s="217">
        <f t="shared" si="65"/>
        <v>2.762007956458257E-2</v>
      </c>
      <c r="AU119" s="207">
        <f t="shared" si="66"/>
        <v>4.8336565094112567</v>
      </c>
      <c r="AV119" s="144">
        <f t="shared" si="67"/>
        <v>2766.5514824164161</v>
      </c>
      <c r="AW119" s="138">
        <f t="shared" si="68"/>
        <v>1.25</v>
      </c>
      <c r="AX119" s="116">
        <f t="shared" si="69"/>
        <v>2175570</v>
      </c>
      <c r="AY119" s="2">
        <f t="shared" si="70"/>
        <v>1.5748031496062995E-2</v>
      </c>
      <c r="AZ119" s="8">
        <f t="shared" si="71"/>
        <v>24.211122822000004</v>
      </c>
      <c r="BA119" s="116">
        <f t="shared" si="72"/>
        <v>2610.6840000000002</v>
      </c>
      <c r="BB119" s="217">
        <f t="shared" si="73"/>
        <v>0.13810039782291286</v>
      </c>
      <c r="BC119" s="207">
        <f t="shared" si="74"/>
        <v>3.5389460818428375</v>
      </c>
      <c r="BD119" s="144">
        <f t="shared" si="75"/>
        <v>50638.044458948236</v>
      </c>
      <c r="BE119" s="138">
        <f t="shared" si="76"/>
        <v>1.25</v>
      </c>
      <c r="BF119" s="116">
        <f t="shared" si="77"/>
        <v>2175570</v>
      </c>
      <c r="BG119" s="2">
        <f t="shared" si="78"/>
        <v>1.5748031496062995E-2</v>
      </c>
      <c r="BH119" s="8">
        <f t="shared" si="79"/>
        <v>24.211122822000004</v>
      </c>
      <c r="BI119" s="116">
        <f t="shared" si="80"/>
        <v>2610.6840000000002</v>
      </c>
      <c r="BJ119" s="217">
        <f t="shared" si="81"/>
        <v>0.13810039782291286</v>
      </c>
      <c r="BK119" s="207">
        <f t="shared" si="82"/>
        <v>3.5389460818428375</v>
      </c>
      <c r="BL119" s="144">
        <f t="shared" si="83"/>
        <v>50638.044458948236</v>
      </c>
      <c r="BM119" s="216">
        <f t="shared" si="84"/>
        <v>1.25</v>
      </c>
      <c r="BN119" s="216">
        <f t="shared" si="85"/>
        <v>2.3622047244094495E-2</v>
      </c>
      <c r="BO119" s="238">
        <f t="shared" si="86"/>
        <v>1.5748031496062995E-2</v>
      </c>
      <c r="BP119" s="216">
        <f t="shared" si="87"/>
        <v>0</v>
      </c>
      <c r="BQ119" s="138">
        <f t="shared" si="88"/>
        <v>0</v>
      </c>
      <c r="BR119" s="138">
        <f t="shared" si="89"/>
        <v>1.25</v>
      </c>
      <c r="BS119" s="238">
        <f t="shared" si="90"/>
        <v>0</v>
      </c>
      <c r="BT119" s="138">
        <f t="shared" si="91"/>
        <v>0</v>
      </c>
      <c r="BU119" s="138">
        <f t="shared" si="92"/>
        <v>0</v>
      </c>
      <c r="BV119" s="138">
        <f t="shared" si="93"/>
        <v>1.5</v>
      </c>
      <c r="BW119" s="238">
        <f t="shared" si="94"/>
        <v>0</v>
      </c>
      <c r="BX119" s="216">
        <f t="shared" si="95"/>
        <v>0</v>
      </c>
      <c r="BY119" s="138">
        <f t="shared" si="96"/>
        <v>0</v>
      </c>
      <c r="BZ119" s="138">
        <f t="shared" si="97"/>
        <v>2.3622047244094495E-2</v>
      </c>
      <c r="CA119" s="238">
        <f t="shared" si="98"/>
        <v>0</v>
      </c>
      <c r="CB119" s="138">
        <f t="shared" si="99"/>
        <v>0</v>
      </c>
      <c r="CC119" s="138">
        <f t="shared" si="100"/>
        <v>0</v>
      </c>
      <c r="CD119" s="138">
        <f t="shared" si="101"/>
        <v>2.3622047244094495E-2</v>
      </c>
      <c r="CE119" s="238">
        <f t="shared" si="102"/>
        <v>0</v>
      </c>
      <c r="CF119" s="216">
        <f t="shared" si="103"/>
        <v>0</v>
      </c>
      <c r="CG119" s="138">
        <f t="shared" si="104"/>
        <v>0</v>
      </c>
      <c r="CH119" s="138">
        <f t="shared" si="105"/>
        <v>1.5748031496062995E-2</v>
      </c>
      <c r="CI119" s="238">
        <f t="shared" si="106"/>
        <v>0</v>
      </c>
      <c r="CJ119" s="138">
        <f t="shared" si="107"/>
        <v>0</v>
      </c>
      <c r="CK119" s="138">
        <f t="shared" si="108"/>
        <v>0</v>
      </c>
      <c r="CL119" s="138">
        <f t="shared" si="109"/>
        <v>1.5748031496062995E-2</v>
      </c>
      <c r="CM119" s="238">
        <f t="shared" si="110"/>
        <v>0</v>
      </c>
      <c r="CN119" s="17">
        <f t="shared" si="111"/>
        <v>1.5</v>
      </c>
      <c r="CO119" s="17">
        <f t="shared" si="112"/>
        <v>2.3622047244094495E-2</v>
      </c>
      <c r="CP119" s="17">
        <f t="shared" si="113"/>
        <v>1.5748031496062995E-2</v>
      </c>
      <c r="CQ119" s="17">
        <f>$U119-IF('Inputs-Imperial'!$E$13,0,2)*($CO119+$CN119+$CP119)</f>
        <v>8.71600421592</v>
      </c>
      <c r="CR119" s="116">
        <f t="shared" si="114"/>
        <v>19889.821382282647</v>
      </c>
      <c r="CS119" s="8">
        <f t="shared" si="10"/>
        <v>0.51425716145810008</v>
      </c>
      <c r="CT119" s="8">
        <f t="shared" si="115"/>
        <v>0.71711725781639091</v>
      </c>
      <c r="CU119" s="8">
        <f t="shared" si="272"/>
        <v>0.51425716145810008</v>
      </c>
      <c r="CV119" s="8">
        <f t="shared" si="116"/>
        <v>0.71711725781639091</v>
      </c>
      <c r="CW119" s="216">
        <f t="shared" si="117"/>
        <v>7.9988869581036095</v>
      </c>
      <c r="CX119" s="116">
        <f t="shared" si="118"/>
        <v>21672.986245447799</v>
      </c>
      <c r="CY119" s="8">
        <f t="shared" si="119"/>
        <v>0.56036141163301512</v>
      </c>
      <c r="CZ119" s="8">
        <f t="shared" si="120"/>
        <v>0.74857291671086734</v>
      </c>
      <c r="DA119" s="8">
        <f t="shared" si="121"/>
        <v>0.56036141163301512</v>
      </c>
      <c r="DB119" s="8">
        <f t="shared" si="122"/>
        <v>0.74857291671086734</v>
      </c>
      <c r="DC119" s="216">
        <f t="shared" si="123"/>
        <v>7.9674312992091334</v>
      </c>
      <c r="DD119" s="116">
        <f t="shared" si="124"/>
        <v>21758.55184833278</v>
      </c>
      <c r="DE119" s="8">
        <f t="shared" si="125"/>
        <v>0.56257373537450817</v>
      </c>
      <c r="DF119" s="8">
        <f t="shared" si="126"/>
        <v>0.75004915530550942</v>
      </c>
      <c r="DG119" s="8">
        <f t="shared" si="127"/>
        <v>0.56257373537450817</v>
      </c>
      <c r="DH119" s="8">
        <f t="shared" si="128"/>
        <v>0.75004915530550942</v>
      </c>
      <c r="DI119" s="216">
        <f t="shared" si="129"/>
        <v>7.9659550606144913</v>
      </c>
      <c r="DJ119" s="116">
        <f t="shared" si="130"/>
        <v>21762.584109845378</v>
      </c>
      <c r="DK119" s="8">
        <f t="shared" si="131"/>
        <v>0.56267799067775459</v>
      </c>
      <c r="DL119" s="8">
        <f t="shared" si="132"/>
        <v>0.7501186510664527</v>
      </c>
      <c r="DM119" s="8">
        <f t="shared" si="133"/>
        <v>0.56267799067775459</v>
      </c>
      <c r="DN119" s="8">
        <f t="shared" si="134"/>
        <v>0.7501186510664527</v>
      </c>
      <c r="DO119" s="216">
        <f t="shared" si="135"/>
        <v>7.965885564853548</v>
      </c>
      <c r="DP119" s="116">
        <f t="shared" si="136"/>
        <v>21762.77397038637</v>
      </c>
      <c r="DQ119" s="170">
        <f t="shared" si="137"/>
        <v>0.56268289957768913</v>
      </c>
      <c r="DR119" s="8">
        <f t="shared" si="138"/>
        <v>0.7501219231416244</v>
      </c>
      <c r="DS119" s="8">
        <f t="shared" si="139"/>
        <v>0.56268289957768913</v>
      </c>
      <c r="DT119" s="134">
        <f t="shared" si="140"/>
        <v>0.7501219231416244</v>
      </c>
      <c r="DU119" s="170">
        <f t="shared" si="307"/>
        <v>0.85358264160295871</v>
      </c>
      <c r="DV119" s="170">
        <f t="shared" si="307"/>
        <v>0.92389536290802909</v>
      </c>
      <c r="DW119" s="170">
        <f t="shared" si="307"/>
        <v>0.85358264160295871</v>
      </c>
      <c r="DX119" s="272">
        <f t="shared" si="307"/>
        <v>0.92389536290802909</v>
      </c>
      <c r="DY119" s="272">
        <f t="shared" si="142"/>
        <v>6.8682134901039422</v>
      </c>
      <c r="DZ119" s="22">
        <f t="shared" si="273"/>
        <v>363.89304213426215</v>
      </c>
      <c r="EA119" s="216">
        <f t="shared" si="274"/>
        <v>2.3840756930588406E-2</v>
      </c>
      <c r="EB119" s="12">
        <f t="shared" si="143"/>
        <v>4</v>
      </c>
      <c r="EC119" s="7">
        <f>ROUND(MAX(DV119,DX119)/'Inputs-Imperial'!$E$21,0)</f>
        <v>8</v>
      </c>
      <c r="ED119" s="12">
        <f t="shared" si="144"/>
        <v>8</v>
      </c>
      <c r="EE119" s="2">
        <f t="shared" si="145"/>
        <v>4</v>
      </c>
      <c r="EF119" s="127">
        <f t="shared" si="146"/>
        <v>4</v>
      </c>
      <c r="EG119" s="2">
        <f t="shared" si="147"/>
        <v>3.1496062992125991E-2</v>
      </c>
      <c r="EH119" s="8">
        <f t="shared" si="275"/>
        <v>0.25089496692884772</v>
      </c>
      <c r="EI119" s="138">
        <f t="shared" si="148"/>
        <v>0.5</v>
      </c>
      <c r="EJ119" s="12">
        <f t="shared" si="276"/>
        <v>10398.243678986539</v>
      </c>
      <c r="EK119" s="138">
        <f t="shared" si="149"/>
        <v>0.5</v>
      </c>
      <c r="EL119" s="116">
        <f t="shared" si="150"/>
        <v>2175570</v>
      </c>
      <c r="EM119" s="2">
        <f t="shared" si="277"/>
        <v>3.1496062992125991E-2</v>
      </c>
      <c r="EN119" s="8">
        <f t="shared" si="151"/>
        <v>8.71600421592</v>
      </c>
      <c r="EO119" s="116">
        <f t="shared" si="152"/>
        <v>2610.6840000000002</v>
      </c>
      <c r="EP119" s="217">
        <f t="shared" si="153"/>
        <v>0.8524715914994625</v>
      </c>
      <c r="EQ119" s="207">
        <f t="shared" si="154"/>
        <v>2</v>
      </c>
      <c r="ER119" s="144">
        <f t="shared" si="155"/>
        <v>35330.351367067145</v>
      </c>
      <c r="ES119" s="138">
        <f t="shared" si="278"/>
        <v>0.5</v>
      </c>
      <c r="ET119" s="116">
        <f t="shared" si="156"/>
        <v>2175570</v>
      </c>
      <c r="EU119" s="2">
        <f t="shared" si="279"/>
        <v>3.1496062992125991E-2</v>
      </c>
      <c r="EV119" s="8">
        <f t="shared" si="157"/>
        <v>8.71600421592</v>
      </c>
      <c r="EW119" s="116">
        <f t="shared" si="158"/>
        <v>2610.6840000000002</v>
      </c>
      <c r="EX119" s="217">
        <f t="shared" si="159"/>
        <v>0.8524715914994625</v>
      </c>
      <c r="EY119" s="207">
        <f t="shared" si="160"/>
        <v>2</v>
      </c>
      <c r="EZ119" s="144">
        <f t="shared" si="161"/>
        <v>35330.351367067145</v>
      </c>
      <c r="FA119" s="138">
        <f t="shared" si="280"/>
        <v>0.5</v>
      </c>
      <c r="FB119" s="116">
        <f t="shared" si="162"/>
        <v>2175570</v>
      </c>
      <c r="FC119" s="2">
        <f t="shared" si="281"/>
        <v>3.1496062992125991E-2</v>
      </c>
      <c r="FD119" s="8">
        <f t="shared" si="163"/>
        <v>8.71600421592</v>
      </c>
      <c r="FE119" s="116">
        <f t="shared" si="164"/>
        <v>2610.6840000000002</v>
      </c>
      <c r="FF119" s="217">
        <f t="shared" si="165"/>
        <v>0.8524715914994625</v>
      </c>
      <c r="FG119" s="207">
        <f t="shared" si="166"/>
        <v>2</v>
      </c>
      <c r="FH119" s="144">
        <f t="shared" si="167"/>
        <v>35330.351367067145</v>
      </c>
      <c r="FI119" s="128">
        <f t="shared" si="168"/>
        <v>0.5</v>
      </c>
      <c r="FJ119" s="2">
        <f t="shared" si="169"/>
        <v>3.1496062992125991E-2</v>
      </c>
      <c r="FK119" s="127">
        <f t="shared" si="170"/>
        <v>3.1496062992125991E-2</v>
      </c>
      <c r="FL119" s="216">
        <f t="shared" si="171"/>
        <v>0</v>
      </c>
      <c r="FM119" s="138">
        <f t="shared" si="172"/>
        <v>0</v>
      </c>
      <c r="FN119" s="138">
        <f t="shared" si="173"/>
        <v>0.5</v>
      </c>
      <c r="FO119" s="238">
        <f t="shared" si="174"/>
        <v>0</v>
      </c>
      <c r="FP119" s="216">
        <f t="shared" si="282"/>
        <v>0</v>
      </c>
      <c r="FQ119" s="138">
        <f t="shared" si="283"/>
        <v>0</v>
      </c>
      <c r="FR119" s="138">
        <f t="shared" si="284"/>
        <v>0.5</v>
      </c>
      <c r="FS119" s="238">
        <f t="shared" si="285"/>
        <v>0</v>
      </c>
      <c r="FT119" s="216">
        <f t="shared" si="175"/>
        <v>0</v>
      </c>
      <c r="FU119" s="138">
        <f t="shared" si="176"/>
        <v>0</v>
      </c>
      <c r="FV119" s="138">
        <f t="shared" si="177"/>
        <v>3.1496062992125991E-2</v>
      </c>
      <c r="FW119" s="238">
        <f t="shared" si="178"/>
        <v>0</v>
      </c>
      <c r="FX119" s="216">
        <f t="shared" si="286"/>
        <v>0</v>
      </c>
      <c r="FY119" s="138">
        <f t="shared" si="287"/>
        <v>0</v>
      </c>
      <c r="FZ119" s="138">
        <f t="shared" si="288"/>
        <v>3.1496062992125991E-2</v>
      </c>
      <c r="GA119" s="238">
        <f t="shared" si="289"/>
        <v>0</v>
      </c>
      <c r="GB119" s="216">
        <f t="shared" si="179"/>
        <v>0</v>
      </c>
      <c r="GC119" s="138">
        <f t="shared" si="180"/>
        <v>0</v>
      </c>
      <c r="GD119" s="138">
        <f t="shared" si="181"/>
        <v>3.1496062992125991E-2</v>
      </c>
      <c r="GE119" s="238">
        <f t="shared" si="182"/>
        <v>0</v>
      </c>
      <c r="GF119" s="216">
        <f t="shared" si="290"/>
        <v>0</v>
      </c>
      <c r="GG119" s="138">
        <f t="shared" si="291"/>
        <v>0</v>
      </c>
      <c r="GH119" s="138">
        <f t="shared" si="292"/>
        <v>3.1496062992125991E-2</v>
      </c>
      <c r="GI119" s="238">
        <f t="shared" si="293"/>
        <v>0</v>
      </c>
      <c r="GJ119" s="216">
        <f t="shared" si="183"/>
        <v>0.5</v>
      </c>
      <c r="GK119" s="216">
        <f t="shared" si="184"/>
        <v>3.1496062992125991E-2</v>
      </c>
      <c r="GL119" s="17">
        <f t="shared" si="185"/>
        <v>3.1496062992125991E-2</v>
      </c>
      <c r="GM119" s="216">
        <f t="shared" si="294"/>
        <v>1.2594955140972182E-2</v>
      </c>
      <c r="GN119" s="2">
        <f t="shared" si="187"/>
        <v>2</v>
      </c>
      <c r="GO119" s="2">
        <f t="shared" si="188"/>
        <v>2</v>
      </c>
      <c r="GP119" s="142">
        <f t="shared" si="189"/>
        <v>2</v>
      </c>
      <c r="GQ119" s="2">
        <f t="shared" si="190"/>
        <v>1.5748031496062995E-2</v>
      </c>
      <c r="GR119" s="8">
        <f t="shared" si="295"/>
        <v>0.13254658242457676</v>
      </c>
      <c r="GS119" s="138">
        <f t="shared" si="191"/>
        <v>0.25</v>
      </c>
      <c r="GT119" s="12">
        <f t="shared" si="296"/>
        <v>10986.682433199128</v>
      </c>
      <c r="GU119" s="138">
        <f t="shared" si="192"/>
        <v>0.25</v>
      </c>
      <c r="GV119" s="116">
        <f t="shared" si="193"/>
        <v>2175570</v>
      </c>
      <c r="GW119" s="2">
        <f t="shared" si="297"/>
        <v>3.1496062992125991E-2</v>
      </c>
      <c r="GX119" s="8">
        <f t="shared" si="298"/>
        <v>4.35800210796</v>
      </c>
      <c r="GY119" s="116">
        <f t="shared" si="194"/>
        <v>2610.6840000000002</v>
      </c>
      <c r="GZ119" s="217">
        <f t="shared" si="195"/>
        <v>1.704943182998925</v>
      </c>
      <c r="HA119" s="207">
        <f t="shared" si="196"/>
        <v>2</v>
      </c>
      <c r="HB119" s="144">
        <f t="shared" si="197"/>
        <v>35330.351367067145</v>
      </c>
      <c r="HC119" s="138">
        <f t="shared" si="299"/>
        <v>0.25</v>
      </c>
      <c r="HD119" s="116">
        <f t="shared" si="198"/>
        <v>2175570</v>
      </c>
      <c r="HE119" s="2">
        <f t="shared" si="300"/>
        <v>3.1496062992125991E-2</v>
      </c>
      <c r="HF119" s="8">
        <f t="shared" si="199"/>
        <v>4.35800210796</v>
      </c>
      <c r="HG119" s="116">
        <f t="shared" si="200"/>
        <v>2610.6840000000002</v>
      </c>
      <c r="HH119" s="217">
        <f t="shared" si="201"/>
        <v>1.704943182998925</v>
      </c>
      <c r="HI119" s="207">
        <f t="shared" si="202"/>
        <v>2</v>
      </c>
      <c r="HJ119" s="144">
        <f t="shared" si="203"/>
        <v>35330.351367067145</v>
      </c>
      <c r="HK119" s="138">
        <f t="shared" si="301"/>
        <v>0.25</v>
      </c>
      <c r="HL119" s="116">
        <f t="shared" si="204"/>
        <v>2175570</v>
      </c>
      <c r="HM119" s="2">
        <f t="shared" si="302"/>
        <v>3.1496062992125991E-2</v>
      </c>
      <c r="HN119" s="8">
        <f t="shared" si="205"/>
        <v>4.35800210796</v>
      </c>
      <c r="HO119" s="116">
        <f t="shared" si="206"/>
        <v>2610.6840000000002</v>
      </c>
      <c r="HP119" s="217">
        <f t="shared" si="207"/>
        <v>1.704943182998925</v>
      </c>
      <c r="HQ119" s="207">
        <f t="shared" si="208"/>
        <v>2</v>
      </c>
      <c r="HR119" s="144">
        <f t="shared" si="209"/>
        <v>35330.351367067145</v>
      </c>
      <c r="HS119" s="128">
        <f t="shared" si="210"/>
        <v>0.25</v>
      </c>
      <c r="HT119" s="2">
        <f t="shared" si="211"/>
        <v>1.5748031496062995E-2</v>
      </c>
      <c r="HU119" s="127">
        <f t="shared" si="212"/>
        <v>1.5748031496062995E-2</v>
      </c>
      <c r="HV119" s="216">
        <f t="shared" si="213"/>
        <v>0</v>
      </c>
      <c r="HW119" s="138">
        <f t="shared" si="214"/>
        <v>0</v>
      </c>
      <c r="HX119" s="138">
        <f t="shared" si="215"/>
        <v>0.25</v>
      </c>
      <c r="HY119" s="238">
        <f t="shared" si="216"/>
        <v>0</v>
      </c>
      <c r="HZ119" s="138">
        <f t="shared" si="217"/>
        <v>0</v>
      </c>
      <c r="IA119" s="138">
        <f t="shared" si="218"/>
        <v>0</v>
      </c>
      <c r="IB119" s="138">
        <f t="shared" si="219"/>
        <v>0.25</v>
      </c>
      <c r="IC119" s="138">
        <f t="shared" si="220"/>
        <v>0</v>
      </c>
      <c r="ID119" s="216">
        <f t="shared" si="221"/>
        <v>0</v>
      </c>
      <c r="IE119" s="138">
        <f t="shared" si="222"/>
        <v>0</v>
      </c>
      <c r="IF119" s="138">
        <f t="shared" si="223"/>
        <v>1.5748031496062995E-2</v>
      </c>
      <c r="IG119" s="238">
        <f t="shared" si="224"/>
        <v>0</v>
      </c>
      <c r="IH119" s="138">
        <f t="shared" si="225"/>
        <v>0</v>
      </c>
      <c r="II119" s="138">
        <f t="shared" si="226"/>
        <v>0</v>
      </c>
      <c r="IJ119" s="138">
        <f t="shared" si="227"/>
        <v>1.5748031496062995E-2</v>
      </c>
      <c r="IK119" s="138">
        <f t="shared" si="228"/>
        <v>0</v>
      </c>
      <c r="IL119" s="216">
        <f t="shared" si="229"/>
        <v>0</v>
      </c>
      <c r="IM119" s="138">
        <f t="shared" si="230"/>
        <v>0</v>
      </c>
      <c r="IN119" s="138">
        <f t="shared" si="231"/>
        <v>1.5748031496062995E-2</v>
      </c>
      <c r="IO119" s="238">
        <f t="shared" si="232"/>
        <v>0</v>
      </c>
      <c r="IP119" s="138">
        <f t="shared" si="233"/>
        <v>0</v>
      </c>
      <c r="IQ119" s="138">
        <f t="shared" si="234"/>
        <v>0</v>
      </c>
      <c r="IR119" s="138">
        <f t="shared" si="235"/>
        <v>1.5748031496062995E-2</v>
      </c>
      <c r="IS119" s="138">
        <f t="shared" si="236"/>
        <v>0</v>
      </c>
      <c r="IT119" s="17">
        <f t="shared" si="237"/>
        <v>0.25</v>
      </c>
      <c r="IU119" s="17">
        <f t="shared" si="238"/>
        <v>1.5748031496062995E-2</v>
      </c>
      <c r="IV119" s="17">
        <f t="shared" si="239"/>
        <v>1.5748031496062995E-2</v>
      </c>
      <c r="IW119" s="253">
        <f t="shared" si="240"/>
        <v>24.211122822000004</v>
      </c>
      <c r="IX119" s="116">
        <f t="shared" si="303"/>
        <v>716.03356976217526</v>
      </c>
      <c r="IY119" s="8">
        <f t="shared" si="242"/>
        <v>1.8513257812491603E-2</v>
      </c>
      <c r="IZ119" s="8">
        <f t="shared" si="243"/>
        <v>1.8513257812491603E-2</v>
      </c>
      <c r="JA119" s="8">
        <f t="shared" si="244"/>
        <v>9.2566289062458017E-3</v>
      </c>
      <c r="JB119" s="134">
        <f t="shared" si="245"/>
        <v>9.6211376178941557E-2</v>
      </c>
      <c r="JC119" s="170">
        <f t="shared" si="308"/>
        <v>1.3798052057434758E-2</v>
      </c>
      <c r="JD119" s="272">
        <f t="shared" si="309"/>
        <v>0.11746510995795627</v>
      </c>
      <c r="JE119" s="8"/>
      <c r="JF119" s="8"/>
    </row>
    <row r="120" spans="1:266" x14ac:dyDescent="0.25">
      <c r="A120" s="186">
        <v>60</v>
      </c>
      <c r="B120" s="187">
        <f>A120/100*'Inputs-Imperial'!$E$5</f>
        <v>14.448819359999998</v>
      </c>
      <c r="C120" s="188">
        <f>'Inputs-Imperial'!$E$10+('Inputs-Imperial'!$E$9-'Inputs-Imperial'!$E$10)*(100-A120)/100</f>
        <v>4.0173885800000004</v>
      </c>
      <c r="D120" s="187">
        <f t="shared" si="248"/>
        <v>0.24081365600000026</v>
      </c>
      <c r="E120" s="188">
        <f t="shared" si="249"/>
        <v>0.96958509931379677</v>
      </c>
      <c r="F120" s="423">
        <f>Loads!P80</f>
        <v>307.54226498016192</v>
      </c>
      <c r="G120" s="423">
        <f>Loads!M80</f>
        <v>3075.4226498016187</v>
      </c>
      <c r="H120" s="423">
        <f>Loads!N80</f>
        <v>13682.860195094856</v>
      </c>
      <c r="I120" s="423">
        <f>Loads!V80</f>
        <v>-5754.625620691304</v>
      </c>
      <c r="J120" s="423">
        <f>Loads!Q80</f>
        <v>1368.2860195094859</v>
      </c>
      <c r="K120" s="2">
        <v>60</v>
      </c>
      <c r="L120" s="12">
        <f t="shared" si="41"/>
        <v>173.38583231999996</v>
      </c>
      <c r="M120" s="11">
        <f t="shared" si="42"/>
        <v>48.208662960000005</v>
      </c>
      <c r="N120" s="11">
        <f t="shared" si="43"/>
        <v>2.8897638720000032</v>
      </c>
      <c r="O120" s="152">
        <f t="shared" si="44"/>
        <v>139.62025430118675</v>
      </c>
      <c r="P120" s="151">
        <f t="shared" si="45"/>
        <v>307.54226498016192</v>
      </c>
      <c r="Q120" s="12">
        <f t="shared" si="46"/>
        <v>3075.4226498016187</v>
      </c>
      <c r="R120" s="12">
        <f t="shared" si="47"/>
        <v>164194.32234113826</v>
      </c>
      <c r="S120" s="12">
        <f t="shared" si="48"/>
        <v>-69055.507448295655</v>
      </c>
      <c r="T120" s="152">
        <f t="shared" si="49"/>
        <v>16419.432234113832</v>
      </c>
      <c r="U120" s="8">
        <f t="shared" si="261"/>
        <v>8.6775593328000014</v>
      </c>
      <c r="V120" s="8">
        <f t="shared" si="262"/>
        <v>8.6775593328000014</v>
      </c>
      <c r="W120" s="134">
        <f t="shared" si="263"/>
        <v>4.3387796664000007</v>
      </c>
      <c r="X120" s="311">
        <f t="shared" si="264"/>
        <v>12.052165740000001</v>
      </c>
      <c r="Y120" s="11">
        <f t="shared" si="265"/>
        <v>36.156497220000006</v>
      </c>
      <c r="Z120" s="11">
        <f t="shared" si="266"/>
        <v>24.104331480000006</v>
      </c>
      <c r="AA120" s="316">
        <f t="shared" si="50"/>
        <v>36.156497220000006</v>
      </c>
      <c r="AB120" s="170">
        <f t="shared" si="51"/>
        <v>6.508169499600001</v>
      </c>
      <c r="AC120" s="11">
        <f t="shared" si="52"/>
        <v>36.156497220000006</v>
      </c>
      <c r="AD120" s="152">
        <f t="shared" si="53"/>
        <v>184.81409361859076</v>
      </c>
      <c r="AE120" s="151">
        <f t="shared" si="267"/>
        <v>8.5058644677019366</v>
      </c>
      <c r="AF120" s="12">
        <f t="shared" si="268"/>
        <v>186.82424618224366</v>
      </c>
      <c r="AG120" s="216">
        <f t="shared" si="269"/>
        <v>1.2797215527721216E-2</v>
      </c>
      <c r="AH120" s="2">
        <f t="shared" si="55"/>
        <v>2</v>
      </c>
      <c r="AI120" s="2">
        <f t="shared" si="56"/>
        <v>3</v>
      </c>
      <c r="AJ120" s="127">
        <f t="shared" si="57"/>
        <v>2</v>
      </c>
      <c r="AK120" s="2">
        <f t="shared" si="58"/>
        <v>1.5748031496062995E-2</v>
      </c>
      <c r="AL120" s="8">
        <f t="shared" si="270"/>
        <v>0.13467512696668846</v>
      </c>
      <c r="AM120" s="138">
        <f t="shared" si="59"/>
        <v>0.25</v>
      </c>
      <c r="AN120" s="12">
        <f t="shared" si="271"/>
        <v>11163.115823644388</v>
      </c>
      <c r="AO120" s="138">
        <f t="shared" si="60"/>
        <v>0.25</v>
      </c>
      <c r="AP120" s="116">
        <f t="shared" si="61"/>
        <v>2175570</v>
      </c>
      <c r="AQ120" s="2">
        <f t="shared" si="62"/>
        <v>1.5748031496062995E-2</v>
      </c>
      <c r="AR120" s="8">
        <f t="shared" si="63"/>
        <v>24.104331480000006</v>
      </c>
      <c r="AS120" s="116">
        <f t="shared" si="64"/>
        <v>2610.6840000000002</v>
      </c>
      <c r="AT120" s="217">
        <f t="shared" si="65"/>
        <v>2.786535658103315E-2</v>
      </c>
      <c r="AU120" s="207">
        <f t="shared" si="66"/>
        <v>4.829817052619787</v>
      </c>
      <c r="AV120" s="144">
        <f t="shared" si="67"/>
        <v>2788.9024979161727</v>
      </c>
      <c r="AW120" s="138">
        <f t="shared" si="68"/>
        <v>1.25</v>
      </c>
      <c r="AX120" s="116">
        <f t="shared" si="69"/>
        <v>2175570</v>
      </c>
      <c r="AY120" s="2">
        <f t="shared" si="70"/>
        <v>1.5748031496062995E-2</v>
      </c>
      <c r="AZ120" s="8">
        <f t="shared" si="71"/>
        <v>24.104331480000006</v>
      </c>
      <c r="BA120" s="116">
        <f t="shared" si="72"/>
        <v>2610.6840000000002</v>
      </c>
      <c r="BB120" s="217">
        <f t="shared" si="73"/>
        <v>0.13932678290516576</v>
      </c>
      <c r="BC120" s="207">
        <f t="shared" si="74"/>
        <v>3.5286852802983497</v>
      </c>
      <c r="BD120" s="144">
        <f t="shared" si="75"/>
        <v>50939.606435227506</v>
      </c>
      <c r="BE120" s="138">
        <f t="shared" si="76"/>
        <v>1.25</v>
      </c>
      <c r="BF120" s="116">
        <f t="shared" si="77"/>
        <v>2175570</v>
      </c>
      <c r="BG120" s="2">
        <f t="shared" si="78"/>
        <v>1.5748031496062995E-2</v>
      </c>
      <c r="BH120" s="8">
        <f t="shared" si="79"/>
        <v>24.104331480000006</v>
      </c>
      <c r="BI120" s="116">
        <f t="shared" si="80"/>
        <v>2610.6840000000002</v>
      </c>
      <c r="BJ120" s="217">
        <f t="shared" si="81"/>
        <v>0.13932678290516576</v>
      </c>
      <c r="BK120" s="207">
        <f t="shared" si="82"/>
        <v>3.5286852802983497</v>
      </c>
      <c r="BL120" s="144">
        <f t="shared" si="83"/>
        <v>50939.606435227506</v>
      </c>
      <c r="BM120" s="216">
        <f t="shared" si="84"/>
        <v>1.25</v>
      </c>
      <c r="BN120" s="216">
        <f t="shared" si="85"/>
        <v>2.3622047244094495E-2</v>
      </c>
      <c r="BO120" s="238">
        <f t="shared" si="86"/>
        <v>1.5748031496062995E-2</v>
      </c>
      <c r="BP120" s="216">
        <f t="shared" si="87"/>
        <v>0</v>
      </c>
      <c r="BQ120" s="138">
        <f t="shared" si="88"/>
        <v>0</v>
      </c>
      <c r="BR120" s="138">
        <f t="shared" si="89"/>
        <v>1.25</v>
      </c>
      <c r="BS120" s="238">
        <f t="shared" si="90"/>
        <v>0</v>
      </c>
      <c r="BT120" s="138">
        <f t="shared" si="91"/>
        <v>0</v>
      </c>
      <c r="BU120" s="138">
        <f t="shared" si="92"/>
        <v>0</v>
      </c>
      <c r="BV120" s="138">
        <f t="shared" si="93"/>
        <v>1.5</v>
      </c>
      <c r="BW120" s="238">
        <f t="shared" si="94"/>
        <v>0</v>
      </c>
      <c r="BX120" s="216">
        <f t="shared" si="95"/>
        <v>0</v>
      </c>
      <c r="BY120" s="138">
        <f t="shared" si="96"/>
        <v>0</v>
      </c>
      <c r="BZ120" s="138">
        <f t="shared" si="97"/>
        <v>2.3622047244094495E-2</v>
      </c>
      <c r="CA120" s="238">
        <f t="shared" si="98"/>
        <v>0</v>
      </c>
      <c r="CB120" s="138">
        <f t="shared" si="99"/>
        <v>0</v>
      </c>
      <c r="CC120" s="138">
        <f t="shared" si="100"/>
        <v>0</v>
      </c>
      <c r="CD120" s="138">
        <f t="shared" si="101"/>
        <v>2.3622047244094495E-2</v>
      </c>
      <c r="CE120" s="238">
        <f t="shared" si="102"/>
        <v>0</v>
      </c>
      <c r="CF120" s="216">
        <f t="shared" si="103"/>
        <v>0</v>
      </c>
      <c r="CG120" s="138">
        <f t="shared" si="104"/>
        <v>0</v>
      </c>
      <c r="CH120" s="138">
        <f t="shared" si="105"/>
        <v>1.5748031496062995E-2</v>
      </c>
      <c r="CI120" s="238">
        <f t="shared" si="106"/>
        <v>0</v>
      </c>
      <c r="CJ120" s="138">
        <f t="shared" si="107"/>
        <v>0</v>
      </c>
      <c r="CK120" s="138">
        <f t="shared" si="108"/>
        <v>0</v>
      </c>
      <c r="CL120" s="138">
        <f t="shared" si="109"/>
        <v>1.5748031496062995E-2</v>
      </c>
      <c r="CM120" s="238">
        <f t="shared" si="110"/>
        <v>0</v>
      </c>
      <c r="CN120" s="17">
        <f t="shared" si="111"/>
        <v>1.5</v>
      </c>
      <c r="CO120" s="17">
        <f t="shared" si="112"/>
        <v>2.3622047244094495E-2</v>
      </c>
      <c r="CP120" s="17">
        <f t="shared" si="113"/>
        <v>1.5748031496062995E-2</v>
      </c>
      <c r="CQ120" s="17">
        <f>$U120-IF('Inputs-Imperial'!$E$13,0,2)*($CO120+$CN120+$CP120)</f>
        <v>8.6775593328000014</v>
      </c>
      <c r="CR120" s="116">
        <f t="shared" si="114"/>
        <v>18921.717045541358</v>
      </c>
      <c r="CS120" s="8">
        <f t="shared" si="10"/>
        <v>0.48922654008453015</v>
      </c>
      <c r="CT120" s="8">
        <f t="shared" si="115"/>
        <v>0.6994473104419876</v>
      </c>
      <c r="CU120" s="8">
        <f t="shared" si="272"/>
        <v>0.48922654008453015</v>
      </c>
      <c r="CV120" s="8">
        <f t="shared" si="116"/>
        <v>0.6994473104419876</v>
      </c>
      <c r="CW120" s="216">
        <f t="shared" si="117"/>
        <v>7.9781120223580144</v>
      </c>
      <c r="CX120" s="116">
        <f t="shared" si="118"/>
        <v>20580.598753313683</v>
      </c>
      <c r="CY120" s="8">
        <f t="shared" si="119"/>
        <v>0.53211741284991732</v>
      </c>
      <c r="CZ120" s="8">
        <f t="shared" si="120"/>
        <v>0.72946378446768512</v>
      </c>
      <c r="DA120" s="8">
        <f t="shared" si="121"/>
        <v>0.53211741284991732</v>
      </c>
      <c r="DB120" s="8">
        <f t="shared" si="122"/>
        <v>0.72946378446768512</v>
      </c>
      <c r="DC120" s="216">
        <f t="shared" si="123"/>
        <v>7.9480955483323159</v>
      </c>
      <c r="DD120" s="116">
        <f t="shared" si="124"/>
        <v>20658.32265637393</v>
      </c>
      <c r="DE120" s="8">
        <f t="shared" si="125"/>
        <v>0.53412698714407414</v>
      </c>
      <c r="DF120" s="8">
        <f t="shared" si="126"/>
        <v>0.73083991895905231</v>
      </c>
      <c r="DG120" s="8">
        <f t="shared" si="127"/>
        <v>0.53412698714407414</v>
      </c>
      <c r="DH120" s="8">
        <f t="shared" si="128"/>
        <v>0.73083991895905231</v>
      </c>
      <c r="DI120" s="216">
        <f t="shared" si="129"/>
        <v>7.9467194138409489</v>
      </c>
      <c r="DJ120" s="116">
        <f t="shared" si="130"/>
        <v>20661.900060943131</v>
      </c>
      <c r="DK120" s="8">
        <f t="shared" si="131"/>
        <v>0.53421948198773239</v>
      </c>
      <c r="DL120" s="8">
        <f t="shared" si="132"/>
        <v>0.73090319604427256</v>
      </c>
      <c r="DM120" s="8">
        <f t="shared" si="133"/>
        <v>0.53421948198773239</v>
      </c>
      <c r="DN120" s="8">
        <f t="shared" si="134"/>
        <v>0.73090319604427256</v>
      </c>
      <c r="DO120" s="216">
        <f t="shared" si="135"/>
        <v>7.9466561367557285</v>
      </c>
      <c r="DP120" s="116">
        <f t="shared" si="136"/>
        <v>20662.064586095406</v>
      </c>
      <c r="DQ120" s="170">
        <f t="shared" si="137"/>
        <v>0.53422373583376614</v>
      </c>
      <c r="DR120" s="8">
        <f t="shared" si="138"/>
        <v>0.73090610603125084</v>
      </c>
      <c r="DS120" s="8">
        <f t="shared" si="139"/>
        <v>0.53422373583376614</v>
      </c>
      <c r="DT120" s="134">
        <f t="shared" si="140"/>
        <v>0.73090610603125084</v>
      </c>
      <c r="DU120" s="170">
        <f>MAX(DQ$120:DQ$129)</f>
        <v>0.53422373583376614</v>
      </c>
      <c r="DV120" s="170">
        <f>MAX(DR$120:DR$129)</f>
        <v>0.73090610603125084</v>
      </c>
      <c r="DW120" s="170">
        <f>MAX(DS$120:DS$129)</f>
        <v>0.53422373583376614</v>
      </c>
      <c r="DX120" s="272">
        <f>MAX(DT$120:DT$129)</f>
        <v>0.73090610603125084</v>
      </c>
      <c r="DY120" s="272">
        <f t="shared" si="142"/>
        <v>7.2157471207375004</v>
      </c>
      <c r="DZ120" s="22">
        <f t="shared" si="273"/>
        <v>354.41101948758069</v>
      </c>
      <c r="EA120" s="216">
        <f t="shared" si="274"/>
        <v>2.3219534288341621E-2</v>
      </c>
      <c r="EB120" s="12">
        <f t="shared" si="143"/>
        <v>3</v>
      </c>
      <c r="EC120" s="7">
        <f>ROUND(MAX(DV120,DX120)/'Inputs-Imperial'!$E$21,0)</f>
        <v>6</v>
      </c>
      <c r="ED120" s="12">
        <f t="shared" si="144"/>
        <v>6</v>
      </c>
      <c r="EE120" s="2">
        <f t="shared" si="145"/>
        <v>3</v>
      </c>
      <c r="EF120" s="127">
        <f t="shared" si="146"/>
        <v>3</v>
      </c>
      <c r="EG120" s="2">
        <f t="shared" si="147"/>
        <v>2.3622047244094495E-2</v>
      </c>
      <c r="EH120" s="8">
        <f t="shared" si="275"/>
        <v>0.2443573542710053</v>
      </c>
      <c r="EI120" s="138">
        <f t="shared" si="148"/>
        <v>0.25</v>
      </c>
      <c r="EJ120" s="12">
        <f t="shared" si="276"/>
        <v>13503.059842476821</v>
      </c>
      <c r="EK120" s="138">
        <f t="shared" si="149"/>
        <v>0.25</v>
      </c>
      <c r="EL120" s="116">
        <f t="shared" si="150"/>
        <v>2175570</v>
      </c>
      <c r="EM120" s="2">
        <f t="shared" si="277"/>
        <v>2.3622047244094495E-2</v>
      </c>
      <c r="EN120" s="8">
        <f t="shared" si="151"/>
        <v>8.6775593328000014</v>
      </c>
      <c r="EO120" s="116">
        <f t="shared" si="152"/>
        <v>2610.6840000000002</v>
      </c>
      <c r="EP120" s="217">
        <f t="shared" si="153"/>
        <v>0.32251570116936518</v>
      </c>
      <c r="EQ120" s="207">
        <f t="shared" si="154"/>
        <v>2.5017576884130368</v>
      </c>
      <c r="ER120" s="144">
        <f t="shared" si="155"/>
        <v>11146.612210774347</v>
      </c>
      <c r="ES120" s="138">
        <f t="shared" si="278"/>
        <v>0.5</v>
      </c>
      <c r="ET120" s="116">
        <f t="shared" si="156"/>
        <v>2175570</v>
      </c>
      <c r="EU120" s="2">
        <f t="shared" si="279"/>
        <v>2.3622047244094495E-2</v>
      </c>
      <c r="EV120" s="8">
        <f t="shared" si="157"/>
        <v>8.6775593328000014</v>
      </c>
      <c r="EW120" s="116">
        <f t="shared" si="158"/>
        <v>2610.6840000000002</v>
      </c>
      <c r="EX120" s="217">
        <f t="shared" si="159"/>
        <v>0.64503140233873035</v>
      </c>
      <c r="EY120" s="207">
        <f t="shared" si="160"/>
        <v>2</v>
      </c>
      <c r="EZ120" s="144">
        <f t="shared" si="161"/>
        <v>35644.098586846216</v>
      </c>
      <c r="FA120" s="138">
        <f t="shared" si="280"/>
        <v>0.5</v>
      </c>
      <c r="FB120" s="116">
        <f t="shared" si="162"/>
        <v>2175570</v>
      </c>
      <c r="FC120" s="2">
        <f t="shared" si="281"/>
        <v>2.3622047244094495E-2</v>
      </c>
      <c r="FD120" s="8">
        <f t="shared" si="163"/>
        <v>8.6775593328000014</v>
      </c>
      <c r="FE120" s="116">
        <f t="shared" si="164"/>
        <v>2610.6840000000002</v>
      </c>
      <c r="FF120" s="217">
        <f t="shared" si="165"/>
        <v>0.64503140233873035</v>
      </c>
      <c r="FG120" s="207">
        <f t="shared" si="166"/>
        <v>2</v>
      </c>
      <c r="FH120" s="144">
        <f t="shared" si="167"/>
        <v>35644.098586846216</v>
      </c>
      <c r="FI120" s="128">
        <f t="shared" si="168"/>
        <v>0.5</v>
      </c>
      <c r="FJ120" s="2">
        <f t="shared" si="169"/>
        <v>2.3622047244094495E-2</v>
      </c>
      <c r="FK120" s="127">
        <f t="shared" si="170"/>
        <v>2.3622047244094495E-2</v>
      </c>
      <c r="FL120" s="216">
        <f t="shared" si="171"/>
        <v>0</v>
      </c>
      <c r="FM120" s="138">
        <f t="shared" si="172"/>
        <v>0</v>
      </c>
      <c r="FN120" s="138">
        <f t="shared" si="173"/>
        <v>0.5</v>
      </c>
      <c r="FO120" s="238">
        <f t="shared" si="174"/>
        <v>0</v>
      </c>
      <c r="FP120" s="216">
        <f t="shared" si="282"/>
        <v>0</v>
      </c>
      <c r="FQ120" s="138">
        <f t="shared" si="283"/>
        <v>0</v>
      </c>
      <c r="FR120" s="138">
        <f t="shared" si="284"/>
        <v>0.5</v>
      </c>
      <c r="FS120" s="238">
        <f t="shared" si="285"/>
        <v>0</v>
      </c>
      <c r="FT120" s="216">
        <f t="shared" si="175"/>
        <v>0</v>
      </c>
      <c r="FU120" s="138">
        <f t="shared" si="176"/>
        <v>0</v>
      </c>
      <c r="FV120" s="138">
        <f t="shared" si="177"/>
        <v>2.3622047244094495E-2</v>
      </c>
      <c r="FW120" s="238">
        <f t="shared" si="178"/>
        <v>0</v>
      </c>
      <c r="FX120" s="216">
        <f t="shared" si="286"/>
        <v>0</v>
      </c>
      <c r="FY120" s="138">
        <f t="shared" si="287"/>
        <v>0</v>
      </c>
      <c r="FZ120" s="138">
        <f t="shared" si="288"/>
        <v>3.1496062992125991E-2</v>
      </c>
      <c r="GA120" s="238">
        <f t="shared" si="289"/>
        <v>0</v>
      </c>
      <c r="GB120" s="216">
        <f t="shared" si="179"/>
        <v>0</v>
      </c>
      <c r="GC120" s="138">
        <f t="shared" si="180"/>
        <v>0</v>
      </c>
      <c r="GD120" s="138">
        <f t="shared" si="181"/>
        <v>2.3622047244094495E-2</v>
      </c>
      <c r="GE120" s="238">
        <f t="shared" si="182"/>
        <v>0</v>
      </c>
      <c r="GF120" s="216">
        <f t="shared" si="290"/>
        <v>0</v>
      </c>
      <c r="GG120" s="138">
        <f t="shared" si="291"/>
        <v>0</v>
      </c>
      <c r="GH120" s="138">
        <f t="shared" si="292"/>
        <v>3.1496062992125991E-2</v>
      </c>
      <c r="GI120" s="238">
        <f t="shared" si="293"/>
        <v>0</v>
      </c>
      <c r="GJ120" s="216">
        <f t="shared" si="183"/>
        <v>0.5</v>
      </c>
      <c r="GK120" s="216">
        <f t="shared" si="184"/>
        <v>3.1496062992125991E-2</v>
      </c>
      <c r="GL120" s="17">
        <f t="shared" si="185"/>
        <v>3.1496062992125991E-2</v>
      </c>
      <c r="GM120" s="216">
        <f t="shared" si="294"/>
        <v>1.2239946704801018E-2</v>
      </c>
      <c r="GN120" s="2">
        <f t="shared" si="187"/>
        <v>2</v>
      </c>
      <c r="GO120" s="2">
        <f t="shared" si="188"/>
        <v>2</v>
      </c>
      <c r="GP120" s="142">
        <f t="shared" si="189"/>
        <v>2</v>
      </c>
      <c r="GQ120" s="2">
        <f t="shared" si="190"/>
        <v>1.5748031496062995E-2</v>
      </c>
      <c r="GR120" s="8">
        <f t="shared" si="295"/>
        <v>0.12881055046418433</v>
      </c>
      <c r="GS120" s="138">
        <f t="shared" si="191"/>
        <v>0.25</v>
      </c>
      <c r="GT120" s="12">
        <f t="shared" si="296"/>
        <v>10677.005669315224</v>
      </c>
      <c r="GU120" s="138">
        <f t="shared" si="192"/>
        <v>0.25</v>
      </c>
      <c r="GV120" s="116">
        <f t="shared" si="193"/>
        <v>2175570</v>
      </c>
      <c r="GW120" s="2">
        <f t="shared" si="297"/>
        <v>2.3622047244094495E-2</v>
      </c>
      <c r="GX120" s="8">
        <f t="shared" si="298"/>
        <v>4.3387796664000007</v>
      </c>
      <c r="GY120" s="116">
        <f t="shared" si="194"/>
        <v>2610.6840000000002</v>
      </c>
      <c r="GZ120" s="217">
        <f t="shared" si="195"/>
        <v>1.2900628046774607</v>
      </c>
      <c r="HA120" s="207">
        <f t="shared" si="196"/>
        <v>2</v>
      </c>
      <c r="HB120" s="144">
        <f t="shared" si="197"/>
        <v>35644.098586846216</v>
      </c>
      <c r="HC120" s="138">
        <f t="shared" si="299"/>
        <v>0.25</v>
      </c>
      <c r="HD120" s="116">
        <f t="shared" si="198"/>
        <v>2175570</v>
      </c>
      <c r="HE120" s="2">
        <f t="shared" si="300"/>
        <v>2.3622047244094495E-2</v>
      </c>
      <c r="HF120" s="8">
        <f t="shared" si="199"/>
        <v>4.3387796664000007</v>
      </c>
      <c r="HG120" s="116">
        <f t="shared" si="200"/>
        <v>2610.6840000000002</v>
      </c>
      <c r="HH120" s="217">
        <f t="shared" si="201"/>
        <v>1.2900628046774607</v>
      </c>
      <c r="HI120" s="207">
        <f t="shared" si="202"/>
        <v>2</v>
      </c>
      <c r="HJ120" s="144">
        <f t="shared" si="203"/>
        <v>35644.098586846216</v>
      </c>
      <c r="HK120" s="138">
        <f t="shared" si="301"/>
        <v>0.25</v>
      </c>
      <c r="HL120" s="116">
        <f t="shared" si="204"/>
        <v>2175570</v>
      </c>
      <c r="HM120" s="2">
        <f t="shared" si="302"/>
        <v>2.3622047244094495E-2</v>
      </c>
      <c r="HN120" s="8">
        <f t="shared" si="205"/>
        <v>4.3387796664000007</v>
      </c>
      <c r="HO120" s="116">
        <f t="shared" si="206"/>
        <v>2610.6840000000002</v>
      </c>
      <c r="HP120" s="217">
        <f t="shared" si="207"/>
        <v>1.2900628046774607</v>
      </c>
      <c r="HQ120" s="207">
        <f t="shared" si="208"/>
        <v>2</v>
      </c>
      <c r="HR120" s="144">
        <f t="shared" si="209"/>
        <v>35644.098586846216</v>
      </c>
      <c r="HS120" s="128">
        <f t="shared" si="210"/>
        <v>0.25</v>
      </c>
      <c r="HT120" s="2">
        <f t="shared" si="211"/>
        <v>1.5748031496062995E-2</v>
      </c>
      <c r="HU120" s="127">
        <f t="shared" si="212"/>
        <v>1.5748031496062995E-2</v>
      </c>
      <c r="HV120" s="216">
        <f t="shared" si="213"/>
        <v>0</v>
      </c>
      <c r="HW120" s="138">
        <f t="shared" si="214"/>
        <v>0</v>
      </c>
      <c r="HX120" s="138">
        <f t="shared" si="215"/>
        <v>0.25</v>
      </c>
      <c r="HY120" s="238">
        <f t="shared" si="216"/>
        <v>0</v>
      </c>
      <c r="HZ120" s="138">
        <f t="shared" si="217"/>
        <v>0</v>
      </c>
      <c r="IA120" s="138">
        <f t="shared" si="218"/>
        <v>0</v>
      </c>
      <c r="IB120" s="138">
        <f t="shared" si="219"/>
        <v>0.25</v>
      </c>
      <c r="IC120" s="138">
        <f t="shared" si="220"/>
        <v>0</v>
      </c>
      <c r="ID120" s="216">
        <f t="shared" si="221"/>
        <v>0</v>
      </c>
      <c r="IE120" s="138">
        <f t="shared" si="222"/>
        <v>0</v>
      </c>
      <c r="IF120" s="138">
        <f t="shared" si="223"/>
        <v>1.5748031496062995E-2</v>
      </c>
      <c r="IG120" s="238">
        <f t="shared" si="224"/>
        <v>0</v>
      </c>
      <c r="IH120" s="138">
        <f t="shared" si="225"/>
        <v>0</v>
      </c>
      <c r="II120" s="138">
        <f t="shared" si="226"/>
        <v>0</v>
      </c>
      <c r="IJ120" s="138">
        <f t="shared" si="227"/>
        <v>1.5748031496062995E-2</v>
      </c>
      <c r="IK120" s="138">
        <f t="shared" si="228"/>
        <v>0</v>
      </c>
      <c r="IL120" s="216">
        <f t="shared" si="229"/>
        <v>0</v>
      </c>
      <c r="IM120" s="138">
        <f t="shared" si="230"/>
        <v>0</v>
      </c>
      <c r="IN120" s="138">
        <f t="shared" si="231"/>
        <v>1.5748031496062995E-2</v>
      </c>
      <c r="IO120" s="238">
        <f t="shared" si="232"/>
        <v>0</v>
      </c>
      <c r="IP120" s="138">
        <f t="shared" si="233"/>
        <v>0</v>
      </c>
      <c r="IQ120" s="138">
        <f t="shared" si="234"/>
        <v>0</v>
      </c>
      <c r="IR120" s="138">
        <f t="shared" si="235"/>
        <v>1.5748031496062995E-2</v>
      </c>
      <c r="IS120" s="138">
        <f t="shared" si="236"/>
        <v>0</v>
      </c>
      <c r="IT120" s="17">
        <f t="shared" si="237"/>
        <v>0.25</v>
      </c>
      <c r="IU120" s="17">
        <f t="shared" si="238"/>
        <v>1.5748031496062995E-2</v>
      </c>
      <c r="IV120" s="17">
        <f t="shared" si="239"/>
        <v>1.5748031496062995E-2</v>
      </c>
      <c r="IW120" s="253">
        <f t="shared" si="240"/>
        <v>24.104331480000006</v>
      </c>
      <c r="IX120" s="116">
        <f t="shared" si="303"/>
        <v>681.18181363948895</v>
      </c>
      <c r="IY120" s="8">
        <f t="shared" si="242"/>
        <v>1.7612155443043089E-2</v>
      </c>
      <c r="IZ120" s="8">
        <f t="shared" si="243"/>
        <v>1.7612155443043089E-2</v>
      </c>
      <c r="JA120" s="8">
        <f t="shared" si="244"/>
        <v>8.8060777215215446E-3</v>
      </c>
      <c r="JB120" s="134">
        <f t="shared" si="245"/>
        <v>9.3840703969660974E-2</v>
      </c>
      <c r="JC120" s="170">
        <f>MAX(JA$120:JA$129)</f>
        <v>8.8060777215215446E-3</v>
      </c>
      <c r="JD120" s="272">
        <f>MAX(JB$120:JB$129)</f>
        <v>9.3840703969660974E-2</v>
      </c>
      <c r="JE120" s="8"/>
      <c r="JF120" s="8"/>
    </row>
    <row r="121" spans="1:266" x14ac:dyDescent="0.25">
      <c r="A121" s="186">
        <v>61</v>
      </c>
      <c r="B121" s="187">
        <f>A121/100*'Inputs-Imperial'!$E$5</f>
        <v>14.689633015999998</v>
      </c>
      <c r="C121" s="188">
        <f>'Inputs-Imperial'!$E$10+('Inputs-Imperial'!$E$9-'Inputs-Imperial'!$E$10)*(100-A121)/100</f>
        <v>3.9995900230000005</v>
      </c>
      <c r="D121" s="187">
        <f t="shared" si="248"/>
        <v>0.24081365600000026</v>
      </c>
      <c r="E121" s="188">
        <f t="shared" si="249"/>
        <v>0.96529896373110258</v>
      </c>
      <c r="F121" s="423">
        <f>Loads!P81</f>
        <v>297.98216264181809</v>
      </c>
      <c r="G121" s="423">
        <f>Loads!M81</f>
        <v>2979.8216264181801</v>
      </c>
      <c r="H121" s="423">
        <f>Loads!N81</f>
        <v>12942.25642305092</v>
      </c>
      <c r="I121" s="423">
        <f>Loads!V81</f>
        <v>-5538.1942032832612</v>
      </c>
      <c r="J121" s="423">
        <f>Loads!Q81</f>
        <v>1294.2256423050922</v>
      </c>
      <c r="K121" s="2">
        <v>61</v>
      </c>
      <c r="L121" s="12">
        <f t="shared" si="41"/>
        <v>176.27559619199997</v>
      </c>
      <c r="M121" s="11">
        <f t="shared" si="42"/>
        <v>47.99508027600001</v>
      </c>
      <c r="N121" s="11">
        <f t="shared" si="43"/>
        <v>2.8897638720000032</v>
      </c>
      <c r="O121" s="152">
        <f t="shared" si="44"/>
        <v>139.00305077727876</v>
      </c>
      <c r="P121" s="151">
        <f t="shared" si="45"/>
        <v>297.98216264181809</v>
      </c>
      <c r="Q121" s="12">
        <f t="shared" si="46"/>
        <v>2979.8216264181801</v>
      </c>
      <c r="R121" s="12">
        <f t="shared" si="47"/>
        <v>155307.07707661105</v>
      </c>
      <c r="S121" s="12">
        <f t="shared" si="48"/>
        <v>-66458.330439399142</v>
      </c>
      <c r="T121" s="152">
        <f t="shared" si="49"/>
        <v>15530.707707661106</v>
      </c>
      <c r="U121" s="8">
        <f t="shared" si="261"/>
        <v>8.639114449680001</v>
      </c>
      <c r="V121" s="8">
        <f t="shared" si="262"/>
        <v>8.639114449680001</v>
      </c>
      <c r="W121" s="134">
        <f t="shared" si="263"/>
        <v>4.3195572248400005</v>
      </c>
      <c r="X121" s="311">
        <f t="shared" si="264"/>
        <v>11.998770069000003</v>
      </c>
      <c r="Y121" s="11">
        <f t="shared" si="265"/>
        <v>35.996310207000008</v>
      </c>
      <c r="Z121" s="11">
        <f t="shared" si="266"/>
        <v>23.997540138000005</v>
      </c>
      <c r="AA121" s="316">
        <f t="shared" si="50"/>
        <v>35.996310207000008</v>
      </c>
      <c r="AB121" s="170">
        <f t="shared" si="51"/>
        <v>6.4793358372600007</v>
      </c>
      <c r="AC121" s="11">
        <f t="shared" si="52"/>
        <v>35.996310207000008</v>
      </c>
      <c r="AD121" s="152">
        <f t="shared" si="53"/>
        <v>183.18012796394572</v>
      </c>
      <c r="AE121" s="151">
        <f t="shared" si="267"/>
        <v>8.278130756409336</v>
      </c>
      <c r="AF121" s="12">
        <f t="shared" si="268"/>
        <v>181.40158317958964</v>
      </c>
      <c r="AG121" s="216">
        <f t="shared" si="269"/>
        <v>1.2427025062334703E-2</v>
      </c>
      <c r="AH121" s="2">
        <f t="shared" si="55"/>
        <v>2</v>
      </c>
      <c r="AI121" s="2">
        <f t="shared" si="56"/>
        <v>3</v>
      </c>
      <c r="AJ121" s="127">
        <f t="shared" si="57"/>
        <v>2</v>
      </c>
      <c r="AK121" s="2">
        <f t="shared" si="58"/>
        <v>1.5748031496062995E-2</v>
      </c>
      <c r="AL121" s="8">
        <f t="shared" si="270"/>
        <v>0.13077932261614125</v>
      </c>
      <c r="AM121" s="138">
        <f t="shared" si="59"/>
        <v>0.25</v>
      </c>
      <c r="AN121" s="12">
        <f t="shared" si="271"/>
        <v>10840.195651442338</v>
      </c>
      <c r="AO121" s="138">
        <f t="shared" si="60"/>
        <v>0.25</v>
      </c>
      <c r="AP121" s="116">
        <f t="shared" si="61"/>
        <v>2175570</v>
      </c>
      <c r="AQ121" s="2">
        <f t="shared" si="62"/>
        <v>1.5748031496062995E-2</v>
      </c>
      <c r="AR121" s="8">
        <f t="shared" si="63"/>
        <v>23.997540138000005</v>
      </c>
      <c r="AS121" s="116">
        <f t="shared" si="64"/>
        <v>2610.6840000000002</v>
      </c>
      <c r="AT121" s="217">
        <f t="shared" si="65"/>
        <v>2.8113915396412986E-2</v>
      </c>
      <c r="AU121" s="207">
        <f t="shared" si="66"/>
        <v>4.825931293703257</v>
      </c>
      <c r="AV121" s="144">
        <f t="shared" si="67"/>
        <v>2811.5157063712409</v>
      </c>
      <c r="AW121" s="138">
        <f t="shared" si="68"/>
        <v>1</v>
      </c>
      <c r="AX121" s="116">
        <f t="shared" si="69"/>
        <v>2175570</v>
      </c>
      <c r="AY121" s="2">
        <f t="shared" si="70"/>
        <v>1.5748031496062995E-2</v>
      </c>
      <c r="AZ121" s="8">
        <f t="shared" si="71"/>
        <v>23.997540138000005</v>
      </c>
      <c r="BA121" s="116">
        <f t="shared" si="72"/>
        <v>2610.6840000000002</v>
      </c>
      <c r="BB121" s="217">
        <f t="shared" si="73"/>
        <v>0.11245566158565194</v>
      </c>
      <c r="BC121" s="207">
        <f t="shared" si="74"/>
        <v>3.7712061866772979</v>
      </c>
      <c r="BD121" s="144">
        <f t="shared" si="75"/>
        <v>35152.777047255084</v>
      </c>
      <c r="BE121" s="138">
        <f t="shared" si="76"/>
        <v>1</v>
      </c>
      <c r="BF121" s="116">
        <f t="shared" si="77"/>
        <v>2175570</v>
      </c>
      <c r="BG121" s="2">
        <f t="shared" si="78"/>
        <v>1.5748031496062995E-2</v>
      </c>
      <c r="BH121" s="8">
        <f t="shared" si="79"/>
        <v>23.997540138000005</v>
      </c>
      <c r="BI121" s="116">
        <f t="shared" si="80"/>
        <v>2610.6840000000002</v>
      </c>
      <c r="BJ121" s="217">
        <f t="shared" si="81"/>
        <v>0.11245566158565194</v>
      </c>
      <c r="BK121" s="207">
        <f t="shared" si="82"/>
        <v>3.7712061866772979</v>
      </c>
      <c r="BL121" s="144">
        <f t="shared" si="83"/>
        <v>35152.777047255084</v>
      </c>
      <c r="BM121" s="216">
        <f t="shared" si="84"/>
        <v>1</v>
      </c>
      <c r="BN121" s="216">
        <f t="shared" si="85"/>
        <v>2.3622047244094495E-2</v>
      </c>
      <c r="BO121" s="238">
        <f t="shared" si="86"/>
        <v>1.5748031496062995E-2</v>
      </c>
      <c r="BP121" s="216">
        <f t="shared" si="87"/>
        <v>0</v>
      </c>
      <c r="BQ121" s="138">
        <f t="shared" si="88"/>
        <v>0</v>
      </c>
      <c r="BR121" s="138">
        <f t="shared" si="89"/>
        <v>1</v>
      </c>
      <c r="BS121" s="238">
        <f t="shared" si="90"/>
        <v>0</v>
      </c>
      <c r="BT121" s="138">
        <f t="shared" si="91"/>
        <v>0</v>
      </c>
      <c r="BU121" s="138">
        <f t="shared" si="92"/>
        <v>0</v>
      </c>
      <c r="BV121" s="138">
        <f t="shared" si="93"/>
        <v>1.5</v>
      </c>
      <c r="BW121" s="238">
        <f t="shared" si="94"/>
        <v>0</v>
      </c>
      <c r="BX121" s="216">
        <f t="shared" si="95"/>
        <v>0</v>
      </c>
      <c r="BY121" s="138">
        <f t="shared" si="96"/>
        <v>0</v>
      </c>
      <c r="BZ121" s="138">
        <f t="shared" si="97"/>
        <v>2.3622047244094495E-2</v>
      </c>
      <c r="CA121" s="238">
        <f t="shared" si="98"/>
        <v>0</v>
      </c>
      <c r="CB121" s="138">
        <f t="shared" si="99"/>
        <v>0</v>
      </c>
      <c r="CC121" s="138">
        <f t="shared" si="100"/>
        <v>0</v>
      </c>
      <c r="CD121" s="138">
        <f t="shared" si="101"/>
        <v>2.3622047244094495E-2</v>
      </c>
      <c r="CE121" s="238">
        <f t="shared" si="102"/>
        <v>0</v>
      </c>
      <c r="CF121" s="216">
        <f t="shared" si="103"/>
        <v>0</v>
      </c>
      <c r="CG121" s="138">
        <f t="shared" si="104"/>
        <v>0</v>
      </c>
      <c r="CH121" s="138">
        <f t="shared" si="105"/>
        <v>1.5748031496062995E-2</v>
      </c>
      <c r="CI121" s="238">
        <f t="shared" si="106"/>
        <v>0</v>
      </c>
      <c r="CJ121" s="138">
        <f t="shared" si="107"/>
        <v>0</v>
      </c>
      <c r="CK121" s="138">
        <f t="shared" si="108"/>
        <v>0</v>
      </c>
      <c r="CL121" s="138">
        <f t="shared" si="109"/>
        <v>1.5748031496062995E-2</v>
      </c>
      <c r="CM121" s="238">
        <f t="shared" si="110"/>
        <v>0</v>
      </c>
      <c r="CN121" s="17">
        <f t="shared" si="111"/>
        <v>1.5</v>
      </c>
      <c r="CO121" s="17">
        <f t="shared" si="112"/>
        <v>2.3622047244094495E-2</v>
      </c>
      <c r="CP121" s="17">
        <f t="shared" si="113"/>
        <v>1.5748031496062995E-2</v>
      </c>
      <c r="CQ121" s="17">
        <f>$U121-IF('Inputs-Imperial'!$E$13,0,2)*($CO121+$CN121+$CP121)</f>
        <v>8.639114449680001</v>
      </c>
      <c r="CR121" s="116">
        <f t="shared" si="114"/>
        <v>17977.198702624402</v>
      </c>
      <c r="CS121" s="8">
        <f t="shared" si="10"/>
        <v>0.46480574149423948</v>
      </c>
      <c r="CT121" s="8">
        <f t="shared" si="115"/>
        <v>0.68176663272283977</v>
      </c>
      <c r="CU121" s="8">
        <f t="shared" si="272"/>
        <v>0.46480574149423948</v>
      </c>
      <c r="CV121" s="8">
        <f t="shared" si="116"/>
        <v>0.68176663272283977</v>
      </c>
      <c r="CW121" s="216">
        <f t="shared" si="117"/>
        <v>7.957347816957161</v>
      </c>
      <c r="CX121" s="116">
        <f t="shared" si="118"/>
        <v>19517.44232489758</v>
      </c>
      <c r="CY121" s="8">
        <f t="shared" si="119"/>
        <v>0.50462919178674503</v>
      </c>
      <c r="CZ121" s="8">
        <f t="shared" si="120"/>
        <v>0.71037257251863617</v>
      </c>
      <c r="DA121" s="8">
        <f t="shared" si="121"/>
        <v>0.50462919178674503</v>
      </c>
      <c r="DB121" s="8">
        <f t="shared" si="122"/>
        <v>0.71037257251863617</v>
      </c>
      <c r="DC121" s="216">
        <f t="shared" si="123"/>
        <v>7.9287418771613645</v>
      </c>
      <c r="DD121" s="116">
        <f t="shared" si="124"/>
        <v>19587.858891455529</v>
      </c>
      <c r="DE121" s="8">
        <f t="shared" si="125"/>
        <v>0.50644983275388678</v>
      </c>
      <c r="DF121" s="8">
        <f t="shared" si="126"/>
        <v>0.71165288782796821</v>
      </c>
      <c r="DG121" s="8">
        <f t="shared" si="127"/>
        <v>0.50644983275388678</v>
      </c>
      <c r="DH121" s="8">
        <f t="shared" si="128"/>
        <v>0.71165288782796821</v>
      </c>
      <c r="DI121" s="216">
        <f t="shared" si="129"/>
        <v>7.9274615618520334</v>
      </c>
      <c r="DJ121" s="116">
        <f t="shared" si="130"/>
        <v>19591.022405453055</v>
      </c>
      <c r="DK121" s="8">
        <f t="shared" si="131"/>
        <v>0.50653162633550486</v>
      </c>
      <c r="DL121" s="8">
        <f t="shared" si="132"/>
        <v>0.71171035283709683</v>
      </c>
      <c r="DM121" s="8">
        <f t="shared" si="133"/>
        <v>0.50653162633550486</v>
      </c>
      <c r="DN121" s="8">
        <f t="shared" si="134"/>
        <v>0.71171035283709683</v>
      </c>
      <c r="DO121" s="216">
        <f t="shared" si="135"/>
        <v>7.9274040968429036</v>
      </c>
      <c r="DP121" s="116">
        <f t="shared" si="136"/>
        <v>19591.164418937879</v>
      </c>
      <c r="DQ121" s="170">
        <f t="shared" si="137"/>
        <v>0.50653529813577847</v>
      </c>
      <c r="DR121" s="8">
        <f t="shared" si="138"/>
        <v>0.71171293239323563</v>
      </c>
      <c r="DS121" s="8">
        <f t="shared" si="139"/>
        <v>0.50653529813577847</v>
      </c>
      <c r="DT121" s="134">
        <f t="shared" si="140"/>
        <v>0.71171293239323563</v>
      </c>
      <c r="DU121" s="170">
        <f t="shared" ref="DU121:DX129" si="310">MAX(DQ$120:DQ$129)</f>
        <v>0.53422373583376614</v>
      </c>
      <c r="DV121" s="170">
        <f t="shared" si="310"/>
        <v>0.73090610603125084</v>
      </c>
      <c r="DW121" s="170">
        <f t="shared" si="310"/>
        <v>0.53422373583376614</v>
      </c>
      <c r="DX121" s="272">
        <f t="shared" si="310"/>
        <v>0.73090610603125084</v>
      </c>
      <c r="DY121" s="272">
        <f t="shared" si="142"/>
        <v>7.1773022376175</v>
      </c>
      <c r="DZ121" s="22">
        <f t="shared" si="273"/>
        <v>344.92211485038894</v>
      </c>
      <c r="EA121" s="216">
        <f t="shared" si="274"/>
        <v>2.2597860766732064E-2</v>
      </c>
      <c r="EB121" s="12">
        <f t="shared" si="143"/>
        <v>3</v>
      </c>
      <c r="EC121" s="7">
        <f>ROUND(MAX(DV121,DX121)/'Inputs-Imperial'!$E$21,0)</f>
        <v>6</v>
      </c>
      <c r="ED121" s="12">
        <f t="shared" si="144"/>
        <v>6</v>
      </c>
      <c r="EE121" s="2">
        <f t="shared" si="145"/>
        <v>3</v>
      </c>
      <c r="EF121" s="127">
        <f t="shared" si="146"/>
        <v>3</v>
      </c>
      <c r="EG121" s="2">
        <f t="shared" si="147"/>
        <v>2.3622047244094495E-2</v>
      </c>
      <c r="EH121" s="8">
        <f t="shared" si="275"/>
        <v>0.23781499665631692</v>
      </c>
      <c r="EI121" s="138">
        <f t="shared" si="148"/>
        <v>0.25</v>
      </c>
      <c r="EJ121" s="12">
        <f t="shared" si="276"/>
        <v>13141.532575799816</v>
      </c>
      <c r="EK121" s="138">
        <f t="shared" si="149"/>
        <v>0.25</v>
      </c>
      <c r="EL121" s="116">
        <f t="shared" si="150"/>
        <v>2175570</v>
      </c>
      <c r="EM121" s="2">
        <f t="shared" si="277"/>
        <v>2.3622047244094495E-2</v>
      </c>
      <c r="EN121" s="8">
        <f t="shared" si="151"/>
        <v>8.639114449680001</v>
      </c>
      <c r="EO121" s="116">
        <f t="shared" si="152"/>
        <v>2610.6840000000002</v>
      </c>
      <c r="EP121" s="217">
        <f t="shared" si="153"/>
        <v>0.32539253931033557</v>
      </c>
      <c r="EQ121" s="207">
        <f t="shared" si="154"/>
        <v>2.4885317934138635</v>
      </c>
      <c r="ER121" s="144">
        <f t="shared" si="155"/>
        <v>11186.586148763514</v>
      </c>
      <c r="ES121" s="138">
        <f t="shared" si="278"/>
        <v>0.5</v>
      </c>
      <c r="ET121" s="116">
        <f t="shared" si="156"/>
        <v>2175570</v>
      </c>
      <c r="EU121" s="2">
        <f t="shared" si="279"/>
        <v>2.3622047244094495E-2</v>
      </c>
      <c r="EV121" s="8">
        <f t="shared" si="157"/>
        <v>8.639114449680001</v>
      </c>
      <c r="EW121" s="116">
        <f t="shared" si="158"/>
        <v>2610.6840000000002</v>
      </c>
      <c r="EX121" s="217">
        <f t="shared" si="159"/>
        <v>0.65078507862067114</v>
      </c>
      <c r="EY121" s="207">
        <f t="shared" si="160"/>
        <v>2</v>
      </c>
      <c r="EZ121" s="144">
        <f t="shared" si="161"/>
        <v>35962.043734767241</v>
      </c>
      <c r="FA121" s="138">
        <f t="shared" si="280"/>
        <v>0.5</v>
      </c>
      <c r="FB121" s="116">
        <f t="shared" si="162"/>
        <v>2175570</v>
      </c>
      <c r="FC121" s="2">
        <f t="shared" si="281"/>
        <v>2.3622047244094495E-2</v>
      </c>
      <c r="FD121" s="8">
        <f t="shared" si="163"/>
        <v>8.639114449680001</v>
      </c>
      <c r="FE121" s="116">
        <f t="shared" si="164"/>
        <v>2610.6840000000002</v>
      </c>
      <c r="FF121" s="217">
        <f t="shared" si="165"/>
        <v>0.65078507862067114</v>
      </c>
      <c r="FG121" s="207">
        <f t="shared" si="166"/>
        <v>2</v>
      </c>
      <c r="FH121" s="144">
        <f t="shared" si="167"/>
        <v>35962.043734767241</v>
      </c>
      <c r="FI121" s="128">
        <f t="shared" si="168"/>
        <v>0.5</v>
      </c>
      <c r="FJ121" s="2">
        <f t="shared" si="169"/>
        <v>2.3622047244094495E-2</v>
      </c>
      <c r="FK121" s="127">
        <f t="shared" si="170"/>
        <v>2.3622047244094495E-2</v>
      </c>
      <c r="FL121" s="216">
        <f t="shared" si="171"/>
        <v>0</v>
      </c>
      <c r="FM121" s="138">
        <f t="shared" si="172"/>
        <v>0</v>
      </c>
      <c r="FN121" s="138">
        <f t="shared" si="173"/>
        <v>0.5</v>
      </c>
      <c r="FO121" s="238">
        <f t="shared" si="174"/>
        <v>0</v>
      </c>
      <c r="FP121" s="216">
        <f t="shared" si="282"/>
        <v>0</v>
      </c>
      <c r="FQ121" s="138">
        <f t="shared" si="283"/>
        <v>0</v>
      </c>
      <c r="FR121" s="138">
        <f t="shared" si="284"/>
        <v>0.5</v>
      </c>
      <c r="FS121" s="238">
        <f t="shared" si="285"/>
        <v>0</v>
      </c>
      <c r="FT121" s="216">
        <f t="shared" si="175"/>
        <v>0</v>
      </c>
      <c r="FU121" s="138">
        <f t="shared" si="176"/>
        <v>0</v>
      </c>
      <c r="FV121" s="138">
        <f t="shared" si="177"/>
        <v>2.3622047244094495E-2</v>
      </c>
      <c r="FW121" s="238">
        <f t="shared" si="178"/>
        <v>0</v>
      </c>
      <c r="FX121" s="216">
        <f t="shared" si="286"/>
        <v>0</v>
      </c>
      <c r="FY121" s="138">
        <f t="shared" si="287"/>
        <v>0</v>
      </c>
      <c r="FZ121" s="138">
        <f t="shared" si="288"/>
        <v>3.1496062992125991E-2</v>
      </c>
      <c r="GA121" s="238">
        <f t="shared" si="289"/>
        <v>0</v>
      </c>
      <c r="GB121" s="216">
        <f t="shared" si="179"/>
        <v>0</v>
      </c>
      <c r="GC121" s="138">
        <f t="shared" si="180"/>
        <v>0</v>
      </c>
      <c r="GD121" s="138">
        <f t="shared" si="181"/>
        <v>2.3622047244094495E-2</v>
      </c>
      <c r="GE121" s="238">
        <f t="shared" si="182"/>
        <v>0</v>
      </c>
      <c r="GF121" s="216">
        <f t="shared" si="290"/>
        <v>0</v>
      </c>
      <c r="GG121" s="138">
        <f t="shared" si="291"/>
        <v>0</v>
      </c>
      <c r="GH121" s="138">
        <f t="shared" si="292"/>
        <v>3.1496062992125991E-2</v>
      </c>
      <c r="GI121" s="238">
        <f t="shared" si="293"/>
        <v>0</v>
      </c>
      <c r="GJ121" s="216">
        <f t="shared" si="183"/>
        <v>0.5</v>
      </c>
      <c r="GK121" s="216">
        <f t="shared" si="184"/>
        <v>3.1496062992125991E-2</v>
      </c>
      <c r="GL121" s="17">
        <f t="shared" si="185"/>
        <v>3.1496062992125991E-2</v>
      </c>
      <c r="GM121" s="216">
        <f t="shared" si="294"/>
        <v>1.1884676403933134E-2</v>
      </c>
      <c r="GN121" s="2">
        <f t="shared" si="187"/>
        <v>2</v>
      </c>
      <c r="GO121" s="2">
        <f t="shared" si="188"/>
        <v>2</v>
      </c>
      <c r="GP121" s="142">
        <f t="shared" si="189"/>
        <v>2</v>
      </c>
      <c r="GQ121" s="2">
        <f t="shared" si="190"/>
        <v>1.5748031496062995E-2</v>
      </c>
      <c r="GR121" s="8">
        <f t="shared" si="295"/>
        <v>0.12507176269638964</v>
      </c>
      <c r="GS121" s="138">
        <f t="shared" si="191"/>
        <v>0.25</v>
      </c>
      <c r="GT121" s="12">
        <f t="shared" si="296"/>
        <v>10367.100478713546</v>
      </c>
      <c r="GU121" s="138">
        <f t="shared" si="192"/>
        <v>0.25</v>
      </c>
      <c r="GV121" s="116">
        <f t="shared" si="193"/>
        <v>2175570</v>
      </c>
      <c r="GW121" s="2">
        <f t="shared" si="297"/>
        <v>2.3622047244094495E-2</v>
      </c>
      <c r="GX121" s="8">
        <f t="shared" si="298"/>
        <v>4.3195572248400005</v>
      </c>
      <c r="GY121" s="116">
        <f t="shared" si="194"/>
        <v>2610.6840000000002</v>
      </c>
      <c r="GZ121" s="217">
        <f t="shared" si="195"/>
        <v>1.3015701572413423</v>
      </c>
      <c r="HA121" s="207">
        <f t="shared" si="196"/>
        <v>2</v>
      </c>
      <c r="HB121" s="144">
        <f t="shared" si="197"/>
        <v>35962.043734767241</v>
      </c>
      <c r="HC121" s="138">
        <f t="shared" si="299"/>
        <v>0.25</v>
      </c>
      <c r="HD121" s="116">
        <f t="shared" si="198"/>
        <v>2175570</v>
      </c>
      <c r="HE121" s="2">
        <f t="shared" si="300"/>
        <v>2.3622047244094495E-2</v>
      </c>
      <c r="HF121" s="8">
        <f t="shared" si="199"/>
        <v>4.3195572248400005</v>
      </c>
      <c r="HG121" s="116">
        <f t="shared" si="200"/>
        <v>2610.6840000000002</v>
      </c>
      <c r="HH121" s="217">
        <f t="shared" si="201"/>
        <v>1.3015701572413423</v>
      </c>
      <c r="HI121" s="207">
        <f t="shared" si="202"/>
        <v>2</v>
      </c>
      <c r="HJ121" s="144">
        <f t="shared" si="203"/>
        <v>35962.043734767241</v>
      </c>
      <c r="HK121" s="138">
        <f t="shared" si="301"/>
        <v>0.25</v>
      </c>
      <c r="HL121" s="116">
        <f t="shared" si="204"/>
        <v>2175570</v>
      </c>
      <c r="HM121" s="2">
        <f t="shared" si="302"/>
        <v>2.3622047244094495E-2</v>
      </c>
      <c r="HN121" s="8">
        <f t="shared" si="205"/>
        <v>4.3195572248400005</v>
      </c>
      <c r="HO121" s="116">
        <f t="shared" si="206"/>
        <v>2610.6840000000002</v>
      </c>
      <c r="HP121" s="217">
        <f t="shared" si="207"/>
        <v>1.3015701572413423</v>
      </c>
      <c r="HQ121" s="207">
        <f t="shared" si="208"/>
        <v>2</v>
      </c>
      <c r="HR121" s="144">
        <f t="shared" si="209"/>
        <v>35962.043734767241</v>
      </c>
      <c r="HS121" s="128">
        <f t="shared" si="210"/>
        <v>0.25</v>
      </c>
      <c r="HT121" s="2">
        <f t="shared" si="211"/>
        <v>1.5748031496062995E-2</v>
      </c>
      <c r="HU121" s="127">
        <f t="shared" si="212"/>
        <v>1.5748031496062995E-2</v>
      </c>
      <c r="HV121" s="216">
        <f t="shared" si="213"/>
        <v>0</v>
      </c>
      <c r="HW121" s="138">
        <f t="shared" si="214"/>
        <v>0</v>
      </c>
      <c r="HX121" s="138">
        <f t="shared" si="215"/>
        <v>0.25</v>
      </c>
      <c r="HY121" s="238">
        <f t="shared" si="216"/>
        <v>0</v>
      </c>
      <c r="HZ121" s="138">
        <f t="shared" si="217"/>
        <v>0</v>
      </c>
      <c r="IA121" s="138">
        <f t="shared" si="218"/>
        <v>0</v>
      </c>
      <c r="IB121" s="138">
        <f t="shared" si="219"/>
        <v>0.25</v>
      </c>
      <c r="IC121" s="138">
        <f t="shared" si="220"/>
        <v>0</v>
      </c>
      <c r="ID121" s="216">
        <f t="shared" si="221"/>
        <v>0</v>
      </c>
      <c r="IE121" s="138">
        <f t="shared" si="222"/>
        <v>0</v>
      </c>
      <c r="IF121" s="138">
        <f t="shared" si="223"/>
        <v>1.5748031496062995E-2</v>
      </c>
      <c r="IG121" s="238">
        <f t="shared" si="224"/>
        <v>0</v>
      </c>
      <c r="IH121" s="138">
        <f t="shared" si="225"/>
        <v>0</v>
      </c>
      <c r="II121" s="138">
        <f t="shared" si="226"/>
        <v>0</v>
      </c>
      <c r="IJ121" s="138">
        <f t="shared" si="227"/>
        <v>1.5748031496062995E-2</v>
      </c>
      <c r="IK121" s="138">
        <f t="shared" si="228"/>
        <v>0</v>
      </c>
      <c r="IL121" s="216">
        <f t="shared" si="229"/>
        <v>0</v>
      </c>
      <c r="IM121" s="138">
        <f t="shared" si="230"/>
        <v>0</v>
      </c>
      <c r="IN121" s="138">
        <f t="shared" si="231"/>
        <v>1.5748031496062995E-2</v>
      </c>
      <c r="IO121" s="238">
        <f t="shared" si="232"/>
        <v>0</v>
      </c>
      <c r="IP121" s="138">
        <f t="shared" si="233"/>
        <v>0</v>
      </c>
      <c r="IQ121" s="138">
        <f t="shared" si="234"/>
        <v>0</v>
      </c>
      <c r="IR121" s="138">
        <f t="shared" si="235"/>
        <v>1.5748031496062995E-2</v>
      </c>
      <c r="IS121" s="138">
        <f t="shared" si="236"/>
        <v>0</v>
      </c>
      <c r="IT121" s="17">
        <f t="shared" si="237"/>
        <v>0.25</v>
      </c>
      <c r="IU121" s="17">
        <f t="shared" si="238"/>
        <v>1.5748031496062995E-2</v>
      </c>
      <c r="IV121" s="17">
        <f t="shared" si="239"/>
        <v>1.5748031496062995E-2</v>
      </c>
      <c r="IW121" s="253">
        <f t="shared" si="240"/>
        <v>23.997540138000005</v>
      </c>
      <c r="IX121" s="116">
        <f t="shared" si="303"/>
        <v>647.17915329447851</v>
      </c>
      <c r="IY121" s="8">
        <f t="shared" si="242"/>
        <v>1.6733006693792622E-2</v>
      </c>
      <c r="IZ121" s="8">
        <f t="shared" si="243"/>
        <v>1.6733006693792622E-2</v>
      </c>
      <c r="JA121" s="8">
        <f t="shared" si="244"/>
        <v>8.3665033468963111E-3</v>
      </c>
      <c r="JB121" s="134">
        <f t="shared" si="245"/>
        <v>9.1468592133564133E-2</v>
      </c>
      <c r="JC121" s="170">
        <f t="shared" ref="JC121:JC129" si="311">MAX(JA$120:JA$129)</f>
        <v>8.8060777215215446E-3</v>
      </c>
      <c r="JD121" s="272">
        <f t="shared" ref="JD121:JD129" si="312">MAX(JB$120:JB$129)</f>
        <v>9.3840703969660974E-2</v>
      </c>
      <c r="JE121" s="8"/>
      <c r="JF121" s="8"/>
    </row>
    <row r="122" spans="1:266" x14ac:dyDescent="0.25">
      <c r="A122" s="186">
        <v>62</v>
      </c>
      <c r="B122" s="187">
        <f>A122/100*'Inputs-Imperial'!$E$5</f>
        <v>14.930446671999999</v>
      </c>
      <c r="C122" s="188">
        <f>'Inputs-Imperial'!$E$10+('Inputs-Imperial'!$E$9-'Inputs-Imperial'!$E$10)*(100-A122)/100</f>
        <v>3.9817914660000007</v>
      </c>
      <c r="D122" s="187">
        <f t="shared" si="248"/>
        <v>0.24081365600000026</v>
      </c>
      <c r="E122" s="188">
        <f t="shared" si="249"/>
        <v>0.96101282814840805</v>
      </c>
      <c r="F122" s="423">
        <f>Loads!P82</f>
        <v>288.49024693236646</v>
      </c>
      <c r="G122" s="423">
        <f>Loads!M82</f>
        <v>2884.9024693236638</v>
      </c>
      <c r="H122" s="423">
        <f>Loads!N82</f>
        <v>12224.674682965291</v>
      </c>
      <c r="I122" s="423">
        <f>Loads!V82</f>
        <v>-5324.8585830968495</v>
      </c>
      <c r="J122" s="423">
        <f>Loads!Q82</f>
        <v>1222.4674682965292</v>
      </c>
      <c r="K122" s="2">
        <v>62</v>
      </c>
      <c r="L122" s="12">
        <f t="shared" si="41"/>
        <v>179.16536006399997</v>
      </c>
      <c r="M122" s="11">
        <f t="shared" si="42"/>
        <v>47.781497592000008</v>
      </c>
      <c r="N122" s="11">
        <f t="shared" si="43"/>
        <v>2.8897638720000032</v>
      </c>
      <c r="O122" s="152">
        <f t="shared" si="44"/>
        <v>138.38584725337077</v>
      </c>
      <c r="P122" s="151">
        <f t="shared" si="45"/>
        <v>288.49024693236646</v>
      </c>
      <c r="Q122" s="12">
        <f t="shared" si="46"/>
        <v>2884.9024693236638</v>
      </c>
      <c r="R122" s="12">
        <f t="shared" si="47"/>
        <v>146696.09619558349</v>
      </c>
      <c r="S122" s="12">
        <f t="shared" si="48"/>
        <v>-63898.302997162195</v>
      </c>
      <c r="T122" s="152">
        <f t="shared" si="49"/>
        <v>14669.60961955835</v>
      </c>
      <c r="U122" s="8">
        <f t="shared" si="261"/>
        <v>8.6006695665600006</v>
      </c>
      <c r="V122" s="8">
        <f t="shared" si="262"/>
        <v>8.6006695665600006</v>
      </c>
      <c r="W122" s="134">
        <f t="shared" si="263"/>
        <v>4.3003347832800003</v>
      </c>
      <c r="X122" s="311">
        <f t="shared" si="264"/>
        <v>11.945374398000002</v>
      </c>
      <c r="Y122" s="11">
        <f t="shared" si="265"/>
        <v>35.83612319400001</v>
      </c>
      <c r="Z122" s="11">
        <f t="shared" si="266"/>
        <v>23.890748796000008</v>
      </c>
      <c r="AA122" s="316">
        <f t="shared" si="50"/>
        <v>35.83612319400001</v>
      </c>
      <c r="AB122" s="170">
        <f t="shared" si="51"/>
        <v>6.4505021749200004</v>
      </c>
      <c r="AC122" s="11">
        <f t="shared" si="52"/>
        <v>35.83612319400001</v>
      </c>
      <c r="AD122" s="152">
        <f t="shared" si="53"/>
        <v>181.55341746920075</v>
      </c>
      <c r="AE122" s="151">
        <f t="shared" si="267"/>
        <v>8.050263846081096</v>
      </c>
      <c r="AF122" s="12">
        <f t="shared" si="268"/>
        <v>175.97659104379593</v>
      </c>
      <c r="AG122" s="216">
        <f t="shared" si="269"/>
        <v>1.2056673275196803E-2</v>
      </c>
      <c r="AH122" s="2">
        <f t="shared" si="55"/>
        <v>2</v>
      </c>
      <c r="AI122" s="2">
        <f t="shared" si="56"/>
        <v>3</v>
      </c>
      <c r="AJ122" s="127">
        <f t="shared" si="57"/>
        <v>2</v>
      </c>
      <c r="AK122" s="2">
        <f t="shared" si="58"/>
        <v>1.5748031496062995E-2</v>
      </c>
      <c r="AL122" s="8">
        <f t="shared" si="270"/>
        <v>0.12688182055039166</v>
      </c>
      <c r="AM122" s="138">
        <f t="shared" si="59"/>
        <v>0.25</v>
      </c>
      <c r="AN122" s="12">
        <f t="shared" si="271"/>
        <v>10517.134756956471</v>
      </c>
      <c r="AO122" s="138">
        <f t="shared" si="60"/>
        <v>0.25</v>
      </c>
      <c r="AP122" s="116">
        <f t="shared" si="61"/>
        <v>2175570</v>
      </c>
      <c r="AQ122" s="2">
        <f t="shared" si="62"/>
        <v>1.5748031496062995E-2</v>
      </c>
      <c r="AR122" s="8">
        <f t="shared" si="63"/>
        <v>23.890748796000008</v>
      </c>
      <c r="AS122" s="116">
        <f t="shared" si="64"/>
        <v>2610.6840000000002</v>
      </c>
      <c r="AT122" s="217">
        <f t="shared" si="65"/>
        <v>2.8365814820071451E-2</v>
      </c>
      <c r="AU122" s="207">
        <f t="shared" si="66"/>
        <v>4.8219985124635629</v>
      </c>
      <c r="AV122" s="144">
        <f t="shared" si="67"/>
        <v>2834.3950526118538</v>
      </c>
      <c r="AW122" s="138">
        <f t="shared" si="68"/>
        <v>1</v>
      </c>
      <c r="AX122" s="116">
        <f t="shared" si="69"/>
        <v>2175570</v>
      </c>
      <c r="AY122" s="2">
        <f t="shared" si="70"/>
        <v>1.5748031496062995E-2</v>
      </c>
      <c r="AZ122" s="8">
        <f t="shared" si="71"/>
        <v>23.890748796000008</v>
      </c>
      <c r="BA122" s="116">
        <f t="shared" si="72"/>
        <v>2610.6840000000002</v>
      </c>
      <c r="BB122" s="217">
        <f t="shared" si="73"/>
        <v>0.11346325928028581</v>
      </c>
      <c r="BC122" s="207">
        <f t="shared" si="74"/>
        <v>3.7614102398810298</v>
      </c>
      <c r="BD122" s="144">
        <f t="shared" si="75"/>
        <v>35375.614645108566</v>
      </c>
      <c r="BE122" s="138">
        <f t="shared" si="76"/>
        <v>1</v>
      </c>
      <c r="BF122" s="116">
        <f t="shared" si="77"/>
        <v>2175570</v>
      </c>
      <c r="BG122" s="2">
        <f t="shared" si="78"/>
        <v>1.5748031496062995E-2</v>
      </c>
      <c r="BH122" s="8">
        <f t="shared" si="79"/>
        <v>23.890748796000008</v>
      </c>
      <c r="BI122" s="116">
        <f t="shared" si="80"/>
        <v>2610.6840000000002</v>
      </c>
      <c r="BJ122" s="217">
        <f t="shared" si="81"/>
        <v>0.11346325928028581</v>
      </c>
      <c r="BK122" s="207">
        <f t="shared" si="82"/>
        <v>3.7614102398810298</v>
      </c>
      <c r="BL122" s="144">
        <f t="shared" si="83"/>
        <v>35375.614645108566</v>
      </c>
      <c r="BM122" s="216">
        <f t="shared" si="84"/>
        <v>1</v>
      </c>
      <c r="BN122" s="216">
        <f t="shared" si="85"/>
        <v>2.3622047244094495E-2</v>
      </c>
      <c r="BO122" s="238">
        <f t="shared" si="86"/>
        <v>1.5748031496062995E-2</v>
      </c>
      <c r="BP122" s="216">
        <f t="shared" si="87"/>
        <v>0</v>
      </c>
      <c r="BQ122" s="138">
        <f t="shared" si="88"/>
        <v>0</v>
      </c>
      <c r="BR122" s="138">
        <f t="shared" si="89"/>
        <v>1</v>
      </c>
      <c r="BS122" s="238">
        <f t="shared" si="90"/>
        <v>0</v>
      </c>
      <c r="BT122" s="138">
        <f t="shared" si="91"/>
        <v>0</v>
      </c>
      <c r="BU122" s="138">
        <f t="shared" si="92"/>
        <v>0</v>
      </c>
      <c r="BV122" s="138">
        <f t="shared" si="93"/>
        <v>1.5</v>
      </c>
      <c r="BW122" s="238">
        <f t="shared" si="94"/>
        <v>0</v>
      </c>
      <c r="BX122" s="216">
        <f t="shared" si="95"/>
        <v>0</v>
      </c>
      <c r="BY122" s="138">
        <f t="shared" si="96"/>
        <v>0</v>
      </c>
      <c r="BZ122" s="138">
        <f t="shared" si="97"/>
        <v>2.3622047244094495E-2</v>
      </c>
      <c r="CA122" s="238">
        <f t="shared" si="98"/>
        <v>0</v>
      </c>
      <c r="CB122" s="138">
        <f t="shared" si="99"/>
        <v>0</v>
      </c>
      <c r="CC122" s="138">
        <f t="shared" si="100"/>
        <v>0</v>
      </c>
      <c r="CD122" s="138">
        <f t="shared" si="101"/>
        <v>2.3622047244094495E-2</v>
      </c>
      <c r="CE122" s="238">
        <f t="shared" si="102"/>
        <v>0</v>
      </c>
      <c r="CF122" s="216">
        <f t="shared" si="103"/>
        <v>0</v>
      </c>
      <c r="CG122" s="138">
        <f t="shared" si="104"/>
        <v>0</v>
      </c>
      <c r="CH122" s="138">
        <f t="shared" si="105"/>
        <v>1.5748031496062995E-2</v>
      </c>
      <c r="CI122" s="238">
        <f t="shared" si="106"/>
        <v>0</v>
      </c>
      <c r="CJ122" s="138">
        <f t="shared" si="107"/>
        <v>0</v>
      </c>
      <c r="CK122" s="138">
        <f t="shared" si="108"/>
        <v>0</v>
      </c>
      <c r="CL122" s="138">
        <f t="shared" si="109"/>
        <v>1.5748031496062995E-2</v>
      </c>
      <c r="CM122" s="238">
        <f t="shared" si="110"/>
        <v>0</v>
      </c>
      <c r="CN122" s="17">
        <f t="shared" si="111"/>
        <v>1.5</v>
      </c>
      <c r="CO122" s="17">
        <f t="shared" si="112"/>
        <v>2.3622047244094495E-2</v>
      </c>
      <c r="CP122" s="17">
        <f t="shared" si="113"/>
        <v>1.5748031496062995E-2</v>
      </c>
      <c r="CQ122" s="17">
        <f>$U122-IF('Inputs-Imperial'!$E$13,0,2)*($CO122+$CN122+$CP122)</f>
        <v>8.6006695665600006</v>
      </c>
      <c r="CR122" s="116">
        <f t="shared" si="114"/>
        <v>17056.35765451891</v>
      </c>
      <c r="CS122" s="8">
        <f t="shared" si="10"/>
        <v>0.44099712630101012</v>
      </c>
      <c r="CT122" s="8">
        <f t="shared" si="115"/>
        <v>0.66407614495704492</v>
      </c>
      <c r="CU122" s="8">
        <f t="shared" si="272"/>
        <v>0.44099712630101012</v>
      </c>
      <c r="CV122" s="8">
        <f t="shared" si="116"/>
        <v>0.66407614495704492</v>
      </c>
      <c r="CW122" s="216">
        <f t="shared" si="117"/>
        <v>7.9365934216029563</v>
      </c>
      <c r="CX122" s="116">
        <f t="shared" si="118"/>
        <v>18483.509032513251</v>
      </c>
      <c r="CY122" s="8">
        <f t="shared" si="119"/>
        <v>0.47789654347084687</v>
      </c>
      <c r="CZ122" s="8">
        <f t="shared" si="120"/>
        <v>0.69130061729384196</v>
      </c>
      <c r="DA122" s="8">
        <f t="shared" si="121"/>
        <v>0.47789654347084687</v>
      </c>
      <c r="DB122" s="8">
        <f t="shared" si="122"/>
        <v>0.69130061729384196</v>
      </c>
      <c r="DC122" s="216">
        <f t="shared" si="123"/>
        <v>7.9093689492661587</v>
      </c>
      <c r="DD122" s="116">
        <f t="shared" si="124"/>
        <v>18547.130262420513</v>
      </c>
      <c r="DE122" s="8">
        <f t="shared" si="125"/>
        <v>0.47954148901720184</v>
      </c>
      <c r="DF122" s="8">
        <f t="shared" si="126"/>
        <v>0.69248934216867331</v>
      </c>
      <c r="DG122" s="8">
        <f t="shared" si="127"/>
        <v>0.47954148901720184</v>
      </c>
      <c r="DH122" s="8">
        <f t="shared" si="128"/>
        <v>0.69248934216867331</v>
      </c>
      <c r="DI122" s="216">
        <f t="shared" si="129"/>
        <v>7.9081802243913266</v>
      </c>
      <c r="DJ122" s="116">
        <f t="shared" si="130"/>
        <v>18549.918190170523</v>
      </c>
      <c r="DK122" s="8">
        <f t="shared" si="131"/>
        <v>0.4796135717063077</v>
      </c>
      <c r="DL122" s="8">
        <f t="shared" si="132"/>
        <v>0.69254138627688355</v>
      </c>
      <c r="DM122" s="8">
        <f t="shared" si="133"/>
        <v>0.4796135717063077</v>
      </c>
      <c r="DN122" s="8">
        <f t="shared" si="134"/>
        <v>0.69254138627688355</v>
      </c>
      <c r="DO122" s="216">
        <f t="shared" si="135"/>
        <v>7.9081281802831178</v>
      </c>
      <c r="DP122" s="116">
        <f t="shared" si="136"/>
        <v>18550.040268863173</v>
      </c>
      <c r="DQ122" s="170">
        <f t="shared" si="137"/>
        <v>0.47961672808668687</v>
      </c>
      <c r="DR122" s="8">
        <f t="shared" si="138"/>
        <v>0.69254366511194576</v>
      </c>
      <c r="DS122" s="8">
        <f t="shared" si="139"/>
        <v>0.47961672808668687</v>
      </c>
      <c r="DT122" s="134">
        <f t="shared" si="140"/>
        <v>0.69254366511194576</v>
      </c>
      <c r="DU122" s="170">
        <f t="shared" si="310"/>
        <v>0.53422373583376614</v>
      </c>
      <c r="DV122" s="170">
        <f t="shared" si="310"/>
        <v>0.73090610603125084</v>
      </c>
      <c r="DW122" s="170">
        <f t="shared" si="310"/>
        <v>0.53422373583376614</v>
      </c>
      <c r="DX122" s="272">
        <f t="shared" si="310"/>
        <v>0.73090610603125084</v>
      </c>
      <c r="DY122" s="272">
        <f t="shared" si="142"/>
        <v>7.1388573544974996</v>
      </c>
      <c r="DZ122" s="22">
        <f t="shared" si="273"/>
        <v>335.42766025337892</v>
      </c>
      <c r="EA122" s="216">
        <f t="shared" si="274"/>
        <v>2.1975823634864323E-2</v>
      </c>
      <c r="EB122" s="12">
        <f t="shared" si="143"/>
        <v>3</v>
      </c>
      <c r="EC122" s="7">
        <f>ROUND(MAX(DV122,DX122)/'Inputs-Imperial'!$E$21,0)</f>
        <v>6</v>
      </c>
      <c r="ED122" s="12">
        <f t="shared" si="144"/>
        <v>6</v>
      </c>
      <c r="EE122" s="2">
        <f t="shared" si="145"/>
        <v>3</v>
      </c>
      <c r="EF122" s="127">
        <f t="shared" si="146"/>
        <v>3</v>
      </c>
      <c r="EG122" s="2">
        <f t="shared" si="147"/>
        <v>2.3622047244094495E-2</v>
      </c>
      <c r="EH122" s="8">
        <f t="shared" si="275"/>
        <v>0.23126881248595466</v>
      </c>
      <c r="EI122" s="138">
        <f t="shared" si="148"/>
        <v>0.25</v>
      </c>
      <c r="EJ122" s="12">
        <f t="shared" si="276"/>
        <v>12779.793855653734</v>
      </c>
      <c r="EK122" s="138">
        <f t="shared" si="149"/>
        <v>0.25</v>
      </c>
      <c r="EL122" s="116">
        <f t="shared" si="150"/>
        <v>2175570</v>
      </c>
      <c r="EM122" s="2">
        <f t="shared" si="277"/>
        <v>2.3622047244094495E-2</v>
      </c>
      <c r="EN122" s="8">
        <f t="shared" si="151"/>
        <v>8.6006695665600006</v>
      </c>
      <c r="EO122" s="116">
        <f t="shared" si="152"/>
        <v>2610.6840000000002</v>
      </c>
      <c r="EP122" s="217">
        <f t="shared" si="153"/>
        <v>0.32830804189897528</v>
      </c>
      <c r="EQ122" s="207">
        <f t="shared" si="154"/>
        <v>2.475056926102142</v>
      </c>
      <c r="ER122" s="144">
        <f t="shared" si="155"/>
        <v>11225.701757922174</v>
      </c>
      <c r="ES122" s="138">
        <f t="shared" si="278"/>
        <v>0.5</v>
      </c>
      <c r="ET122" s="116">
        <f t="shared" si="156"/>
        <v>2175570</v>
      </c>
      <c r="EU122" s="2">
        <f t="shared" si="279"/>
        <v>2.3622047244094495E-2</v>
      </c>
      <c r="EV122" s="8">
        <f t="shared" si="157"/>
        <v>8.6006695665600006</v>
      </c>
      <c r="EW122" s="116">
        <f t="shared" si="158"/>
        <v>2610.6840000000002</v>
      </c>
      <c r="EX122" s="217">
        <f t="shared" si="159"/>
        <v>0.65661608379795056</v>
      </c>
      <c r="EY122" s="207">
        <f t="shared" si="160"/>
        <v>2</v>
      </c>
      <c r="EZ122" s="144">
        <f t="shared" si="161"/>
        <v>36284.262037079003</v>
      </c>
      <c r="FA122" s="138">
        <f t="shared" si="280"/>
        <v>0.5</v>
      </c>
      <c r="FB122" s="116">
        <f t="shared" si="162"/>
        <v>2175570</v>
      </c>
      <c r="FC122" s="2">
        <f t="shared" si="281"/>
        <v>2.3622047244094495E-2</v>
      </c>
      <c r="FD122" s="8">
        <f t="shared" si="163"/>
        <v>8.6006695665600006</v>
      </c>
      <c r="FE122" s="116">
        <f t="shared" si="164"/>
        <v>2610.6840000000002</v>
      </c>
      <c r="FF122" s="217">
        <f t="shared" si="165"/>
        <v>0.65661608379795056</v>
      </c>
      <c r="FG122" s="207">
        <f t="shared" si="166"/>
        <v>2</v>
      </c>
      <c r="FH122" s="144">
        <f t="shared" si="167"/>
        <v>36284.262037079003</v>
      </c>
      <c r="FI122" s="128">
        <f t="shared" si="168"/>
        <v>0.5</v>
      </c>
      <c r="FJ122" s="2">
        <f t="shared" si="169"/>
        <v>2.3622047244094495E-2</v>
      </c>
      <c r="FK122" s="127">
        <f t="shared" si="170"/>
        <v>2.3622047244094495E-2</v>
      </c>
      <c r="FL122" s="216">
        <f t="shared" si="171"/>
        <v>0</v>
      </c>
      <c r="FM122" s="138">
        <f t="shared" si="172"/>
        <v>0</v>
      </c>
      <c r="FN122" s="138">
        <f t="shared" si="173"/>
        <v>0.5</v>
      </c>
      <c r="FO122" s="238">
        <f t="shared" si="174"/>
        <v>0</v>
      </c>
      <c r="FP122" s="216">
        <f t="shared" si="282"/>
        <v>0</v>
      </c>
      <c r="FQ122" s="138">
        <f t="shared" si="283"/>
        <v>0</v>
      </c>
      <c r="FR122" s="138">
        <f t="shared" si="284"/>
        <v>0.5</v>
      </c>
      <c r="FS122" s="238">
        <f t="shared" si="285"/>
        <v>0</v>
      </c>
      <c r="FT122" s="216">
        <f t="shared" si="175"/>
        <v>0</v>
      </c>
      <c r="FU122" s="138">
        <f t="shared" si="176"/>
        <v>0</v>
      </c>
      <c r="FV122" s="138">
        <f t="shared" si="177"/>
        <v>2.3622047244094495E-2</v>
      </c>
      <c r="FW122" s="238">
        <f t="shared" si="178"/>
        <v>0</v>
      </c>
      <c r="FX122" s="216">
        <f t="shared" si="286"/>
        <v>0</v>
      </c>
      <c r="FY122" s="138">
        <f t="shared" si="287"/>
        <v>0</v>
      </c>
      <c r="FZ122" s="138">
        <f t="shared" si="288"/>
        <v>3.1496062992125991E-2</v>
      </c>
      <c r="GA122" s="238">
        <f t="shared" si="289"/>
        <v>0</v>
      </c>
      <c r="GB122" s="216">
        <f t="shared" si="179"/>
        <v>0</v>
      </c>
      <c r="GC122" s="138">
        <f t="shared" si="180"/>
        <v>0</v>
      </c>
      <c r="GD122" s="138">
        <f t="shared" si="181"/>
        <v>2.3622047244094495E-2</v>
      </c>
      <c r="GE122" s="238">
        <f t="shared" si="182"/>
        <v>0</v>
      </c>
      <c r="GF122" s="216">
        <f t="shared" si="290"/>
        <v>0</v>
      </c>
      <c r="GG122" s="138">
        <f t="shared" si="291"/>
        <v>0</v>
      </c>
      <c r="GH122" s="138">
        <f t="shared" si="292"/>
        <v>3.1496062992125991E-2</v>
      </c>
      <c r="GI122" s="238">
        <f t="shared" si="293"/>
        <v>0</v>
      </c>
      <c r="GJ122" s="216">
        <f t="shared" si="183"/>
        <v>0.5</v>
      </c>
      <c r="GK122" s="216">
        <f t="shared" si="184"/>
        <v>3.1496062992125991E-2</v>
      </c>
      <c r="GL122" s="17">
        <f t="shared" si="185"/>
        <v>3.1496062992125991E-2</v>
      </c>
      <c r="GM122" s="216">
        <f t="shared" si="294"/>
        <v>1.1529253507960059E-2</v>
      </c>
      <c r="GN122" s="2">
        <f t="shared" si="187"/>
        <v>2</v>
      </c>
      <c r="GO122" s="2">
        <f t="shared" si="188"/>
        <v>2</v>
      </c>
      <c r="GP122" s="142">
        <f t="shared" si="189"/>
        <v>2</v>
      </c>
      <c r="GQ122" s="2">
        <f t="shared" si="190"/>
        <v>1.5748031496062995E-2</v>
      </c>
      <c r="GR122" s="8">
        <f t="shared" si="295"/>
        <v>0.12133136905072871</v>
      </c>
      <c r="GS122" s="138">
        <f t="shared" si="191"/>
        <v>0.25</v>
      </c>
      <c r="GT122" s="12">
        <f t="shared" si="296"/>
        <v>10057.062178152935</v>
      </c>
      <c r="GU122" s="138">
        <f t="shared" si="192"/>
        <v>0.25</v>
      </c>
      <c r="GV122" s="116">
        <f t="shared" si="193"/>
        <v>2175570</v>
      </c>
      <c r="GW122" s="2">
        <f t="shared" si="297"/>
        <v>2.3622047244094495E-2</v>
      </c>
      <c r="GX122" s="8">
        <f t="shared" si="298"/>
        <v>4.3003347832800003</v>
      </c>
      <c r="GY122" s="116">
        <f t="shared" si="194"/>
        <v>2610.6840000000002</v>
      </c>
      <c r="GZ122" s="217">
        <f t="shared" si="195"/>
        <v>1.3132321675959011</v>
      </c>
      <c r="HA122" s="207">
        <f t="shared" si="196"/>
        <v>2</v>
      </c>
      <c r="HB122" s="144">
        <f t="shared" si="197"/>
        <v>36284.262037079003</v>
      </c>
      <c r="HC122" s="138">
        <f t="shared" si="299"/>
        <v>0.25</v>
      </c>
      <c r="HD122" s="116">
        <f t="shared" si="198"/>
        <v>2175570</v>
      </c>
      <c r="HE122" s="2">
        <f t="shared" si="300"/>
        <v>2.3622047244094495E-2</v>
      </c>
      <c r="HF122" s="8">
        <f t="shared" si="199"/>
        <v>4.3003347832800003</v>
      </c>
      <c r="HG122" s="116">
        <f t="shared" si="200"/>
        <v>2610.6840000000002</v>
      </c>
      <c r="HH122" s="217">
        <f t="shared" si="201"/>
        <v>1.3132321675959011</v>
      </c>
      <c r="HI122" s="207">
        <f t="shared" si="202"/>
        <v>2</v>
      </c>
      <c r="HJ122" s="144">
        <f t="shared" si="203"/>
        <v>36284.262037079003</v>
      </c>
      <c r="HK122" s="138">
        <f t="shared" si="301"/>
        <v>0.25</v>
      </c>
      <c r="HL122" s="116">
        <f t="shared" si="204"/>
        <v>2175570</v>
      </c>
      <c r="HM122" s="2">
        <f t="shared" si="302"/>
        <v>2.3622047244094495E-2</v>
      </c>
      <c r="HN122" s="8">
        <f t="shared" si="205"/>
        <v>4.3003347832800003</v>
      </c>
      <c r="HO122" s="116">
        <f t="shared" si="206"/>
        <v>2610.6840000000002</v>
      </c>
      <c r="HP122" s="217">
        <f t="shared" si="207"/>
        <v>1.3132321675959011</v>
      </c>
      <c r="HQ122" s="207">
        <f t="shared" si="208"/>
        <v>2</v>
      </c>
      <c r="HR122" s="144">
        <f t="shared" si="209"/>
        <v>36284.262037079003</v>
      </c>
      <c r="HS122" s="128">
        <f t="shared" si="210"/>
        <v>0.25</v>
      </c>
      <c r="HT122" s="2">
        <f t="shared" si="211"/>
        <v>1.5748031496062995E-2</v>
      </c>
      <c r="HU122" s="127">
        <f t="shared" si="212"/>
        <v>1.5748031496062995E-2</v>
      </c>
      <c r="HV122" s="216">
        <f t="shared" si="213"/>
        <v>0</v>
      </c>
      <c r="HW122" s="138">
        <f t="shared" si="214"/>
        <v>0</v>
      </c>
      <c r="HX122" s="138">
        <f t="shared" si="215"/>
        <v>0.25</v>
      </c>
      <c r="HY122" s="238">
        <f t="shared" si="216"/>
        <v>0</v>
      </c>
      <c r="HZ122" s="138">
        <f t="shared" si="217"/>
        <v>0</v>
      </c>
      <c r="IA122" s="138">
        <f t="shared" si="218"/>
        <v>0</v>
      </c>
      <c r="IB122" s="138">
        <f t="shared" si="219"/>
        <v>0.25</v>
      </c>
      <c r="IC122" s="138">
        <f t="shared" si="220"/>
        <v>0</v>
      </c>
      <c r="ID122" s="216">
        <f t="shared" si="221"/>
        <v>0</v>
      </c>
      <c r="IE122" s="138">
        <f t="shared" si="222"/>
        <v>0</v>
      </c>
      <c r="IF122" s="138">
        <f t="shared" si="223"/>
        <v>1.5748031496062995E-2</v>
      </c>
      <c r="IG122" s="238">
        <f t="shared" si="224"/>
        <v>0</v>
      </c>
      <c r="IH122" s="138">
        <f t="shared" si="225"/>
        <v>0</v>
      </c>
      <c r="II122" s="138">
        <f t="shared" si="226"/>
        <v>0</v>
      </c>
      <c r="IJ122" s="138">
        <f t="shared" si="227"/>
        <v>1.5748031496062995E-2</v>
      </c>
      <c r="IK122" s="138">
        <f t="shared" si="228"/>
        <v>0</v>
      </c>
      <c r="IL122" s="216">
        <f t="shared" si="229"/>
        <v>0</v>
      </c>
      <c r="IM122" s="138">
        <f t="shared" si="230"/>
        <v>0</v>
      </c>
      <c r="IN122" s="138">
        <f t="shared" si="231"/>
        <v>1.5748031496062995E-2</v>
      </c>
      <c r="IO122" s="238">
        <f t="shared" si="232"/>
        <v>0</v>
      </c>
      <c r="IP122" s="138">
        <f t="shared" si="233"/>
        <v>0</v>
      </c>
      <c r="IQ122" s="138">
        <f t="shared" si="234"/>
        <v>0</v>
      </c>
      <c r="IR122" s="138">
        <f t="shared" si="235"/>
        <v>1.5748031496062995E-2</v>
      </c>
      <c r="IS122" s="138">
        <f t="shared" si="236"/>
        <v>0</v>
      </c>
      <c r="IT122" s="17">
        <f t="shared" si="237"/>
        <v>0.25</v>
      </c>
      <c r="IU122" s="17">
        <f t="shared" si="238"/>
        <v>1.5748031496062995E-2</v>
      </c>
      <c r="IV122" s="17">
        <f t="shared" si="239"/>
        <v>1.5748031496062995E-2</v>
      </c>
      <c r="IW122" s="253">
        <f t="shared" si="240"/>
        <v>23.890748796000008</v>
      </c>
      <c r="IX122" s="116">
        <f t="shared" si="303"/>
        <v>614.02887556268058</v>
      </c>
      <c r="IY122" s="8">
        <f t="shared" si="242"/>
        <v>1.5875896546836361E-2</v>
      </c>
      <c r="IZ122" s="8">
        <f t="shared" si="243"/>
        <v>1.5875896546836361E-2</v>
      </c>
      <c r="JA122" s="8">
        <f t="shared" si="244"/>
        <v>7.9379482734181807E-3</v>
      </c>
      <c r="JB122" s="134">
        <f t="shared" si="245"/>
        <v>8.9095164141597391E-2</v>
      </c>
      <c r="JC122" s="170">
        <f t="shared" si="311"/>
        <v>8.8060777215215446E-3</v>
      </c>
      <c r="JD122" s="272">
        <f t="shared" si="312"/>
        <v>9.3840703969660974E-2</v>
      </c>
      <c r="JE122" s="8"/>
      <c r="JF122" s="8"/>
    </row>
    <row r="123" spans="1:266" x14ac:dyDescent="0.25">
      <c r="A123" s="186">
        <v>63</v>
      </c>
      <c r="B123" s="187">
        <f>A123/100*'Inputs-Imperial'!$E$5</f>
        <v>15.171260327999999</v>
      </c>
      <c r="C123" s="188">
        <f>'Inputs-Imperial'!$E$10+('Inputs-Imperial'!$E$9-'Inputs-Imperial'!$E$10)*(100-A123)/100</f>
        <v>3.9639929090000003</v>
      </c>
      <c r="D123" s="187">
        <f t="shared" si="248"/>
        <v>0.24081365600000026</v>
      </c>
      <c r="E123" s="188">
        <f t="shared" si="249"/>
        <v>0.95672669256571363</v>
      </c>
      <c r="F123" s="423">
        <f>Loads!P83</f>
        <v>279.06777912029941</v>
      </c>
      <c r="G123" s="423">
        <f>Loads!M83</f>
        <v>2790.6777912029929</v>
      </c>
      <c r="H123" s="423">
        <f>Loads!N83</f>
        <v>11529.950772124032</v>
      </c>
      <c r="I123" s="423">
        <f>Loads!V83</f>
        <v>-5114.6532635484818</v>
      </c>
      <c r="J123" s="423">
        <f>Loads!Q83</f>
        <v>1152.9950772124032</v>
      </c>
      <c r="K123" s="2">
        <v>63</v>
      </c>
      <c r="L123" s="12">
        <f t="shared" si="41"/>
        <v>182.05512393599997</v>
      </c>
      <c r="M123" s="11">
        <f t="shared" si="42"/>
        <v>47.567914908000006</v>
      </c>
      <c r="N123" s="11">
        <f t="shared" si="43"/>
        <v>2.8897638720000032</v>
      </c>
      <c r="O123" s="152">
        <f t="shared" si="44"/>
        <v>137.76864372946275</v>
      </c>
      <c r="P123" s="151">
        <f t="shared" si="45"/>
        <v>279.06777912029941</v>
      </c>
      <c r="Q123" s="12">
        <f t="shared" si="46"/>
        <v>2790.6777912029929</v>
      </c>
      <c r="R123" s="12">
        <f t="shared" si="47"/>
        <v>138359.40926548839</v>
      </c>
      <c r="S123" s="12">
        <f t="shared" si="48"/>
        <v>-61375.839162581782</v>
      </c>
      <c r="T123" s="152">
        <f t="shared" si="49"/>
        <v>13835.940926548839</v>
      </c>
      <c r="U123" s="8">
        <f t="shared" si="261"/>
        <v>8.5622246834400002</v>
      </c>
      <c r="V123" s="8">
        <f t="shared" si="262"/>
        <v>8.5622246834400002</v>
      </c>
      <c r="W123" s="134">
        <f t="shared" si="263"/>
        <v>4.2811123417200001</v>
      </c>
      <c r="X123" s="311">
        <f t="shared" si="264"/>
        <v>11.891978727000001</v>
      </c>
      <c r="Y123" s="11">
        <f t="shared" si="265"/>
        <v>35.675936181000004</v>
      </c>
      <c r="Z123" s="11">
        <f t="shared" si="266"/>
        <v>23.783957454000003</v>
      </c>
      <c r="AA123" s="316">
        <f t="shared" si="50"/>
        <v>35.675936181000004</v>
      </c>
      <c r="AB123" s="170">
        <f t="shared" si="51"/>
        <v>6.4216685125800002</v>
      </c>
      <c r="AC123" s="11">
        <f t="shared" si="52"/>
        <v>35.675936181000004</v>
      </c>
      <c r="AD123" s="152">
        <f t="shared" si="53"/>
        <v>179.93396213435591</v>
      </c>
      <c r="AE123" s="151">
        <f t="shared" si="267"/>
        <v>7.8222972959830281</v>
      </c>
      <c r="AF123" s="12">
        <f t="shared" si="268"/>
        <v>170.55101336776187</v>
      </c>
      <c r="AG123" s="216">
        <f t="shared" si="269"/>
        <v>1.168627659791761E-2</v>
      </c>
      <c r="AH123" s="2">
        <f t="shared" si="55"/>
        <v>2</v>
      </c>
      <c r="AI123" s="2">
        <f t="shared" si="56"/>
        <v>3</v>
      </c>
      <c r="AJ123" s="127">
        <f t="shared" si="57"/>
        <v>2</v>
      </c>
      <c r="AK123" s="2">
        <f t="shared" si="58"/>
        <v>1.5748031496062995E-2</v>
      </c>
      <c r="AL123" s="8">
        <f t="shared" si="270"/>
        <v>0.12298384607050904</v>
      </c>
      <c r="AM123" s="138">
        <f t="shared" si="59"/>
        <v>0.25</v>
      </c>
      <c r="AN123" s="12">
        <f t="shared" si="271"/>
        <v>10194.034704433019</v>
      </c>
      <c r="AO123" s="138">
        <f t="shared" si="60"/>
        <v>0.25</v>
      </c>
      <c r="AP123" s="116">
        <f t="shared" si="61"/>
        <v>2175570</v>
      </c>
      <c r="AQ123" s="2">
        <f t="shared" si="62"/>
        <v>1.5748031496062995E-2</v>
      </c>
      <c r="AR123" s="8">
        <f t="shared" si="63"/>
        <v>23.783957454000003</v>
      </c>
      <c r="AS123" s="116">
        <f t="shared" si="64"/>
        <v>2610.6840000000002</v>
      </c>
      <c r="AT123" s="217">
        <f t="shared" si="65"/>
        <v>2.8621114984602299E-2</v>
      </c>
      <c r="AU123" s="207">
        <f t="shared" si="66"/>
        <v>4.8180179753219816</v>
      </c>
      <c r="AV123" s="144">
        <f t="shared" si="67"/>
        <v>2857.5445521188417</v>
      </c>
      <c r="AW123" s="138">
        <f t="shared" si="68"/>
        <v>1</v>
      </c>
      <c r="AX123" s="116">
        <f t="shared" si="69"/>
        <v>2175570</v>
      </c>
      <c r="AY123" s="2">
        <f t="shared" si="70"/>
        <v>1.5748031496062995E-2</v>
      </c>
      <c r="AZ123" s="8">
        <f t="shared" si="71"/>
        <v>23.783957454000003</v>
      </c>
      <c r="BA123" s="116">
        <f t="shared" si="72"/>
        <v>2610.6840000000002</v>
      </c>
      <c r="BB123" s="217">
        <f t="shared" si="73"/>
        <v>0.11448445993840919</v>
      </c>
      <c r="BC123" s="207">
        <f t="shared" si="74"/>
        <v>3.7515404817139295</v>
      </c>
      <c r="BD123" s="144">
        <f t="shared" si="75"/>
        <v>35600.345604301387</v>
      </c>
      <c r="BE123" s="138">
        <f t="shared" si="76"/>
        <v>1</v>
      </c>
      <c r="BF123" s="116">
        <f t="shared" si="77"/>
        <v>2175570</v>
      </c>
      <c r="BG123" s="2">
        <f t="shared" si="78"/>
        <v>1.5748031496062995E-2</v>
      </c>
      <c r="BH123" s="8">
        <f t="shared" si="79"/>
        <v>23.783957454000003</v>
      </c>
      <c r="BI123" s="116">
        <f t="shared" si="80"/>
        <v>2610.6840000000002</v>
      </c>
      <c r="BJ123" s="217">
        <f t="shared" si="81"/>
        <v>0.11448445993840919</v>
      </c>
      <c r="BK123" s="207">
        <f t="shared" si="82"/>
        <v>3.7515404817139295</v>
      </c>
      <c r="BL123" s="144">
        <f t="shared" si="83"/>
        <v>35600.345604301387</v>
      </c>
      <c r="BM123" s="216">
        <f t="shared" si="84"/>
        <v>1</v>
      </c>
      <c r="BN123" s="216">
        <f t="shared" si="85"/>
        <v>2.3622047244094495E-2</v>
      </c>
      <c r="BO123" s="238">
        <f t="shared" si="86"/>
        <v>1.5748031496062995E-2</v>
      </c>
      <c r="BP123" s="216">
        <f t="shared" si="87"/>
        <v>0</v>
      </c>
      <c r="BQ123" s="138">
        <f t="shared" si="88"/>
        <v>0</v>
      </c>
      <c r="BR123" s="138">
        <f t="shared" si="89"/>
        <v>1</v>
      </c>
      <c r="BS123" s="238">
        <f t="shared" si="90"/>
        <v>0</v>
      </c>
      <c r="BT123" s="138">
        <f t="shared" si="91"/>
        <v>0</v>
      </c>
      <c r="BU123" s="138">
        <f t="shared" si="92"/>
        <v>0</v>
      </c>
      <c r="BV123" s="138">
        <f t="shared" si="93"/>
        <v>1.5</v>
      </c>
      <c r="BW123" s="238">
        <f t="shared" si="94"/>
        <v>0</v>
      </c>
      <c r="BX123" s="216">
        <f t="shared" si="95"/>
        <v>0</v>
      </c>
      <c r="BY123" s="138">
        <f t="shared" si="96"/>
        <v>0</v>
      </c>
      <c r="BZ123" s="138">
        <f t="shared" si="97"/>
        <v>2.3622047244094495E-2</v>
      </c>
      <c r="CA123" s="238">
        <f t="shared" si="98"/>
        <v>0</v>
      </c>
      <c r="CB123" s="138">
        <f t="shared" si="99"/>
        <v>0</v>
      </c>
      <c r="CC123" s="138">
        <f t="shared" si="100"/>
        <v>0</v>
      </c>
      <c r="CD123" s="138">
        <f t="shared" si="101"/>
        <v>2.3622047244094495E-2</v>
      </c>
      <c r="CE123" s="238">
        <f t="shared" si="102"/>
        <v>0</v>
      </c>
      <c r="CF123" s="216">
        <f t="shared" si="103"/>
        <v>0</v>
      </c>
      <c r="CG123" s="138">
        <f t="shared" si="104"/>
        <v>0</v>
      </c>
      <c r="CH123" s="138">
        <f t="shared" si="105"/>
        <v>1.5748031496062995E-2</v>
      </c>
      <c r="CI123" s="238">
        <f t="shared" si="106"/>
        <v>0</v>
      </c>
      <c r="CJ123" s="138">
        <f t="shared" si="107"/>
        <v>0</v>
      </c>
      <c r="CK123" s="138">
        <f t="shared" si="108"/>
        <v>0</v>
      </c>
      <c r="CL123" s="138">
        <f t="shared" si="109"/>
        <v>1.5748031496062995E-2</v>
      </c>
      <c r="CM123" s="238">
        <f t="shared" si="110"/>
        <v>0</v>
      </c>
      <c r="CN123" s="17">
        <f t="shared" si="111"/>
        <v>1.5</v>
      </c>
      <c r="CO123" s="17">
        <f t="shared" si="112"/>
        <v>2.3622047244094495E-2</v>
      </c>
      <c r="CP123" s="17">
        <f t="shared" si="113"/>
        <v>1.5748031496062995E-2</v>
      </c>
      <c r="CQ123" s="17">
        <f>$U123-IF('Inputs-Imperial'!$E$13,0,2)*($CO123+$CN123+$CP123)</f>
        <v>8.5622246834400002</v>
      </c>
      <c r="CR123" s="116">
        <f t="shared" si="114"/>
        <v>16159.282707575532</v>
      </c>
      <c r="CS123" s="8">
        <f t="shared" si="10"/>
        <v>0.41780299061906701</v>
      </c>
      <c r="CT123" s="8">
        <f t="shared" si="115"/>
        <v>0.64637681782306133</v>
      </c>
      <c r="CU123" s="8">
        <f t="shared" si="272"/>
        <v>0.41780299061906701</v>
      </c>
      <c r="CV123" s="8">
        <f t="shared" si="116"/>
        <v>0.64637681782306133</v>
      </c>
      <c r="CW123" s="216">
        <f t="shared" si="117"/>
        <v>7.9158478656169393</v>
      </c>
      <c r="CX123" s="116">
        <f t="shared" si="118"/>
        <v>17478.785799618829</v>
      </c>
      <c r="CY123" s="8">
        <f t="shared" si="119"/>
        <v>0.45191912980440024</v>
      </c>
      <c r="CZ123" s="8">
        <f t="shared" si="120"/>
        <v>0.67224930628777912</v>
      </c>
      <c r="DA123" s="8">
        <f t="shared" si="121"/>
        <v>0.45191912980440024</v>
      </c>
      <c r="DB123" s="8">
        <f t="shared" si="122"/>
        <v>0.67224930628777912</v>
      </c>
      <c r="DC123" s="216">
        <f t="shared" si="123"/>
        <v>7.8899753771522212</v>
      </c>
      <c r="DD123" s="116">
        <f t="shared" si="124"/>
        <v>17536.101527787952</v>
      </c>
      <c r="DE123" s="8">
        <f t="shared" si="125"/>
        <v>0.45340104475520082</v>
      </c>
      <c r="DF123" s="8">
        <f t="shared" si="126"/>
        <v>0.67335061057015522</v>
      </c>
      <c r="DG123" s="8">
        <f t="shared" si="127"/>
        <v>0.45340104475520082</v>
      </c>
      <c r="DH123" s="8">
        <f t="shared" si="128"/>
        <v>0.67335061057015522</v>
      </c>
      <c r="DI123" s="216">
        <f t="shared" si="129"/>
        <v>7.8888740728698457</v>
      </c>
      <c r="DJ123" s="116">
        <f t="shared" si="130"/>
        <v>17538.549606376902</v>
      </c>
      <c r="DK123" s="8">
        <f t="shared" si="131"/>
        <v>0.45346434054463919</v>
      </c>
      <c r="DL123" s="8">
        <f t="shared" si="132"/>
        <v>0.67339760954776129</v>
      </c>
      <c r="DM123" s="8">
        <f t="shared" si="133"/>
        <v>0.45346434054463919</v>
      </c>
      <c r="DN123" s="8">
        <f t="shared" si="134"/>
        <v>0.67339760954776129</v>
      </c>
      <c r="DO123" s="216">
        <f t="shared" si="135"/>
        <v>7.8888270738922381</v>
      </c>
      <c r="DP123" s="116">
        <f t="shared" si="136"/>
        <v>17538.654095154827</v>
      </c>
      <c r="DQ123" s="170">
        <f t="shared" si="137"/>
        <v>0.45346704213261763</v>
      </c>
      <c r="DR123" s="8">
        <f t="shared" si="138"/>
        <v>0.67339961548297433</v>
      </c>
      <c r="DS123" s="8">
        <f t="shared" si="139"/>
        <v>0.45346704213261763</v>
      </c>
      <c r="DT123" s="134">
        <f t="shared" si="140"/>
        <v>0.67339961548297433</v>
      </c>
      <c r="DU123" s="170">
        <f t="shared" si="310"/>
        <v>0.53422373583376614</v>
      </c>
      <c r="DV123" s="170">
        <f t="shared" si="310"/>
        <v>0.73090610603125084</v>
      </c>
      <c r="DW123" s="170">
        <f t="shared" si="310"/>
        <v>0.53422373583376614</v>
      </c>
      <c r="DX123" s="272">
        <f t="shared" si="310"/>
        <v>0.73090610603125084</v>
      </c>
      <c r="DY123" s="272">
        <f t="shared" si="142"/>
        <v>7.1004124713774992</v>
      </c>
      <c r="DZ123" s="22">
        <f t="shared" si="273"/>
        <v>325.92905399929271</v>
      </c>
      <c r="EA123" s="216">
        <f t="shared" si="274"/>
        <v>2.1353514503711757E-2</v>
      </c>
      <c r="EB123" s="12">
        <f t="shared" si="143"/>
        <v>3</v>
      </c>
      <c r="EC123" s="7">
        <f>ROUND(MAX(DV123,DX123)/'Inputs-Imperial'!$E$21,0)</f>
        <v>6</v>
      </c>
      <c r="ED123" s="12">
        <f t="shared" si="144"/>
        <v>6</v>
      </c>
      <c r="EE123" s="2">
        <f t="shared" si="145"/>
        <v>3</v>
      </c>
      <c r="EF123" s="127">
        <f t="shared" si="146"/>
        <v>3</v>
      </c>
      <c r="EG123" s="2">
        <f t="shared" si="147"/>
        <v>2.3622047244094495E-2</v>
      </c>
      <c r="EH123" s="8">
        <f t="shared" si="275"/>
        <v>0.22471976585397807</v>
      </c>
      <c r="EI123" s="138">
        <f t="shared" si="148"/>
        <v>0.25</v>
      </c>
      <c r="EJ123" s="12">
        <f t="shared" si="276"/>
        <v>12417.89695737305</v>
      </c>
      <c r="EK123" s="138">
        <f t="shared" si="149"/>
        <v>0.25</v>
      </c>
      <c r="EL123" s="116">
        <f t="shared" si="150"/>
        <v>2175570</v>
      </c>
      <c r="EM123" s="2">
        <f t="shared" si="277"/>
        <v>2.3622047244094495E-2</v>
      </c>
      <c r="EN123" s="8">
        <f t="shared" si="151"/>
        <v>8.5622246834400002</v>
      </c>
      <c r="EO123" s="116">
        <f t="shared" si="152"/>
        <v>2610.6840000000002</v>
      </c>
      <c r="EP123" s="217">
        <f t="shared" si="153"/>
        <v>0.33126290491437849</v>
      </c>
      <c r="EQ123" s="207">
        <f t="shared" si="154"/>
        <v>2.4613192541236573</v>
      </c>
      <c r="ER123" s="144">
        <f t="shared" si="155"/>
        <v>11263.867725518347</v>
      </c>
      <c r="ES123" s="138">
        <f t="shared" si="278"/>
        <v>0.5</v>
      </c>
      <c r="ET123" s="116">
        <f t="shared" si="156"/>
        <v>2175570</v>
      </c>
      <c r="EU123" s="2">
        <f t="shared" si="279"/>
        <v>2.3622047244094495E-2</v>
      </c>
      <c r="EV123" s="8">
        <f t="shared" si="157"/>
        <v>8.5622246834400002</v>
      </c>
      <c r="EW123" s="116">
        <f t="shared" si="158"/>
        <v>2610.6840000000002</v>
      </c>
      <c r="EX123" s="217">
        <f t="shared" si="159"/>
        <v>0.66252580982875697</v>
      </c>
      <c r="EY123" s="207">
        <f t="shared" si="160"/>
        <v>2</v>
      </c>
      <c r="EZ123" s="144">
        <f t="shared" si="161"/>
        <v>36610.830412664371</v>
      </c>
      <c r="FA123" s="138">
        <f t="shared" si="280"/>
        <v>0.5</v>
      </c>
      <c r="FB123" s="116">
        <f t="shared" si="162"/>
        <v>2175570</v>
      </c>
      <c r="FC123" s="2">
        <f t="shared" si="281"/>
        <v>2.3622047244094495E-2</v>
      </c>
      <c r="FD123" s="8">
        <f t="shared" si="163"/>
        <v>8.5622246834400002</v>
      </c>
      <c r="FE123" s="116">
        <f t="shared" si="164"/>
        <v>2610.6840000000002</v>
      </c>
      <c r="FF123" s="217">
        <f t="shared" si="165"/>
        <v>0.66252580982875697</v>
      </c>
      <c r="FG123" s="207">
        <f t="shared" si="166"/>
        <v>2</v>
      </c>
      <c r="FH123" s="144">
        <f t="shared" si="167"/>
        <v>36610.830412664371</v>
      </c>
      <c r="FI123" s="128">
        <f t="shared" si="168"/>
        <v>0.5</v>
      </c>
      <c r="FJ123" s="2">
        <f t="shared" si="169"/>
        <v>2.3622047244094495E-2</v>
      </c>
      <c r="FK123" s="127">
        <f t="shared" si="170"/>
        <v>2.3622047244094495E-2</v>
      </c>
      <c r="FL123" s="216">
        <f t="shared" si="171"/>
        <v>0</v>
      </c>
      <c r="FM123" s="138">
        <f t="shared" si="172"/>
        <v>0</v>
      </c>
      <c r="FN123" s="138">
        <f t="shared" si="173"/>
        <v>0.5</v>
      </c>
      <c r="FO123" s="238">
        <f t="shared" si="174"/>
        <v>0</v>
      </c>
      <c r="FP123" s="216">
        <f t="shared" si="282"/>
        <v>0</v>
      </c>
      <c r="FQ123" s="138">
        <f t="shared" si="283"/>
        <v>0</v>
      </c>
      <c r="FR123" s="138">
        <f t="shared" si="284"/>
        <v>0.5</v>
      </c>
      <c r="FS123" s="238">
        <f t="shared" si="285"/>
        <v>0</v>
      </c>
      <c r="FT123" s="216">
        <f t="shared" si="175"/>
        <v>0</v>
      </c>
      <c r="FU123" s="138">
        <f t="shared" si="176"/>
        <v>0</v>
      </c>
      <c r="FV123" s="138">
        <f t="shared" si="177"/>
        <v>2.3622047244094495E-2</v>
      </c>
      <c r="FW123" s="238">
        <f t="shared" si="178"/>
        <v>0</v>
      </c>
      <c r="FX123" s="216">
        <f t="shared" si="286"/>
        <v>0</v>
      </c>
      <c r="FY123" s="138">
        <f t="shared" si="287"/>
        <v>0</v>
      </c>
      <c r="FZ123" s="138">
        <f t="shared" si="288"/>
        <v>3.1496062992125991E-2</v>
      </c>
      <c r="GA123" s="238">
        <f t="shared" si="289"/>
        <v>0</v>
      </c>
      <c r="GB123" s="216">
        <f t="shared" si="179"/>
        <v>0</v>
      </c>
      <c r="GC123" s="138">
        <f t="shared" si="180"/>
        <v>0</v>
      </c>
      <c r="GD123" s="138">
        <f t="shared" si="181"/>
        <v>2.3622047244094495E-2</v>
      </c>
      <c r="GE123" s="238">
        <f t="shared" si="182"/>
        <v>0</v>
      </c>
      <c r="GF123" s="216">
        <f t="shared" si="290"/>
        <v>0</v>
      </c>
      <c r="GG123" s="138">
        <f t="shared" si="291"/>
        <v>0</v>
      </c>
      <c r="GH123" s="138">
        <f t="shared" si="292"/>
        <v>3.1496062992125991E-2</v>
      </c>
      <c r="GI123" s="238">
        <f t="shared" si="293"/>
        <v>0</v>
      </c>
      <c r="GJ123" s="216">
        <f t="shared" si="183"/>
        <v>0.5</v>
      </c>
      <c r="GK123" s="216">
        <f t="shared" si="184"/>
        <v>3.1496062992125991E-2</v>
      </c>
      <c r="GL123" s="17">
        <f t="shared" si="185"/>
        <v>3.1496062992125991E-2</v>
      </c>
      <c r="GM123" s="216">
        <f t="shared" si="294"/>
        <v>1.1173792249828529E-2</v>
      </c>
      <c r="GN123" s="2">
        <f t="shared" si="187"/>
        <v>2</v>
      </c>
      <c r="GO123" s="2">
        <f t="shared" si="188"/>
        <v>2</v>
      </c>
      <c r="GP123" s="142">
        <f t="shared" si="189"/>
        <v>2</v>
      </c>
      <c r="GQ123" s="2">
        <f t="shared" si="190"/>
        <v>1.5748031496062995E-2</v>
      </c>
      <c r="GR123" s="8">
        <f t="shared" si="295"/>
        <v>0.11759057169001357</v>
      </c>
      <c r="GS123" s="138">
        <f t="shared" si="191"/>
        <v>0.25</v>
      </c>
      <c r="GT123" s="12">
        <f t="shared" si="296"/>
        <v>9746.9904139675891</v>
      </c>
      <c r="GU123" s="138">
        <f t="shared" si="192"/>
        <v>0.25</v>
      </c>
      <c r="GV123" s="116">
        <f t="shared" si="193"/>
        <v>2175570</v>
      </c>
      <c r="GW123" s="2">
        <f t="shared" si="297"/>
        <v>2.3622047244094495E-2</v>
      </c>
      <c r="GX123" s="8">
        <f t="shared" si="298"/>
        <v>4.2811123417200001</v>
      </c>
      <c r="GY123" s="116">
        <f t="shared" si="194"/>
        <v>2610.6840000000002</v>
      </c>
      <c r="GZ123" s="217">
        <f t="shared" si="195"/>
        <v>1.3250516196575139</v>
      </c>
      <c r="HA123" s="207">
        <f t="shared" si="196"/>
        <v>2</v>
      </c>
      <c r="HB123" s="144">
        <f t="shared" si="197"/>
        <v>36610.830412664371</v>
      </c>
      <c r="HC123" s="138">
        <f t="shared" si="299"/>
        <v>0.25</v>
      </c>
      <c r="HD123" s="116">
        <f t="shared" si="198"/>
        <v>2175570</v>
      </c>
      <c r="HE123" s="2">
        <f t="shared" si="300"/>
        <v>2.3622047244094495E-2</v>
      </c>
      <c r="HF123" s="8">
        <f t="shared" si="199"/>
        <v>4.2811123417200001</v>
      </c>
      <c r="HG123" s="116">
        <f t="shared" si="200"/>
        <v>2610.6840000000002</v>
      </c>
      <c r="HH123" s="217">
        <f t="shared" si="201"/>
        <v>1.3250516196575139</v>
      </c>
      <c r="HI123" s="207">
        <f t="shared" si="202"/>
        <v>2</v>
      </c>
      <c r="HJ123" s="144">
        <f t="shared" si="203"/>
        <v>36610.830412664371</v>
      </c>
      <c r="HK123" s="138">
        <f t="shared" si="301"/>
        <v>0.25</v>
      </c>
      <c r="HL123" s="116">
        <f t="shared" si="204"/>
        <v>2175570</v>
      </c>
      <c r="HM123" s="2">
        <f t="shared" si="302"/>
        <v>2.3622047244094495E-2</v>
      </c>
      <c r="HN123" s="8">
        <f t="shared" si="205"/>
        <v>4.2811123417200001</v>
      </c>
      <c r="HO123" s="116">
        <f t="shared" si="206"/>
        <v>2610.6840000000002</v>
      </c>
      <c r="HP123" s="217">
        <f t="shared" si="207"/>
        <v>1.3250516196575139</v>
      </c>
      <c r="HQ123" s="207">
        <f t="shared" si="208"/>
        <v>2</v>
      </c>
      <c r="HR123" s="144">
        <f t="shared" si="209"/>
        <v>36610.830412664371</v>
      </c>
      <c r="HS123" s="128">
        <f t="shared" si="210"/>
        <v>0.25</v>
      </c>
      <c r="HT123" s="2">
        <f t="shared" si="211"/>
        <v>1.5748031496062995E-2</v>
      </c>
      <c r="HU123" s="127">
        <f t="shared" si="212"/>
        <v>1.5748031496062995E-2</v>
      </c>
      <c r="HV123" s="216">
        <f t="shared" si="213"/>
        <v>0</v>
      </c>
      <c r="HW123" s="138">
        <f t="shared" si="214"/>
        <v>0</v>
      </c>
      <c r="HX123" s="138">
        <f t="shared" si="215"/>
        <v>0.25</v>
      </c>
      <c r="HY123" s="238">
        <f t="shared" si="216"/>
        <v>0</v>
      </c>
      <c r="HZ123" s="138">
        <f t="shared" si="217"/>
        <v>0</v>
      </c>
      <c r="IA123" s="138">
        <f t="shared" si="218"/>
        <v>0</v>
      </c>
      <c r="IB123" s="138">
        <f t="shared" si="219"/>
        <v>0.25</v>
      </c>
      <c r="IC123" s="138">
        <f t="shared" si="220"/>
        <v>0</v>
      </c>
      <c r="ID123" s="216">
        <f t="shared" si="221"/>
        <v>0</v>
      </c>
      <c r="IE123" s="138">
        <f t="shared" si="222"/>
        <v>0</v>
      </c>
      <c r="IF123" s="138">
        <f t="shared" si="223"/>
        <v>1.5748031496062995E-2</v>
      </c>
      <c r="IG123" s="238">
        <f t="shared" si="224"/>
        <v>0</v>
      </c>
      <c r="IH123" s="138">
        <f t="shared" si="225"/>
        <v>0</v>
      </c>
      <c r="II123" s="138">
        <f t="shared" si="226"/>
        <v>0</v>
      </c>
      <c r="IJ123" s="138">
        <f t="shared" si="227"/>
        <v>1.5748031496062995E-2</v>
      </c>
      <c r="IK123" s="138">
        <f t="shared" si="228"/>
        <v>0</v>
      </c>
      <c r="IL123" s="216">
        <f t="shared" si="229"/>
        <v>0</v>
      </c>
      <c r="IM123" s="138">
        <f t="shared" si="230"/>
        <v>0</v>
      </c>
      <c r="IN123" s="138">
        <f t="shared" si="231"/>
        <v>1.5748031496062995E-2</v>
      </c>
      <c r="IO123" s="238">
        <f t="shared" si="232"/>
        <v>0</v>
      </c>
      <c r="IP123" s="138">
        <f t="shared" si="233"/>
        <v>0</v>
      </c>
      <c r="IQ123" s="138">
        <f t="shared" si="234"/>
        <v>0</v>
      </c>
      <c r="IR123" s="138">
        <f t="shared" si="235"/>
        <v>1.5748031496062995E-2</v>
      </c>
      <c r="IS123" s="138">
        <f t="shared" si="236"/>
        <v>0</v>
      </c>
      <c r="IT123" s="17">
        <f t="shared" si="237"/>
        <v>0.25</v>
      </c>
      <c r="IU123" s="17">
        <f t="shared" si="238"/>
        <v>1.5748031496062995E-2</v>
      </c>
      <c r="IV123" s="17">
        <f t="shared" si="239"/>
        <v>1.5748031496062995E-2</v>
      </c>
      <c r="IW123" s="253">
        <f t="shared" si="240"/>
        <v>23.783957454000003</v>
      </c>
      <c r="IX123" s="116">
        <f t="shared" si="303"/>
        <v>581.73417747271913</v>
      </c>
      <c r="IY123" s="8">
        <f t="shared" si="242"/>
        <v>1.5040907662286411E-2</v>
      </c>
      <c r="IZ123" s="8">
        <f t="shared" si="243"/>
        <v>1.5040907662286411E-2</v>
      </c>
      <c r="JA123" s="8">
        <f t="shared" si="244"/>
        <v>7.5204538311432053E-3</v>
      </c>
      <c r="JB123" s="134">
        <f t="shared" si="245"/>
        <v>8.6720550223941761E-2</v>
      </c>
      <c r="JC123" s="170">
        <f t="shared" si="311"/>
        <v>8.8060777215215446E-3</v>
      </c>
      <c r="JD123" s="272">
        <f t="shared" si="312"/>
        <v>9.3840703969660974E-2</v>
      </c>
      <c r="JE123" s="8"/>
      <c r="JF123" s="8"/>
    </row>
    <row r="124" spans="1:266" x14ac:dyDescent="0.25">
      <c r="A124" s="186">
        <v>64</v>
      </c>
      <c r="B124" s="187">
        <f>A124/100*'Inputs-Imperial'!$E$5</f>
        <v>15.412073983999999</v>
      </c>
      <c r="C124" s="188">
        <f>'Inputs-Imperial'!$E$10+('Inputs-Imperial'!$E$9-'Inputs-Imperial'!$E$10)*(100-A124)/100</f>
        <v>3.946194352</v>
      </c>
      <c r="D124" s="187">
        <f t="shared" si="248"/>
        <v>0.24081365600000026</v>
      </c>
      <c r="E124" s="188">
        <f t="shared" si="249"/>
        <v>0.95244055698301922</v>
      </c>
      <c r="F124" s="423">
        <f>Loads!P84</f>
        <v>269.71605919969051</v>
      </c>
      <c r="G124" s="423">
        <f>Loads!M84</f>
        <v>2697.1605919969038</v>
      </c>
      <c r="H124" s="423">
        <f>Loads!N84</f>
        <v>10857.917450506433</v>
      </c>
      <c r="I124" s="423">
        <f>Loads!V84</f>
        <v>-4907.613230683909</v>
      </c>
      <c r="J124" s="423">
        <f>Loads!Q84</f>
        <v>1085.7917450506434</v>
      </c>
      <c r="K124" s="2">
        <v>64</v>
      </c>
      <c r="L124" s="12">
        <f t="shared" si="41"/>
        <v>184.94488780799998</v>
      </c>
      <c r="M124" s="11">
        <f t="shared" si="42"/>
        <v>47.354332224000004</v>
      </c>
      <c r="N124" s="11">
        <f t="shared" si="43"/>
        <v>2.8897638720000032</v>
      </c>
      <c r="O124" s="152">
        <f t="shared" si="44"/>
        <v>137.15144020555476</v>
      </c>
      <c r="P124" s="151">
        <f t="shared" si="45"/>
        <v>269.71605919969051</v>
      </c>
      <c r="Q124" s="12">
        <f t="shared" si="46"/>
        <v>2697.1605919969038</v>
      </c>
      <c r="R124" s="12">
        <f t="shared" si="47"/>
        <v>130295.0094060772</v>
      </c>
      <c r="S124" s="12">
        <f t="shared" si="48"/>
        <v>-58891.358768206905</v>
      </c>
      <c r="T124" s="152">
        <f t="shared" si="49"/>
        <v>13029.500940607721</v>
      </c>
      <c r="U124" s="8">
        <f t="shared" ref="U124:U160" si="313">M124*$E$17</f>
        <v>8.5237798003199998</v>
      </c>
      <c r="V124" s="8">
        <f t="shared" ref="V124:V160" si="314">M124*$E$17</f>
        <v>8.5237798003199998</v>
      </c>
      <c r="W124" s="134">
        <f t="shared" ref="W124:W160" si="315">M124*$E$19</f>
        <v>4.2618899001599999</v>
      </c>
      <c r="X124" s="311">
        <f t="shared" ref="X124:X160" si="316">M124*$E$18</f>
        <v>11.838583056000001</v>
      </c>
      <c r="Y124" s="11">
        <f t="shared" ref="Y124:Y160" si="317">M124*$E$20</f>
        <v>35.515749167999999</v>
      </c>
      <c r="Z124" s="11">
        <f t="shared" ref="Z124:Z155" si="318">Y124-X124</f>
        <v>23.677166111999998</v>
      </c>
      <c r="AA124" s="316">
        <f t="shared" si="50"/>
        <v>35.515749167999999</v>
      </c>
      <c r="AB124" s="170">
        <f t="shared" si="51"/>
        <v>6.3928348502399999</v>
      </c>
      <c r="AC124" s="11">
        <f t="shared" si="52"/>
        <v>35.515749167999999</v>
      </c>
      <c r="AD124" s="152">
        <f t="shared" si="53"/>
        <v>178.32176195941113</v>
      </c>
      <c r="AE124" s="151">
        <f t="shared" ref="AE124:AE160" si="319">ABS(P124)/AA124</f>
        <v>7.5942663612093257</v>
      </c>
      <c r="AF124" s="12">
        <f t="shared" ref="AF124:AF160" si="320">ABS(S124)/2/AD124</f>
        <v>165.12667360703713</v>
      </c>
      <c r="AG124" s="216">
        <f t="shared" ref="AG124:AG155" si="321">((AE124+AF124)/$E$46)</f>
        <v>1.1315956805479152E-2</v>
      </c>
      <c r="AH124" s="2">
        <f t="shared" si="55"/>
        <v>2</v>
      </c>
      <c r="AI124" s="2">
        <f t="shared" si="56"/>
        <v>3</v>
      </c>
      <c r="AJ124" s="127">
        <f t="shared" si="57"/>
        <v>2</v>
      </c>
      <c r="AK124" s="2">
        <f t="shared" si="58"/>
        <v>1.5748031496062995E-2</v>
      </c>
      <c r="AL124" s="8">
        <f t="shared" ref="AL124:AL160" si="322">$E$22*(AE124+AF124)/$E$34</f>
        <v>0.11908668071005284</v>
      </c>
      <c r="AM124" s="138">
        <f t="shared" si="59"/>
        <v>0.25</v>
      </c>
      <c r="AN124" s="12">
        <f t="shared" ref="AN124:AN160" si="323">$E$22*(AE124+AF124)/(2*AK124)</f>
        <v>9871.0017191852821</v>
      </c>
      <c r="AO124" s="138">
        <f t="shared" si="60"/>
        <v>0.25</v>
      </c>
      <c r="AP124" s="116">
        <f t="shared" si="61"/>
        <v>2175570</v>
      </c>
      <c r="AQ124" s="2">
        <f t="shared" si="62"/>
        <v>1.5748031496062995E-2</v>
      </c>
      <c r="AR124" s="8">
        <f t="shared" si="63"/>
        <v>23.677166111999998</v>
      </c>
      <c r="AS124" s="116">
        <f t="shared" si="64"/>
        <v>2610.6840000000002</v>
      </c>
      <c r="AT124" s="217">
        <f t="shared" si="65"/>
        <v>2.8879877381733574E-2</v>
      </c>
      <c r="AU124" s="207">
        <f t="shared" si="66"/>
        <v>4.8139889350406175</v>
      </c>
      <c r="AV124" s="144">
        <f t="shared" si="67"/>
        <v>2880.9682924456843</v>
      </c>
      <c r="AW124" s="138">
        <f t="shared" si="68"/>
        <v>1</v>
      </c>
      <c r="AX124" s="116">
        <f t="shared" si="69"/>
        <v>2175570</v>
      </c>
      <c r="AY124" s="2">
        <f t="shared" si="70"/>
        <v>1.5748031496062995E-2</v>
      </c>
      <c r="AZ124" s="8">
        <f t="shared" si="71"/>
        <v>23.677166111999998</v>
      </c>
      <c r="BA124" s="116">
        <f t="shared" si="72"/>
        <v>2610.6840000000002</v>
      </c>
      <c r="BB124" s="217">
        <f t="shared" si="73"/>
        <v>0.11551950952693429</v>
      </c>
      <c r="BC124" s="207">
        <f t="shared" si="74"/>
        <v>3.7415965747834004</v>
      </c>
      <c r="BD124" s="144">
        <f t="shared" si="75"/>
        <v>35826.990848647321</v>
      </c>
      <c r="BE124" s="138">
        <f t="shared" si="76"/>
        <v>1</v>
      </c>
      <c r="BF124" s="116">
        <f t="shared" si="77"/>
        <v>2175570</v>
      </c>
      <c r="BG124" s="2">
        <f t="shared" si="78"/>
        <v>1.5748031496062995E-2</v>
      </c>
      <c r="BH124" s="8">
        <f t="shared" si="79"/>
        <v>23.677166111999998</v>
      </c>
      <c r="BI124" s="116">
        <f t="shared" si="80"/>
        <v>2610.6840000000002</v>
      </c>
      <c r="BJ124" s="217">
        <f t="shared" si="81"/>
        <v>0.11551950952693429</v>
      </c>
      <c r="BK124" s="207">
        <f t="shared" si="82"/>
        <v>3.7415965747834004</v>
      </c>
      <c r="BL124" s="144">
        <f t="shared" si="83"/>
        <v>35826.990848647321</v>
      </c>
      <c r="BM124" s="216">
        <f t="shared" si="84"/>
        <v>1</v>
      </c>
      <c r="BN124" s="216">
        <f t="shared" si="85"/>
        <v>2.3622047244094495E-2</v>
      </c>
      <c r="BO124" s="238">
        <f t="shared" si="86"/>
        <v>1.5748031496062995E-2</v>
      </c>
      <c r="BP124" s="216">
        <f t="shared" si="87"/>
        <v>0</v>
      </c>
      <c r="BQ124" s="138">
        <f t="shared" si="88"/>
        <v>0</v>
      </c>
      <c r="BR124" s="138">
        <f t="shared" si="89"/>
        <v>1</v>
      </c>
      <c r="BS124" s="238">
        <f t="shared" si="90"/>
        <v>0</v>
      </c>
      <c r="BT124" s="138">
        <f t="shared" si="91"/>
        <v>0</v>
      </c>
      <c r="BU124" s="138">
        <f t="shared" si="92"/>
        <v>0</v>
      </c>
      <c r="BV124" s="138">
        <f t="shared" si="93"/>
        <v>1.5</v>
      </c>
      <c r="BW124" s="238">
        <f t="shared" si="94"/>
        <v>0</v>
      </c>
      <c r="BX124" s="216">
        <f t="shared" si="95"/>
        <v>0</v>
      </c>
      <c r="BY124" s="138">
        <f t="shared" si="96"/>
        <v>0</v>
      </c>
      <c r="BZ124" s="138">
        <f t="shared" si="97"/>
        <v>2.3622047244094495E-2</v>
      </c>
      <c r="CA124" s="238">
        <f t="shared" si="98"/>
        <v>0</v>
      </c>
      <c r="CB124" s="138">
        <f t="shared" si="99"/>
        <v>0</v>
      </c>
      <c r="CC124" s="138">
        <f t="shared" si="100"/>
        <v>0</v>
      </c>
      <c r="CD124" s="138">
        <f t="shared" si="101"/>
        <v>2.3622047244094495E-2</v>
      </c>
      <c r="CE124" s="238">
        <f t="shared" si="102"/>
        <v>0</v>
      </c>
      <c r="CF124" s="216">
        <f t="shared" si="103"/>
        <v>0</v>
      </c>
      <c r="CG124" s="138">
        <f t="shared" si="104"/>
        <v>0</v>
      </c>
      <c r="CH124" s="138">
        <f t="shared" si="105"/>
        <v>1.5748031496062995E-2</v>
      </c>
      <c r="CI124" s="238">
        <f t="shared" si="106"/>
        <v>0</v>
      </c>
      <c r="CJ124" s="138">
        <f t="shared" si="107"/>
        <v>0</v>
      </c>
      <c r="CK124" s="138">
        <f t="shared" si="108"/>
        <v>0</v>
      </c>
      <c r="CL124" s="138">
        <f t="shared" si="109"/>
        <v>1.5748031496062995E-2</v>
      </c>
      <c r="CM124" s="238">
        <f t="shared" si="110"/>
        <v>0</v>
      </c>
      <c r="CN124" s="17">
        <f t="shared" si="111"/>
        <v>1.5</v>
      </c>
      <c r="CO124" s="17">
        <f t="shared" si="112"/>
        <v>2.3622047244094495E-2</v>
      </c>
      <c r="CP124" s="17">
        <f t="shared" si="113"/>
        <v>1.5748031496062995E-2</v>
      </c>
      <c r="CQ124" s="17">
        <f>$U124-IF('Inputs-Imperial'!$E$13,0,2)*($CO124+$CN124+$CP124)</f>
        <v>8.5237798003199998</v>
      </c>
      <c r="CR124" s="116">
        <f t="shared" si="114"/>
        <v>15286.059994321493</v>
      </c>
      <c r="CS124" s="8">
        <f t="shared" ref="CS124:CS160" si="324">CR124/($E$23/$E$21)</f>
        <v>0.39522556143014653</v>
      </c>
      <c r="CT124" s="8">
        <f t="shared" si="115"/>
        <v>0.62866967592698997</v>
      </c>
      <c r="CU124" s="8">
        <f t="shared" ref="CU124:CU160" si="325">CR124/($E$24/$E$21)</f>
        <v>0.39522556143014653</v>
      </c>
      <c r="CV124" s="8">
        <f t="shared" si="116"/>
        <v>0.62866967592698997</v>
      </c>
      <c r="CW124" s="216">
        <f t="shared" si="117"/>
        <v>7.8951101243930104</v>
      </c>
      <c r="CX124" s="116">
        <f t="shared" si="118"/>
        <v>16503.254210921408</v>
      </c>
      <c r="CY124" s="8">
        <f t="shared" si="119"/>
        <v>0.42669647465460964</v>
      </c>
      <c r="CZ124" s="8">
        <f t="shared" si="120"/>
        <v>0.65322008133140674</v>
      </c>
      <c r="DA124" s="8">
        <f t="shared" si="121"/>
        <v>0.42669647465460964</v>
      </c>
      <c r="DB124" s="8">
        <f t="shared" si="122"/>
        <v>0.65322008133140674</v>
      </c>
      <c r="DC124" s="216">
        <f t="shared" si="123"/>
        <v>7.8705597189885923</v>
      </c>
      <c r="DD124" s="116">
        <f t="shared" si="124"/>
        <v>16554.732326307891</v>
      </c>
      <c r="DE124" s="8">
        <f t="shared" si="125"/>
        <v>0.42802745641593642</v>
      </c>
      <c r="DF124" s="8">
        <f t="shared" si="126"/>
        <v>0.65423807319349458</v>
      </c>
      <c r="DG124" s="8">
        <f t="shared" si="127"/>
        <v>0.42802745641593642</v>
      </c>
      <c r="DH124" s="8">
        <f t="shared" si="128"/>
        <v>0.65423807319349458</v>
      </c>
      <c r="DI124" s="216">
        <f t="shared" si="129"/>
        <v>7.8695417271265056</v>
      </c>
      <c r="DJ124" s="116">
        <f t="shared" si="130"/>
        <v>16556.873821120622</v>
      </c>
      <c r="DK124" s="8">
        <f t="shared" si="131"/>
        <v>0.42808282539198228</v>
      </c>
      <c r="DL124" s="8">
        <f t="shared" si="132"/>
        <v>0.65428038744255679</v>
      </c>
      <c r="DM124" s="8">
        <f t="shared" si="133"/>
        <v>0.42808282539198228</v>
      </c>
      <c r="DN124" s="8">
        <f t="shared" si="134"/>
        <v>0.65428038744255679</v>
      </c>
      <c r="DO124" s="216">
        <f t="shared" si="135"/>
        <v>7.8694994128774427</v>
      </c>
      <c r="DP124" s="116">
        <f t="shared" si="136"/>
        <v>16556.962847327475</v>
      </c>
      <c r="DQ124" s="170">
        <f t="shared" si="137"/>
        <v>0.42808512719065367</v>
      </c>
      <c r="DR124" s="8">
        <f t="shared" si="138"/>
        <v>0.65428214647096528</v>
      </c>
      <c r="DS124" s="8">
        <f t="shared" si="139"/>
        <v>0.42808512719065367</v>
      </c>
      <c r="DT124" s="134">
        <f t="shared" si="140"/>
        <v>0.65428214647096528</v>
      </c>
      <c r="DU124" s="170">
        <f t="shared" si="310"/>
        <v>0.53422373583376614</v>
      </c>
      <c r="DV124" s="170">
        <f t="shared" si="310"/>
        <v>0.73090610603125084</v>
      </c>
      <c r="DW124" s="170">
        <f t="shared" si="310"/>
        <v>0.53422373583376614</v>
      </c>
      <c r="DX124" s="272">
        <f t="shared" si="310"/>
        <v>0.73090610603125084</v>
      </c>
      <c r="DY124" s="272">
        <f t="shared" si="142"/>
        <v>7.0619675882574988</v>
      </c>
      <c r="DZ124" s="22">
        <f t="shared" ref="DZ124:DZ160" si="326">ABS(Q124)/CQ124</f>
        <v>316.42776505038842</v>
      </c>
      <c r="EA124" s="216">
        <f t="shared" ref="EA124:EA155" si="327">(DZ124/$E$46)</f>
        <v>2.0731029613565006E-2</v>
      </c>
      <c r="EB124" s="12">
        <f t="shared" si="143"/>
        <v>3</v>
      </c>
      <c r="EC124" s="7">
        <f>ROUND(MAX(DV124,DX124)/'Inputs-Imperial'!$E$21,0)</f>
        <v>6</v>
      </c>
      <c r="ED124" s="12">
        <f t="shared" si="144"/>
        <v>6</v>
      </c>
      <c r="EE124" s="2">
        <f t="shared" si="145"/>
        <v>3</v>
      </c>
      <c r="EF124" s="127">
        <f t="shared" si="146"/>
        <v>3</v>
      </c>
      <c r="EG124" s="2">
        <f t="shared" si="147"/>
        <v>2.3622047244094495E-2</v>
      </c>
      <c r="EH124" s="8">
        <f t="shared" ref="EH124:EH160" si="328">$E$22*DZ124/$E$34</f>
        <v>0.21816886957237991</v>
      </c>
      <c r="EI124" s="138">
        <f t="shared" si="148"/>
        <v>0.25</v>
      </c>
      <c r="EJ124" s="12">
        <f t="shared" ref="EJ124:EJ160" si="329">$E$22*DZ124/(2*EG124)</f>
        <v>12055.897848419794</v>
      </c>
      <c r="EK124" s="138">
        <f t="shared" si="149"/>
        <v>0.25</v>
      </c>
      <c r="EL124" s="116">
        <f t="shared" si="150"/>
        <v>2175570</v>
      </c>
      <c r="EM124" s="2">
        <f t="shared" ref="EM124:EM160" si="330">$EG124</f>
        <v>2.3622047244094495E-2</v>
      </c>
      <c r="EN124" s="8">
        <f t="shared" si="151"/>
        <v>8.5237798003199998</v>
      </c>
      <c r="EO124" s="116">
        <f t="shared" si="152"/>
        <v>2610.6840000000002</v>
      </c>
      <c r="EP124" s="217">
        <f t="shared" si="153"/>
        <v>0.33425784006636083</v>
      </c>
      <c r="EQ124" s="207">
        <f t="shared" si="154"/>
        <v>2.4473041289731081</v>
      </c>
      <c r="ER124" s="144">
        <f t="shared" si="155"/>
        <v>11300.985877367084</v>
      </c>
      <c r="ES124" s="138">
        <f t="shared" ref="ES124:ES155" si="331">IF(ER124&gt;$EJ124,EK124,ROUNDUP(EK124*$EJ124/ER124/$E$42,0)*$E$42)</f>
        <v>0.5</v>
      </c>
      <c r="ET124" s="116">
        <f t="shared" si="156"/>
        <v>2175570</v>
      </c>
      <c r="EU124" s="2">
        <f t="shared" ref="EU124:EU160" si="332">$EG124</f>
        <v>2.3622047244094495E-2</v>
      </c>
      <c r="EV124" s="8">
        <f t="shared" si="157"/>
        <v>8.5237798003199998</v>
      </c>
      <c r="EW124" s="116">
        <f t="shared" si="158"/>
        <v>2610.6840000000002</v>
      </c>
      <c r="EX124" s="217">
        <f t="shared" si="159"/>
        <v>0.66851568013272167</v>
      </c>
      <c r="EY124" s="207">
        <f t="shared" si="160"/>
        <v>2</v>
      </c>
      <c r="EZ124" s="144">
        <f t="shared" si="161"/>
        <v>36941.827518949161</v>
      </c>
      <c r="FA124" s="138">
        <f t="shared" ref="FA124:FA155" si="333">IF(EZ124&gt;$EJ124,ES124,ROUNDUP(ES124*$EJ124/EZ124/$E$42,0)*$E$42)</f>
        <v>0.5</v>
      </c>
      <c r="FB124" s="116">
        <f t="shared" si="162"/>
        <v>2175570</v>
      </c>
      <c r="FC124" s="2">
        <f t="shared" ref="FC124:FC160" si="334">$EG124</f>
        <v>2.3622047244094495E-2</v>
      </c>
      <c r="FD124" s="8">
        <f t="shared" si="163"/>
        <v>8.5237798003199998</v>
      </c>
      <c r="FE124" s="116">
        <f t="shared" si="164"/>
        <v>2610.6840000000002</v>
      </c>
      <c r="FF124" s="217">
        <f t="shared" si="165"/>
        <v>0.66851568013272167</v>
      </c>
      <c r="FG124" s="207">
        <f t="shared" si="166"/>
        <v>2</v>
      </c>
      <c r="FH124" s="144">
        <f t="shared" si="167"/>
        <v>36941.827518949161</v>
      </c>
      <c r="FI124" s="128">
        <f t="shared" si="168"/>
        <v>0.5</v>
      </c>
      <c r="FJ124" s="2">
        <f t="shared" si="169"/>
        <v>2.3622047244094495E-2</v>
      </c>
      <c r="FK124" s="127">
        <f t="shared" si="170"/>
        <v>2.3622047244094495E-2</v>
      </c>
      <c r="FL124" s="216">
        <f t="shared" si="171"/>
        <v>0</v>
      </c>
      <c r="FM124" s="138">
        <f t="shared" si="172"/>
        <v>0</v>
      </c>
      <c r="FN124" s="138">
        <f t="shared" si="173"/>
        <v>0.5</v>
      </c>
      <c r="FO124" s="238">
        <f t="shared" si="174"/>
        <v>0</v>
      </c>
      <c r="FP124" s="216">
        <f t="shared" ref="FP124:FP160" si="335">IF(FL124&gt;0,MAX(FL$60:FL$160),0)</f>
        <v>0</v>
      </c>
      <c r="FQ124" s="138">
        <f t="shared" ref="FQ124:FQ160" si="336">IF(FM124&gt;0,MAX(FM$60:FM$160),0)</f>
        <v>0</v>
      </c>
      <c r="FR124" s="138">
        <f t="shared" ref="FR124:FR160" si="337">IF(FN124&gt;0,MAX(FN$60:FN$160),0)</f>
        <v>0.5</v>
      </c>
      <c r="FS124" s="238">
        <f t="shared" ref="FS124:FS160" si="338">IF(FO124&gt;0,MAX(FO$60:FO$160),0)</f>
        <v>0</v>
      </c>
      <c r="FT124" s="216">
        <f t="shared" si="175"/>
        <v>0</v>
      </c>
      <c r="FU124" s="138">
        <f t="shared" si="176"/>
        <v>0</v>
      </c>
      <c r="FV124" s="138">
        <f t="shared" si="177"/>
        <v>2.3622047244094495E-2</v>
      </c>
      <c r="FW124" s="238">
        <f t="shared" si="178"/>
        <v>0</v>
      </c>
      <c r="FX124" s="216">
        <f t="shared" ref="FX124:FX160" si="339">IF(FT124&gt;0,MAX(FT$60:FT$160),0)</f>
        <v>0</v>
      </c>
      <c r="FY124" s="138">
        <f t="shared" ref="FY124:FY160" si="340">IF(FU124&gt;0,MAX(FU$60:FU$160),0)</f>
        <v>0</v>
      </c>
      <c r="FZ124" s="138">
        <f t="shared" ref="FZ124:FZ160" si="341">IF(FV124&gt;0,MAX(FV$60:FV$160),0)</f>
        <v>3.1496062992125991E-2</v>
      </c>
      <c r="GA124" s="238">
        <f t="shared" ref="GA124:GA160" si="342">IF(FW124&gt;0,MAX(FW$60:FW$160),0)</f>
        <v>0</v>
      </c>
      <c r="GB124" s="216">
        <f t="shared" si="179"/>
        <v>0</v>
      </c>
      <c r="GC124" s="138">
        <f t="shared" si="180"/>
        <v>0</v>
      </c>
      <c r="GD124" s="138">
        <f t="shared" si="181"/>
        <v>2.3622047244094495E-2</v>
      </c>
      <c r="GE124" s="238">
        <f t="shared" si="182"/>
        <v>0</v>
      </c>
      <c r="GF124" s="216">
        <f t="shared" ref="GF124:GF160" si="343">IF(GB124&gt;0,MAX(GB$60:GB$160),0)</f>
        <v>0</v>
      </c>
      <c r="GG124" s="138">
        <f t="shared" ref="GG124:GG160" si="344">IF(GC124&gt;0,MAX(GC$60:GC$160),0)</f>
        <v>0</v>
      </c>
      <c r="GH124" s="138">
        <f t="shared" ref="GH124:GH160" si="345">IF(GD124&gt;0,MAX(GD$60:GD$160),0)</f>
        <v>3.1496062992125991E-2</v>
      </c>
      <c r="GI124" s="238">
        <f t="shared" ref="GI124:GI160" si="346">IF(GE124&gt;0,MAX(GE$60:GE$160),0)</f>
        <v>0</v>
      </c>
      <c r="GJ124" s="216">
        <f t="shared" si="183"/>
        <v>0.5</v>
      </c>
      <c r="GK124" s="216">
        <f t="shared" si="184"/>
        <v>3.1496062992125991E-2</v>
      </c>
      <c r="GL124" s="17">
        <f t="shared" si="185"/>
        <v>3.1496062992125991E-2</v>
      </c>
      <c r="GM124" s="216">
        <f t="shared" ref="GM124:GM160" si="347">(AF124/$E$46)</f>
        <v>1.0818412094753592E-2</v>
      </c>
      <c r="GN124" s="2">
        <f t="shared" si="187"/>
        <v>2</v>
      </c>
      <c r="GO124" s="2">
        <f t="shared" si="188"/>
        <v>2</v>
      </c>
      <c r="GP124" s="142">
        <f t="shared" si="189"/>
        <v>2</v>
      </c>
      <c r="GQ124" s="2">
        <f t="shared" si="190"/>
        <v>1.5748031496062995E-2</v>
      </c>
      <c r="GR124" s="8">
        <f t="shared" ref="GR124:GR160" si="348">$E$22*AF124/$E$34</f>
        <v>0.11385062784031573</v>
      </c>
      <c r="GS124" s="138">
        <f t="shared" si="191"/>
        <v>0.25</v>
      </c>
      <c r="GT124" s="12">
        <f t="shared" ref="GT124:GT160" si="349">$E$22*AF124/(2*GQ124)</f>
        <v>9436.9893966421696</v>
      </c>
      <c r="GU124" s="138">
        <f t="shared" si="192"/>
        <v>0.25</v>
      </c>
      <c r="GV124" s="116">
        <f t="shared" si="193"/>
        <v>2175570</v>
      </c>
      <c r="GW124" s="2">
        <f t="shared" ref="GW124:GW160" si="350">$EG124</f>
        <v>2.3622047244094495E-2</v>
      </c>
      <c r="GX124" s="8">
        <f t="shared" ref="GX124:GX160" si="351">W124</f>
        <v>4.2618899001599999</v>
      </c>
      <c r="GY124" s="116">
        <f t="shared" si="194"/>
        <v>2610.6840000000002</v>
      </c>
      <c r="GZ124" s="217">
        <f t="shared" si="195"/>
        <v>1.3370313602654433</v>
      </c>
      <c r="HA124" s="207">
        <f t="shared" si="196"/>
        <v>2</v>
      </c>
      <c r="HB124" s="144">
        <f t="shared" si="197"/>
        <v>36941.827518949161</v>
      </c>
      <c r="HC124" s="138">
        <f t="shared" ref="HC124:HC155" si="352">IF(HB124&gt;$GT124,GU124,ROUNDUP(GU124*$GT124/HB124/$E$42,0)*$E$42)</f>
        <v>0.25</v>
      </c>
      <c r="HD124" s="116">
        <f t="shared" si="198"/>
        <v>2175570</v>
      </c>
      <c r="HE124" s="2">
        <f t="shared" ref="HE124:HE160" si="353">$EG124</f>
        <v>2.3622047244094495E-2</v>
      </c>
      <c r="HF124" s="8">
        <f t="shared" si="199"/>
        <v>4.2618899001599999</v>
      </c>
      <c r="HG124" s="116">
        <f t="shared" si="200"/>
        <v>2610.6840000000002</v>
      </c>
      <c r="HH124" s="217">
        <f t="shared" si="201"/>
        <v>1.3370313602654433</v>
      </c>
      <c r="HI124" s="207">
        <f t="shared" si="202"/>
        <v>2</v>
      </c>
      <c r="HJ124" s="144">
        <f t="shared" si="203"/>
        <v>36941.827518949161</v>
      </c>
      <c r="HK124" s="138">
        <f t="shared" ref="HK124:HK155" si="354">IF(HJ124&gt;$GT124,HC124,ROUNDUP(HC124*$GT124/HJ124/$E$42,0)*$E$42)</f>
        <v>0.25</v>
      </c>
      <c r="HL124" s="116">
        <f t="shared" si="204"/>
        <v>2175570</v>
      </c>
      <c r="HM124" s="2">
        <f t="shared" ref="HM124:HM160" si="355">$EG124</f>
        <v>2.3622047244094495E-2</v>
      </c>
      <c r="HN124" s="8">
        <f t="shared" si="205"/>
        <v>4.2618899001599999</v>
      </c>
      <c r="HO124" s="116">
        <f t="shared" si="206"/>
        <v>2610.6840000000002</v>
      </c>
      <c r="HP124" s="217">
        <f t="shared" si="207"/>
        <v>1.3370313602654433</v>
      </c>
      <c r="HQ124" s="207">
        <f t="shared" si="208"/>
        <v>2</v>
      </c>
      <c r="HR124" s="144">
        <f t="shared" si="209"/>
        <v>36941.827518949161</v>
      </c>
      <c r="HS124" s="128">
        <f t="shared" si="210"/>
        <v>0.25</v>
      </c>
      <c r="HT124" s="2">
        <f t="shared" si="211"/>
        <v>1.5748031496062995E-2</v>
      </c>
      <c r="HU124" s="127">
        <f t="shared" si="212"/>
        <v>1.5748031496062995E-2</v>
      </c>
      <c r="HV124" s="216">
        <f t="shared" si="213"/>
        <v>0</v>
      </c>
      <c r="HW124" s="138">
        <f t="shared" si="214"/>
        <v>0</v>
      </c>
      <c r="HX124" s="138">
        <f t="shared" si="215"/>
        <v>0.25</v>
      </c>
      <c r="HY124" s="238">
        <f t="shared" si="216"/>
        <v>0</v>
      </c>
      <c r="HZ124" s="138">
        <f t="shared" si="217"/>
        <v>0</v>
      </c>
      <c r="IA124" s="138">
        <f t="shared" si="218"/>
        <v>0</v>
      </c>
      <c r="IB124" s="138">
        <f t="shared" si="219"/>
        <v>0.25</v>
      </c>
      <c r="IC124" s="138">
        <f t="shared" si="220"/>
        <v>0</v>
      </c>
      <c r="ID124" s="216">
        <f t="shared" si="221"/>
        <v>0</v>
      </c>
      <c r="IE124" s="138">
        <f t="shared" si="222"/>
        <v>0</v>
      </c>
      <c r="IF124" s="138">
        <f t="shared" si="223"/>
        <v>1.5748031496062995E-2</v>
      </c>
      <c r="IG124" s="238">
        <f t="shared" si="224"/>
        <v>0</v>
      </c>
      <c r="IH124" s="138">
        <f t="shared" si="225"/>
        <v>0</v>
      </c>
      <c r="II124" s="138">
        <f t="shared" si="226"/>
        <v>0</v>
      </c>
      <c r="IJ124" s="138">
        <f t="shared" si="227"/>
        <v>1.5748031496062995E-2</v>
      </c>
      <c r="IK124" s="138">
        <f t="shared" si="228"/>
        <v>0</v>
      </c>
      <c r="IL124" s="216">
        <f t="shared" si="229"/>
        <v>0</v>
      </c>
      <c r="IM124" s="138">
        <f t="shared" si="230"/>
        <v>0</v>
      </c>
      <c r="IN124" s="138">
        <f t="shared" si="231"/>
        <v>1.5748031496062995E-2</v>
      </c>
      <c r="IO124" s="238">
        <f t="shared" si="232"/>
        <v>0</v>
      </c>
      <c r="IP124" s="138">
        <f t="shared" si="233"/>
        <v>0</v>
      </c>
      <c r="IQ124" s="138">
        <f t="shared" si="234"/>
        <v>0</v>
      </c>
      <c r="IR124" s="138">
        <f t="shared" si="235"/>
        <v>1.5748031496062995E-2</v>
      </c>
      <c r="IS124" s="138">
        <f t="shared" si="236"/>
        <v>0</v>
      </c>
      <c r="IT124" s="17">
        <f t="shared" si="237"/>
        <v>0.25</v>
      </c>
      <c r="IU124" s="17">
        <f t="shared" si="238"/>
        <v>1.5748031496062995E-2</v>
      </c>
      <c r="IV124" s="17">
        <f t="shared" si="239"/>
        <v>1.5748031496062995E-2</v>
      </c>
      <c r="IW124" s="253">
        <f t="shared" si="240"/>
        <v>23.677166111999998</v>
      </c>
      <c r="IX124" s="116">
        <f t="shared" ref="IX124:IX155" si="356">$T124/IW124</f>
        <v>550.29815979557384</v>
      </c>
      <c r="IY124" s="8">
        <f t="shared" ref="IY124:IY160" si="357">IX124/($E$23/$E$21)</f>
        <v>1.4228120211485278E-2</v>
      </c>
      <c r="IZ124" s="8">
        <f t="shared" si="243"/>
        <v>1.4228120211485278E-2</v>
      </c>
      <c r="JA124" s="8">
        <f t="shared" si="244"/>
        <v>7.1140601057426388E-3</v>
      </c>
      <c r="JB124" s="134">
        <f t="shared" si="245"/>
        <v>8.4344887845930763E-2</v>
      </c>
      <c r="JC124" s="170">
        <f t="shared" si="311"/>
        <v>8.8060777215215446E-3</v>
      </c>
      <c r="JD124" s="272">
        <f t="shared" si="312"/>
        <v>9.3840703969660974E-2</v>
      </c>
      <c r="JE124" s="8"/>
      <c r="JF124" s="8"/>
    </row>
    <row r="125" spans="1:266" x14ac:dyDescent="0.25">
      <c r="A125" s="186">
        <v>65</v>
      </c>
      <c r="B125" s="187">
        <f>A125/100*'Inputs-Imperial'!$E$5</f>
        <v>15.652887639999999</v>
      </c>
      <c r="C125" s="188">
        <f>'Inputs-Imperial'!$E$10+('Inputs-Imperial'!$E$9-'Inputs-Imperial'!$E$10)*(100-A125)/100</f>
        <v>3.9283957950000001</v>
      </c>
      <c r="D125" s="187">
        <f t="shared" si="248"/>
        <v>0.24081365600000026</v>
      </c>
      <c r="E125" s="188">
        <f t="shared" si="249"/>
        <v>0.9481544214003248</v>
      </c>
      <c r="F125" s="423">
        <f>Loads!P85</f>
        <v>260.43642858887421</v>
      </c>
      <c r="G125" s="423">
        <f>Loads!M85</f>
        <v>2604.3642858887411</v>
      </c>
      <c r="H125" s="423">
        <f>Loads!N85</f>
        <v>10208.404347528534</v>
      </c>
      <c r="I125" s="423">
        <f>Loads!V85</f>
        <v>-4703.7739975081004</v>
      </c>
      <c r="J125" s="423">
        <f>Loads!Q85</f>
        <v>1020.8404347528535</v>
      </c>
      <c r="K125" s="2">
        <v>65</v>
      </c>
      <c r="L125" s="12">
        <f t="shared" ref="L125:L160" si="358">B125*12</f>
        <v>187.83465167999998</v>
      </c>
      <c r="M125" s="11">
        <f t="shared" ref="M125:M160" si="359">C125*12</f>
        <v>47.140749540000002</v>
      </c>
      <c r="N125" s="11">
        <f t="shared" ref="N125:N160" si="360">D125*12</f>
        <v>2.8897638720000032</v>
      </c>
      <c r="O125" s="152">
        <f t="shared" ref="O125:O160" si="361">E125*12*12</f>
        <v>136.53423668164675</v>
      </c>
      <c r="P125" s="151">
        <f t="shared" ref="P125:P160" si="362">F125</f>
        <v>260.43642858887421</v>
      </c>
      <c r="Q125" s="12">
        <f t="shared" ref="Q125:Q160" si="363">G125</f>
        <v>2604.3642858887411</v>
      </c>
      <c r="R125" s="12">
        <f t="shared" ref="R125:R160" si="364">ABS(H125*12)</f>
        <v>122500.8521703424</v>
      </c>
      <c r="S125" s="12">
        <f t="shared" ref="S125:S160" si="365">I125*12</f>
        <v>-56445.287970097204</v>
      </c>
      <c r="T125" s="152">
        <f t="shared" ref="T125:T160" si="366">J125*12</f>
        <v>12250.085217034242</v>
      </c>
      <c r="U125" s="8">
        <f t="shared" si="313"/>
        <v>8.4853349171999994</v>
      </c>
      <c r="V125" s="8">
        <f t="shared" si="314"/>
        <v>8.4853349171999994</v>
      </c>
      <c r="W125" s="134">
        <f t="shared" si="315"/>
        <v>4.2426674585999997</v>
      </c>
      <c r="X125" s="311">
        <f t="shared" si="316"/>
        <v>11.785187385</v>
      </c>
      <c r="Y125" s="11">
        <f t="shared" si="317"/>
        <v>35.355562155000001</v>
      </c>
      <c r="Z125" s="11">
        <f t="shared" si="318"/>
        <v>23.570374770000001</v>
      </c>
      <c r="AA125" s="316">
        <f t="shared" ref="AA125:AA160" si="367">Y125</f>
        <v>35.355562155000001</v>
      </c>
      <c r="AB125" s="170">
        <f t="shared" ref="AB125:AB160" si="368">AVERAGE(W125,V125)</f>
        <v>6.3640011878999996</v>
      </c>
      <c r="AC125" s="11">
        <f t="shared" ref="AC125:AC160" si="369">AA125</f>
        <v>35.355562155000001</v>
      </c>
      <c r="AD125" s="152">
        <f t="shared" ref="AD125:AD160" si="370">PI()*AB125/2*AC125/2</f>
        <v>176.71681694436649</v>
      </c>
      <c r="AE125" s="151">
        <f t="shared" si="319"/>
        <v>7.3662081074290926</v>
      </c>
      <c r="AF125" s="12">
        <f t="shared" si="320"/>
        <v>159.70547949567006</v>
      </c>
      <c r="AG125" s="216">
        <f t="shared" si="321"/>
        <v>1.0945841313061092E-2</v>
      </c>
      <c r="AH125" s="2">
        <f t="shared" ref="AH125:AH160" si="371">ROUNDUP(AG125/$E$32,0)</f>
        <v>2</v>
      </c>
      <c r="AI125" s="2">
        <f t="shared" ref="AI125:AI160" si="372">IF(AH125&lt;$E$40,$E$40,MAX($E$40,ROUNDUP(AH125/2,0)))</f>
        <v>3</v>
      </c>
      <c r="AJ125" s="127">
        <f t="shared" ref="AJ125:AJ160" si="373">IF(AH125&lt;$E$41,$E$41,MAX($E$41,ROUNDUP(AH125/2,0)))</f>
        <v>2</v>
      </c>
      <c r="AK125" s="2">
        <f t="shared" ref="AK125:AK160" si="374">MIN(AI125*$E$32,AJ125*$E$32)</f>
        <v>1.5748031496062995E-2</v>
      </c>
      <c r="AL125" s="8">
        <f t="shared" si="322"/>
        <v>0.11519166535880193</v>
      </c>
      <c r="AM125" s="138">
        <f t="shared" ref="AM125:AM160" si="375">IF(ROUNDUP(AL125/$E$42,0)*$E$42&gt;$E$42,ROUNDUP(AL125/$E$42,0)*$E$42,$E$42)</f>
        <v>0.25</v>
      </c>
      <c r="AN125" s="12">
        <f t="shared" si="323"/>
        <v>9548.146946517114</v>
      </c>
      <c r="AO125" s="138">
        <f t="shared" ref="AO125:AO160" si="376">AM125</f>
        <v>0.25</v>
      </c>
      <c r="AP125" s="116">
        <f t="shared" ref="AP125:AP160" si="377">$E$29</f>
        <v>2175570</v>
      </c>
      <c r="AQ125" s="2">
        <f t="shared" ref="AQ125:AQ160" si="378">$AK125</f>
        <v>1.5748031496062995E-2</v>
      </c>
      <c r="AR125" s="8">
        <f t="shared" ref="AR125:AR160" si="379">MAX($X125,$Z125)</f>
        <v>23.570374770000001</v>
      </c>
      <c r="AS125" s="116">
        <f t="shared" ref="AS125:AS160" si="380">$E$34</f>
        <v>2610.6840000000002</v>
      </c>
      <c r="AT125" s="217">
        <f t="shared" ref="AT125:AT160" si="381">(PI()^2)*AO125*AP125*AQ125/(2*AS125*AR125^2)</f>
        <v>2.9142164899358478E-2</v>
      </c>
      <c r="AU125" s="207">
        <f t="shared" ref="AU125:AU160" si="382">IF((-50.995*AT125^3+45.565*AT125^2-18.064*AT125+5.2989)&gt;2,(-50.995*AT125^3+45.565*AT125^2-18.064*AT125+5.2989),2)</f>
        <v>4.8099106304378427</v>
      </c>
      <c r="AV125" s="144">
        <f t="shared" ref="AV125:AV160" si="383">(PI()^2)*AU125*(AO125^2)*AP125/(4*AR125^2)</f>
        <v>2904.6704346709303</v>
      </c>
      <c r="AW125" s="138">
        <f t="shared" ref="AW125:AW160" si="384">IF(AV125&gt;AN125,AO125,ROUNDUP(AO125*AN125/AV125/$E$42,0)*$E$42)</f>
        <v>1</v>
      </c>
      <c r="AX125" s="116">
        <f t="shared" ref="AX125:AX160" si="385">$E$29</f>
        <v>2175570</v>
      </c>
      <c r="AY125" s="2">
        <f t="shared" ref="AY125:AY160" si="386">$AK125</f>
        <v>1.5748031496062995E-2</v>
      </c>
      <c r="AZ125" s="8">
        <f t="shared" ref="AZ125:AZ160" si="387">MAX($X125,$Z125)</f>
        <v>23.570374770000001</v>
      </c>
      <c r="BA125" s="116">
        <f t="shared" ref="BA125:BA160" si="388">$E$34</f>
        <v>2610.6840000000002</v>
      </c>
      <c r="BB125" s="217">
        <f t="shared" ref="BB125:BB160" si="389">(PI()^2)*AW125*AX125*AY125/(2*BA125*AZ125^2)</f>
        <v>0.11656865959743391</v>
      </c>
      <c r="BC125" s="207">
        <f t="shared" ref="BC125:BC160" si="390">IF((-50.995*BB125^3+45.565*BB125^2-18.064*BB125+5.2989)&gt;2,(-50.995*BB125^3+45.565*BB125^2-18.064*BB125+5.2989),2)</f>
        <v>3.7315781906778427</v>
      </c>
      <c r="BD125" s="144">
        <f t="shared" ref="BD125:BD160" si="391">(PI()^2)*BC125*(AW125^2)*AX125/(4*AZ125^2)</f>
        <v>36055.571682463822</v>
      </c>
      <c r="BE125" s="138">
        <f t="shared" ref="BE125:BE160" si="392">IF(BD125&gt;AN125,AW125,ROUNDUP(AW125*AN125/BD125/$E$42,0)*$E$42)</f>
        <v>1</v>
      </c>
      <c r="BF125" s="116">
        <f t="shared" ref="BF125:BF160" si="393">$E$29</f>
        <v>2175570</v>
      </c>
      <c r="BG125" s="2">
        <f t="shared" ref="BG125:BG160" si="394">$AK125</f>
        <v>1.5748031496062995E-2</v>
      </c>
      <c r="BH125" s="8">
        <f t="shared" ref="BH125:BH160" si="395">MAX($X125,$Z125)</f>
        <v>23.570374770000001</v>
      </c>
      <c r="BI125" s="116">
        <f t="shared" ref="BI125:BI160" si="396">$E$34</f>
        <v>2610.6840000000002</v>
      </c>
      <c r="BJ125" s="217">
        <f t="shared" ref="BJ125:BJ160" si="397">(PI()^2)*BE125*BF125*BG125/(2*BI125*BH125^2)</f>
        <v>0.11656865959743391</v>
      </c>
      <c r="BK125" s="207">
        <f t="shared" ref="BK125:BK160" si="398">IF((-50.995*BJ125^3+45.565*BJ125^2-18.064*BJ125+5.2989)&gt;2,(-50.995*BJ125^3+45.565*BJ125^2-18.064*BJ125+5.2989),2)</f>
        <v>3.7315781906778427</v>
      </c>
      <c r="BL125" s="144">
        <f t="shared" ref="BL125:BL160" si="399">(PI()^2)*BK125*(BE125^2)*BF125/(4*BH125^2)</f>
        <v>36055.571682463822</v>
      </c>
      <c r="BM125" s="216">
        <f t="shared" ref="BM125:BM160" si="400">IF(BL125&gt;AN125,BE125,ROUNDUP(BE125*AN125/BL125/$E$42,0)*$E$42)</f>
        <v>1</v>
      </c>
      <c r="BN125" s="216">
        <f t="shared" ref="BN125:BN160" si="401">AI125*$E$32</f>
        <v>2.3622047244094495E-2</v>
      </c>
      <c r="BO125" s="238">
        <f t="shared" ref="BO125:BO160" si="402">AJ125*$E$32</f>
        <v>1.5748031496062995E-2</v>
      </c>
      <c r="BP125" s="216">
        <f t="shared" ref="BP125:BP160" si="403">IF($B125&lt;$E$13*$E$14,$BM125,0)</f>
        <v>0</v>
      </c>
      <c r="BQ125" s="138">
        <f t="shared" ref="BQ125:BQ160" si="404">IF($B125&lt;$E$13*$E$15,IF($B125&lt;$E$13*$E$14,0,$BM125),0)</f>
        <v>0</v>
      </c>
      <c r="BR125" s="138">
        <f t="shared" ref="BR125:BR160" si="405">IF($B125&lt;$E$13*$E$16,IF($B125&lt;$E$13*$E$15,0,$BM125),0)</f>
        <v>1</v>
      </c>
      <c r="BS125" s="238">
        <f t="shared" ref="BS125:BS160" si="406">IF($B125&lt;=$E$13*1,IF($B125&lt;$E$13*$E$16,0,$BM125),0)</f>
        <v>0</v>
      </c>
      <c r="BT125" s="138">
        <f t="shared" ref="BT125:BT160" si="407">IF(BP125&gt;0,MAX(BP$60:BP$160),0)</f>
        <v>0</v>
      </c>
      <c r="BU125" s="138">
        <f t="shared" ref="BU125:BU160" si="408">IF(BQ125&gt;0,MAX(BQ$60:BQ$160),0)</f>
        <v>0</v>
      </c>
      <c r="BV125" s="138">
        <f t="shared" ref="BV125:BV160" si="409">IF(BR125&gt;0,MAX(BR$60:BR$160),0)</f>
        <v>1.5</v>
      </c>
      <c r="BW125" s="238">
        <f t="shared" ref="BW125:BW159" si="410">IF(BS125&gt;0,MAX(BS$60:BS$160),0)</f>
        <v>0</v>
      </c>
      <c r="BX125" s="216">
        <f t="shared" ref="BX125:BX160" si="411">IF($B125&lt;$E$13*$E$14,$BN125,0)</f>
        <v>0</v>
      </c>
      <c r="BY125" s="138">
        <f t="shared" ref="BY125:BY160" si="412">IF($B125&lt;$E$13*$E$15,IF($B125&lt;$E$13*$E$14,0,$BN125),0)</f>
        <v>0</v>
      </c>
      <c r="BZ125" s="138">
        <f t="shared" ref="BZ125:BZ160" si="413">IF($B125&lt;$E$13*$E$16,IF($B125&lt;$E$13*$E$15,0,$BN125),0)</f>
        <v>2.3622047244094495E-2</v>
      </c>
      <c r="CA125" s="238">
        <f t="shared" ref="CA125:CA160" si="414">IF($B125&lt;=$E$13*1,IF($B125&lt;$E$13*$E$16,0,$BN125),0)</f>
        <v>0</v>
      </c>
      <c r="CB125" s="138">
        <f t="shared" ref="CB125:CB160" si="415">IF(BX125&gt;0,MAX(BX$60:BX$160),0)</f>
        <v>0</v>
      </c>
      <c r="CC125" s="138">
        <f t="shared" ref="CC125:CC160" si="416">IF(BY125&gt;0,MAX(BY$60:BY$160),0)</f>
        <v>0</v>
      </c>
      <c r="CD125" s="138">
        <f t="shared" ref="CD125:CD160" si="417">IF(BZ125&gt;0,MAX(BZ$60:BZ$160),0)</f>
        <v>2.3622047244094495E-2</v>
      </c>
      <c r="CE125" s="238">
        <f t="shared" ref="CE125:CE160" si="418">IF(CA125&gt;0,MAX(CA$60:CA$160),0)</f>
        <v>0</v>
      </c>
      <c r="CF125" s="216">
        <f t="shared" ref="CF125:CF160" si="419">IF($B125&lt;$E$13*$E$14,$BO125,0)</f>
        <v>0</v>
      </c>
      <c r="CG125" s="138">
        <f t="shared" ref="CG125:CG160" si="420">IF($B125&lt;$E$13*$E$15,IF($B125&lt;$E$13*$E$14,0,$BO125),0)</f>
        <v>0</v>
      </c>
      <c r="CH125" s="138">
        <f t="shared" ref="CH125:CH160" si="421">IF($B125&lt;$E$13*$E$16,IF($B125&lt;$E$13*$E$15,0,$BO125),0)</f>
        <v>1.5748031496062995E-2</v>
      </c>
      <c r="CI125" s="238">
        <f t="shared" ref="CI125:CI160" si="422">IF($B125&lt;=$E$13*1,IF($B125&lt;$E$13*$E$16,0,$BO125),0)</f>
        <v>0</v>
      </c>
      <c r="CJ125" s="138">
        <f t="shared" ref="CJ125:CJ160" si="423">IF(CF125&gt;0,MAX(CF$60:CF$160),0)</f>
        <v>0</v>
      </c>
      <c r="CK125" s="138">
        <f t="shared" ref="CK125:CK160" si="424">IF(CG125&gt;0,MAX(CG$60:CG$160),0)</f>
        <v>0</v>
      </c>
      <c r="CL125" s="138">
        <f t="shared" ref="CL125:CL160" si="425">IF(CH125&gt;0,MAX(CH$60:CH$160),0)</f>
        <v>1.5748031496062995E-2</v>
      </c>
      <c r="CM125" s="238">
        <f t="shared" ref="CM125:CM160" si="426">IF(CI125&gt;0,MAX(CI$60:CI$160),0)</f>
        <v>0</v>
      </c>
      <c r="CN125" s="17">
        <f t="shared" ref="CN125:CN160" si="427">MAX(BT125:BW125)</f>
        <v>1.5</v>
      </c>
      <c r="CO125" s="17">
        <f t="shared" ref="CO125:CO160" si="428">MAX(CB125:CE125)</f>
        <v>2.3622047244094495E-2</v>
      </c>
      <c r="CP125" s="17">
        <f t="shared" ref="CP125:CP160" si="429">MAX(CJ125:CM125)</f>
        <v>1.5748031496062995E-2</v>
      </c>
      <c r="CQ125" s="17">
        <f>$U125-IF('Inputs-Imperial'!$E$13,0,2)*($CO125+$CN125+$CP125)</f>
        <v>8.4853349171999994</v>
      </c>
      <c r="CR125" s="116">
        <f t="shared" ref="CR125:CR160" si="430">$R125/CQ125</f>
        <v>14436.77278100478</v>
      </c>
      <c r="CS125" s="8">
        <f t="shared" si="324"/>
        <v>0.37326699160749544</v>
      </c>
      <c r="CT125" s="8">
        <f t="shared" ref="CT125:CT160" si="431">SQRT(CS125)</f>
        <v>0.61095580168085439</v>
      </c>
      <c r="CU125" s="8">
        <f t="shared" si="325"/>
        <v>0.37326699160749544</v>
      </c>
      <c r="CV125" s="8">
        <f t="shared" ref="CV125:CV160" si="432">SQRT(CU125)</f>
        <v>0.61095580168085439</v>
      </c>
      <c r="CW125" s="216">
        <f t="shared" ref="CW125:CW160" si="433">$CQ125-CT125/2-CV125/2</f>
        <v>7.8743791155191447</v>
      </c>
      <c r="CX125" s="116">
        <f t="shared" ref="CX125:CX160" si="434">$R125/CW125</f>
        <v>15556.89031137868</v>
      </c>
      <c r="CY125" s="8">
        <f t="shared" ref="CY125:CY160" si="435">CX125/($E$23/$E$21)</f>
        <v>0.40222795865683508</v>
      </c>
      <c r="CZ125" s="8">
        <f t="shared" ref="CZ125:CZ160" si="436">SQRT(CY125)</f>
        <v>0.63421444216986667</v>
      </c>
      <c r="DA125" s="8">
        <f t="shared" ref="DA125:DA160" si="437">CX125/($E$24/$E$21)</f>
        <v>0.40222795865683508</v>
      </c>
      <c r="DB125" s="8">
        <f t="shared" ref="DB125:DB160" si="438">SQRT(DA125)</f>
        <v>0.63421444216986667</v>
      </c>
      <c r="DC125" s="216">
        <f t="shared" ref="DC125:DC160" si="439">$CQ125-CZ125/2-DB125/2</f>
        <v>7.8511204750301324</v>
      </c>
      <c r="DD125" s="116">
        <f t="shared" ref="DD125:DD160" si="440">$R125/DC125</f>
        <v>15602.976996716159</v>
      </c>
      <c r="DE125" s="8">
        <f t="shared" ref="DE125:DE160" si="441">DD125/($E$23/$E$21)</f>
        <v>0.4034195434140404</v>
      </c>
      <c r="DF125" s="8">
        <f t="shared" ref="DF125:DF160" si="442">SQRT(DE125)</f>
        <v>0.63515316531844535</v>
      </c>
      <c r="DG125" s="8">
        <f t="shared" ref="DG125:DG160" si="443">DD125/($E$24/$E$21)</f>
        <v>0.4034195434140404</v>
      </c>
      <c r="DH125" s="8">
        <f t="shared" ref="DH125:DH160" si="444">SQRT(DG125)</f>
        <v>0.63515316531844535</v>
      </c>
      <c r="DI125" s="216">
        <f t="shared" ref="DI125:DI160" si="445">$CQ125-DF125/2-DH125/2</f>
        <v>7.8501817518815535</v>
      </c>
      <c r="DJ125" s="116">
        <f t="shared" ref="DJ125:DJ160" si="446">$R125/DI125</f>
        <v>15604.842797554471</v>
      </c>
      <c r="DK125" s="8">
        <f t="shared" ref="DK125:DK160" si="447">DJ125/($E$23/$E$21)</f>
        <v>0.40346778424157298</v>
      </c>
      <c r="DL125" s="8">
        <f t="shared" ref="DL125:DL160" si="448">SQRT(DK125)</f>
        <v>0.6351911399268515</v>
      </c>
      <c r="DM125" s="8">
        <f t="shared" ref="DM125:DM160" si="449">DJ125/($E$24/$E$21)</f>
        <v>0.40346778424157298</v>
      </c>
      <c r="DN125" s="8">
        <f t="shared" ref="DN125:DN160" si="450">SQRT(DM125)</f>
        <v>0.6351911399268515</v>
      </c>
      <c r="DO125" s="216">
        <f t="shared" ref="DO125:DO160" si="451">$CQ125-DL125/2-DN125/2</f>
        <v>7.8501437772731473</v>
      </c>
      <c r="DP125" s="116">
        <f t="shared" ref="DP125:DP160" si="452">$R125/DO125</f>
        <v>15604.918285062891</v>
      </c>
      <c r="DQ125" s="170">
        <f t="shared" ref="DQ125:DQ160" si="453">DP125/($E$23/$E$21)</f>
        <v>0.40346973599322822</v>
      </c>
      <c r="DR125" s="8">
        <f t="shared" ref="DR125:DR160" si="454">SQRT(DQ125)</f>
        <v>0.6351926762748672</v>
      </c>
      <c r="DS125" s="8">
        <f t="shared" ref="DS125:DS160" si="455">DP125/($E$24/$E$21)</f>
        <v>0.40346973599322822</v>
      </c>
      <c r="DT125" s="134">
        <f t="shared" ref="DT125:DT160" si="456">SQRT(DS125)</f>
        <v>0.6351926762748672</v>
      </c>
      <c r="DU125" s="170">
        <f t="shared" si="310"/>
        <v>0.53422373583376614</v>
      </c>
      <c r="DV125" s="170">
        <f t="shared" si="310"/>
        <v>0.73090610603125084</v>
      </c>
      <c r="DW125" s="170">
        <f t="shared" si="310"/>
        <v>0.53422373583376614</v>
      </c>
      <c r="DX125" s="272">
        <f t="shared" si="310"/>
        <v>0.73090610603125084</v>
      </c>
      <c r="DY125" s="272">
        <f t="shared" ref="DY125:DY160" si="457">CQ125-DV125-DX125</f>
        <v>7.0235227051374984</v>
      </c>
      <c r="DZ125" s="22">
        <f t="shared" si="326"/>
        <v>306.92533780954545</v>
      </c>
      <c r="EA125" s="216">
        <f t="shared" si="327"/>
        <v>2.0108470147270092E-2</v>
      </c>
      <c r="EB125" s="12">
        <f t="shared" ref="EB125:EB160" si="458">ROUNDUP(EA125/$E$32,0)</f>
        <v>3</v>
      </c>
      <c r="EC125" s="7">
        <f>ROUND(MAX(DV125,DX125)/'Inputs-Imperial'!$E$21,0)</f>
        <v>6</v>
      </c>
      <c r="ED125" s="12">
        <f t="shared" ref="ED125:ED160" si="459">MAX(EB125:EC125)</f>
        <v>6</v>
      </c>
      <c r="EE125" s="2">
        <f t="shared" ref="EE125:EE160" si="460">IF(ED125&lt;$E$41,$E$41,MAX($E$41,ROUNDUP(ED125/2,0)))</f>
        <v>3</v>
      </c>
      <c r="EF125" s="127">
        <f t="shared" ref="EF125:EF160" si="461">IF(ED125&lt;$E$41,$E$41,MAX($E$41,ROUNDUP(ED125/2,0)))</f>
        <v>3</v>
      </c>
      <c r="EG125" s="2">
        <f t="shared" ref="EG125:EG160" si="462">MIN(EE125*$E$32,EF125*$E$32)</f>
        <v>2.3622047244094495E-2</v>
      </c>
      <c r="EH125" s="8">
        <f t="shared" si="328"/>
        <v>0.21161718846753641</v>
      </c>
      <c r="EI125" s="138">
        <f t="shared" ref="EI125:EI160" si="463">IF(ROUNDUP(EH125/$E$42,0)*$E$42&gt;$E$42,ROUNDUP(EH125/$E$42,0)*$E$42,$E$42)</f>
        <v>0.25</v>
      </c>
      <c r="EJ125" s="12">
        <f t="shared" si="329"/>
        <v>11693.855370543679</v>
      </c>
      <c r="EK125" s="138">
        <f t="shared" ref="EK125:EK160" si="464">EI125</f>
        <v>0.25</v>
      </c>
      <c r="EL125" s="116">
        <f t="shared" ref="EL125:EL160" si="465">$E$29</f>
        <v>2175570</v>
      </c>
      <c r="EM125" s="2">
        <f t="shared" si="330"/>
        <v>2.3622047244094495E-2</v>
      </c>
      <c r="EN125" s="8">
        <f t="shared" ref="EN125:EN160" si="466">$U125</f>
        <v>8.4853349171999994</v>
      </c>
      <c r="EO125" s="116">
        <f t="shared" ref="EO125:EO160" si="467">$E$34</f>
        <v>2610.6840000000002</v>
      </c>
      <c r="EP125" s="217">
        <f t="shared" ref="EP125:EP160" si="468">(PI()^2)*EK125*EL125*EM125/(2*EO125*EN125^2)</f>
        <v>0.33729357522405656</v>
      </c>
      <c r="EQ125" s="207">
        <f t="shared" ref="EQ125:EQ160" si="469">IF((-50.995*EP125^3+45.565*EP125^2-18.064*EP125+5.2989)&gt;2,(-50.995*EP125^3+45.565*EP125^2-18.064*EP125+5.2989),2)</f>
        <v>2.4329960385046849</v>
      </c>
      <c r="ER125" s="144">
        <f t="shared" ref="ER125:ER160" si="470">(PI()^2)*EQ125*(EK125^2)*EL125/(4*EN125^2)</f>
        <v>11336.950682455146</v>
      </c>
      <c r="ES125" s="138">
        <f t="shared" si="331"/>
        <v>0.5</v>
      </c>
      <c r="ET125" s="116">
        <f t="shared" ref="ET125:ET160" si="471">$E$29</f>
        <v>2175570</v>
      </c>
      <c r="EU125" s="2">
        <f t="shared" si="332"/>
        <v>2.3622047244094495E-2</v>
      </c>
      <c r="EV125" s="8">
        <f t="shared" ref="EV125:EV160" si="472">$U125</f>
        <v>8.4853349171999994</v>
      </c>
      <c r="EW125" s="116">
        <f t="shared" ref="EW125:EW160" si="473">$E$34</f>
        <v>2610.6840000000002</v>
      </c>
      <c r="EX125" s="217">
        <f t="shared" ref="EX125:EX160" si="474">(PI()^2)*ES125*ET125*EU125/(2*EW125*EV125^2)</f>
        <v>0.67458715044811313</v>
      </c>
      <c r="EY125" s="207">
        <f t="shared" ref="EY125:EY160" si="475">IF((-50.995*EX125^3+45.565*EX125^2-18.064*EX125+5.2989)&gt;2,(-50.995*EX125^3+45.565*EX125^2-18.064*EX125+5.2989),2)</f>
        <v>2</v>
      </c>
      <c r="EZ125" s="144">
        <f t="shared" ref="EZ125:EZ160" si="476">(PI()^2)*EY125*(ES125^2)*ET125/(4*EV125^2)</f>
        <v>37277.333799270193</v>
      </c>
      <c r="FA125" s="138">
        <f t="shared" si="333"/>
        <v>0.5</v>
      </c>
      <c r="FB125" s="116">
        <f t="shared" ref="FB125:FB160" si="477">$E$29</f>
        <v>2175570</v>
      </c>
      <c r="FC125" s="2">
        <f t="shared" si="334"/>
        <v>2.3622047244094495E-2</v>
      </c>
      <c r="FD125" s="8">
        <f t="shared" ref="FD125:FD160" si="478">$U125</f>
        <v>8.4853349171999994</v>
      </c>
      <c r="FE125" s="116">
        <f t="shared" ref="FE125:FE160" si="479">$E$34</f>
        <v>2610.6840000000002</v>
      </c>
      <c r="FF125" s="217">
        <f t="shared" ref="FF125:FF160" si="480">(PI()^2)*FA125*FB125*FC125/(2*FE125*FD125^2)</f>
        <v>0.67458715044811313</v>
      </c>
      <c r="FG125" s="207">
        <f t="shared" ref="FG125:FG160" si="481">IF((-50.995*FF125^3+45.565*FF125^2-18.064*FF125+5.2989)&gt;2,(-50.995*FF125^3+45.565*FF125^2-18.064*FF125+5.2989),2)</f>
        <v>2</v>
      </c>
      <c r="FH125" s="144">
        <f t="shared" ref="FH125:FH160" si="482">(PI()^2)*FG125*(FA125^2)*FB125/(4*FD125^2)</f>
        <v>37277.333799270193</v>
      </c>
      <c r="FI125" s="128">
        <f t="shared" ref="FI125:FI160" si="483">IF(FH125&gt;EJ125,FA125,ROUNDUP(FA125*(EJ125/FH125)/$E$42,0)*$E$42)</f>
        <v>0.5</v>
      </c>
      <c r="FJ125" s="2">
        <f t="shared" ref="FJ125:FJ160" si="484">EE125*$E$32</f>
        <v>2.3622047244094495E-2</v>
      </c>
      <c r="FK125" s="127">
        <f t="shared" ref="FK125:FK160" si="485">EF125*$E$32</f>
        <v>2.3622047244094495E-2</v>
      </c>
      <c r="FL125" s="216">
        <f t="shared" ref="FL125:FL160" si="486">IF($B125&lt;$E$13*$E$14,$FI125,0)</f>
        <v>0</v>
      </c>
      <c r="FM125" s="138">
        <f t="shared" ref="FM125:FM160" si="487">IF($B125&lt;$E$13*$E$15,IF($B125&lt;$E$13*$E$14,0,$FI125),0)</f>
        <v>0</v>
      </c>
      <c r="FN125" s="138">
        <f t="shared" ref="FN125:FN160" si="488">IF($B125&lt;$E$13*$E$16,IF($B125&lt;$E$13*$E$15,0,$FI125),0)</f>
        <v>0.5</v>
      </c>
      <c r="FO125" s="238">
        <f t="shared" ref="FO125:FO160" si="489">IF($B125&lt;=$E$13*1,IF($B125&lt;$E$13*$E$16,0,$FI125),0)</f>
        <v>0</v>
      </c>
      <c r="FP125" s="216">
        <f t="shared" si="335"/>
        <v>0</v>
      </c>
      <c r="FQ125" s="138">
        <f t="shared" si="336"/>
        <v>0</v>
      </c>
      <c r="FR125" s="138">
        <f t="shared" si="337"/>
        <v>0.5</v>
      </c>
      <c r="FS125" s="238">
        <f t="shared" si="338"/>
        <v>0</v>
      </c>
      <c r="FT125" s="216">
        <f t="shared" ref="FT125:FT160" si="490">IF($B125&lt;$E$13*$E$14,$FJ125,0)</f>
        <v>0</v>
      </c>
      <c r="FU125" s="138">
        <f t="shared" ref="FU125:FU160" si="491">IF($B125&lt;$E$13*$E$15,IF($B125&lt;$E$13*$E$14,0,$FJ125),0)</f>
        <v>0</v>
      </c>
      <c r="FV125" s="138">
        <f t="shared" ref="FV125:FV160" si="492">IF($B125&lt;$E$13*$E$16,IF($B125&lt;$E$13*$E$15,0,$FJ125),0)</f>
        <v>2.3622047244094495E-2</v>
      </c>
      <c r="FW125" s="238">
        <f t="shared" ref="FW125:FW160" si="493">IF($B125&lt;=$E$13*1,IF($B125&lt;$E$13*$E$16,0,$FJ125),0)</f>
        <v>0</v>
      </c>
      <c r="FX125" s="216">
        <f t="shared" si="339"/>
        <v>0</v>
      </c>
      <c r="FY125" s="138">
        <f t="shared" si="340"/>
        <v>0</v>
      </c>
      <c r="FZ125" s="138">
        <f t="shared" si="341"/>
        <v>3.1496062992125991E-2</v>
      </c>
      <c r="GA125" s="238">
        <f t="shared" si="342"/>
        <v>0</v>
      </c>
      <c r="GB125" s="216">
        <f t="shared" ref="GB125:GB160" si="494">IF($B125&lt;$E$13*$E$14,$FK125,0)</f>
        <v>0</v>
      </c>
      <c r="GC125" s="138">
        <f t="shared" ref="GC125:GC160" si="495">IF($B125&lt;$E$13*$E$15,IF($B125&lt;$E$13*$E$14,0,$FK125),0)</f>
        <v>0</v>
      </c>
      <c r="GD125" s="138">
        <f t="shared" ref="GD125:GD160" si="496">IF($B125&lt;$E$13*$E$16,IF($B125&lt;$E$13*$E$15,0,$FK125),0)</f>
        <v>2.3622047244094495E-2</v>
      </c>
      <c r="GE125" s="238">
        <f t="shared" ref="GE125:GE160" si="497">IF($B125&lt;=$E$13*1,IF($B125&lt;$E$13*$E$16,0,$FK125),0)</f>
        <v>0</v>
      </c>
      <c r="GF125" s="216">
        <f t="shared" si="343"/>
        <v>0</v>
      </c>
      <c r="GG125" s="138">
        <f t="shared" si="344"/>
        <v>0</v>
      </c>
      <c r="GH125" s="138">
        <f t="shared" si="345"/>
        <v>3.1496062992125991E-2</v>
      </c>
      <c r="GI125" s="238">
        <f t="shared" si="346"/>
        <v>0</v>
      </c>
      <c r="GJ125" s="216">
        <f t="shared" ref="GJ125:GJ160" si="498">MAX(FP125:FS125)</f>
        <v>0.5</v>
      </c>
      <c r="GK125" s="216">
        <f t="shared" ref="GK125:GK160" si="499">MAX(FX125:GA125)</f>
        <v>3.1496062992125991E-2</v>
      </c>
      <c r="GL125" s="17">
        <f t="shared" ref="GL125:GL160" si="500">MAX(GF125:GI125)</f>
        <v>3.1496062992125991E-2</v>
      </c>
      <c r="GM125" s="216">
        <f t="shared" si="347"/>
        <v>1.046323802952661E-2</v>
      </c>
      <c r="GN125" s="2">
        <f t="shared" ref="GN125:GN160" si="501">ROUNDUP(GM125/$E$32,0)</f>
        <v>2</v>
      </c>
      <c r="GO125" s="2">
        <f t="shared" ref="GO125:GO160" si="502">IF(GN125&lt;$E$41,$E$41,MAX($E$41,ROUNDUP(GN125/2,0)))</f>
        <v>2</v>
      </c>
      <c r="GP125" s="142">
        <f t="shared" ref="GP125:GP160" si="503">IF(GN125&lt;$E$41,$E$41,MAX($E$41,ROUNDUP(GN125/2,0)))</f>
        <v>2</v>
      </c>
      <c r="GQ125" s="2">
        <f t="shared" ref="GQ125:GQ160" si="504">MIN(GO125*$E$32,GP125*$E$32)</f>
        <v>1.5748031496062995E-2</v>
      </c>
      <c r="GR125" s="8">
        <f t="shared" si="348"/>
        <v>0.11011285283558106</v>
      </c>
      <c r="GS125" s="138">
        <f t="shared" ref="GS125:GS160" si="505">IF(ROUNDUP(GR125/$E$42,0)*$E$42&gt;$E$42,ROUNDUP(GR125/$E$42,0)*$E$42,$E$42)</f>
        <v>0.25</v>
      </c>
      <c r="GT125" s="12">
        <f t="shared" si="349"/>
        <v>9127.168153177543</v>
      </c>
      <c r="GU125" s="138">
        <f t="shared" ref="GU125:GU160" si="506">GS125</f>
        <v>0.25</v>
      </c>
      <c r="GV125" s="116">
        <f t="shared" ref="GV125:GV160" si="507">$E$29</f>
        <v>2175570</v>
      </c>
      <c r="GW125" s="2">
        <f t="shared" si="350"/>
        <v>2.3622047244094495E-2</v>
      </c>
      <c r="GX125" s="8">
        <f t="shared" si="351"/>
        <v>4.2426674585999997</v>
      </c>
      <c r="GY125" s="116">
        <f t="shared" ref="GY125:GY160" si="508">$E$34</f>
        <v>2610.6840000000002</v>
      </c>
      <c r="GZ125" s="217">
        <f t="shared" ref="GZ125:GZ160" si="509">(PI()^2)*GU125*GV125*GW125/(2*GY125*GX125^2)</f>
        <v>1.3491743008962263</v>
      </c>
      <c r="HA125" s="207">
        <f t="shared" ref="HA125:HA160" si="510">IF((-50.995*GZ125^3+45.565*GZ125^2-18.064*GZ125+5.2989)&gt;2,(-50.995*GZ125^3+45.565*GZ125^2-18.064*GZ125+5.2989),2)</f>
        <v>2</v>
      </c>
      <c r="HB125" s="144">
        <f t="shared" ref="HB125:HB160" si="511">(PI()^2)*HA125*(GU125^2)*GV125/(4*GX125^2)</f>
        <v>37277.333799270193</v>
      </c>
      <c r="HC125" s="138">
        <f t="shared" si="352"/>
        <v>0.25</v>
      </c>
      <c r="HD125" s="116">
        <f t="shared" ref="HD125:HD160" si="512">$E$29</f>
        <v>2175570</v>
      </c>
      <c r="HE125" s="2">
        <f t="shared" si="353"/>
        <v>2.3622047244094495E-2</v>
      </c>
      <c r="HF125" s="8">
        <f t="shared" ref="HF125:HF160" si="513">GX125</f>
        <v>4.2426674585999997</v>
      </c>
      <c r="HG125" s="116">
        <f t="shared" ref="HG125:HG160" si="514">$E$34</f>
        <v>2610.6840000000002</v>
      </c>
      <c r="HH125" s="217">
        <f t="shared" ref="HH125:HH160" si="515">(PI()^2)*HC125*HD125*HE125/(2*HG125*HF125^2)</f>
        <v>1.3491743008962263</v>
      </c>
      <c r="HI125" s="207">
        <f t="shared" ref="HI125:HI160" si="516">IF((-50.995*HH125^3+45.565*HH125^2-18.064*HH125+5.2989)&gt;2,(-50.995*HH125^3+45.565*HH125^2-18.064*HH125+5.2989),2)</f>
        <v>2</v>
      </c>
      <c r="HJ125" s="144">
        <f t="shared" ref="HJ125:HJ160" si="517">(PI()^2)*HI125*(HC125^2)*HD125/(4*HF125^2)</f>
        <v>37277.333799270193</v>
      </c>
      <c r="HK125" s="138">
        <f t="shared" si="354"/>
        <v>0.25</v>
      </c>
      <c r="HL125" s="116">
        <f t="shared" ref="HL125:HL160" si="518">$E$29</f>
        <v>2175570</v>
      </c>
      <c r="HM125" s="2">
        <f t="shared" si="355"/>
        <v>2.3622047244094495E-2</v>
      </c>
      <c r="HN125" s="8">
        <f t="shared" ref="HN125:HN160" si="519">GX125</f>
        <v>4.2426674585999997</v>
      </c>
      <c r="HO125" s="116">
        <f t="shared" ref="HO125:HO160" si="520">$E$34</f>
        <v>2610.6840000000002</v>
      </c>
      <c r="HP125" s="217">
        <f t="shared" ref="HP125:HP160" si="521">(PI()^2)*HK125*HL125*HM125/(2*HO125*HN125^2)</f>
        <v>1.3491743008962263</v>
      </c>
      <c r="HQ125" s="207">
        <f t="shared" ref="HQ125:HQ160" si="522">IF((-50.995*HP125^3+45.565*HP125^2-18.064*HP125+5.2989)&gt;2,(-50.995*HP125^3+45.565*HP125^2-18.064*HP125+5.2989),2)</f>
        <v>2</v>
      </c>
      <c r="HR125" s="144">
        <f t="shared" ref="HR125:HR160" si="523">(PI()^2)*HQ125*(HK125^2)*HL125/(4*HN125^2)</f>
        <v>37277.333799270193</v>
      </c>
      <c r="HS125" s="128">
        <f t="shared" ref="HS125:HS160" si="524">IF(HR125&gt;GT125,HK125,ROUNDUP(HK125*(GT125/HR125)/$E$42,0)*$E$42)</f>
        <v>0.25</v>
      </c>
      <c r="HT125" s="2">
        <f t="shared" ref="HT125:HT160" si="525">GO125*$E$32</f>
        <v>1.5748031496062995E-2</v>
      </c>
      <c r="HU125" s="127">
        <f t="shared" ref="HU125:HU160" si="526">GP125*$E$32</f>
        <v>1.5748031496062995E-2</v>
      </c>
      <c r="HV125" s="216">
        <f t="shared" ref="HV125:HV160" si="527">IF($B125&lt;$E$13*$E$14,$HS125,0)</f>
        <v>0</v>
      </c>
      <c r="HW125" s="138">
        <f t="shared" ref="HW125:HW160" si="528">IF($B125&lt;$E$13*$E$15,IF($B125&lt;$E$13*$E$14,0,$HS125),0)</f>
        <v>0</v>
      </c>
      <c r="HX125" s="138">
        <f t="shared" ref="HX125:HX160" si="529">IF($B125&lt;$E$13*$E$16,IF($B125&lt;$E$13*$E$15,0,$HS125),0)</f>
        <v>0.25</v>
      </c>
      <c r="HY125" s="238">
        <f t="shared" ref="HY125:HY160" si="530">IF($B125&lt;=$E$13*1,IF($B125&lt;$E$13*$E$16,0,$HS125),0)</f>
        <v>0</v>
      </c>
      <c r="HZ125" s="138">
        <f t="shared" ref="HZ125:HZ160" si="531">IF(HV125&gt;0,MAX(HV$60:HV$160),0)</f>
        <v>0</v>
      </c>
      <c r="IA125" s="138">
        <f t="shared" ref="IA125:IA160" si="532">IF(HW125&gt;0,MAX(HW$60:HW$160),0)</f>
        <v>0</v>
      </c>
      <c r="IB125" s="138">
        <f t="shared" ref="IB125:IB160" si="533">IF(HX125&gt;0,MAX(HX$60:HX$160),0)</f>
        <v>0.25</v>
      </c>
      <c r="IC125" s="138">
        <f t="shared" ref="IC125:IC160" si="534">IF(HY125&gt;0,MAX(HY$60:HY$160),0)</f>
        <v>0</v>
      </c>
      <c r="ID125" s="216">
        <f t="shared" ref="ID125:ID160" si="535">IF($B125&lt;$E$13*$E$14,$HT125,0)</f>
        <v>0</v>
      </c>
      <c r="IE125" s="138">
        <f t="shared" ref="IE125:IE160" si="536">IF($B125&lt;$E$13*$E$15,IF($B125&lt;$E$13*$E$14,0,$HT125),0)</f>
        <v>0</v>
      </c>
      <c r="IF125" s="138">
        <f t="shared" ref="IF125:IF160" si="537">IF($B125&lt;$E$13*$E$16,IF($B125&lt;$E$13*$E$15,0,$HT125),0)</f>
        <v>1.5748031496062995E-2</v>
      </c>
      <c r="IG125" s="238">
        <f t="shared" ref="IG125:IG160" si="538">IF($B125&lt;=$E$13*1,IF($B125&lt;$E$13*$E$16,0,$HT125),0)</f>
        <v>0</v>
      </c>
      <c r="IH125" s="138">
        <f t="shared" ref="IH125:IH160" si="539">IF(ID125&gt;0,MAX(ID$60:ID$160),0)</f>
        <v>0</v>
      </c>
      <c r="II125" s="138">
        <f t="shared" ref="II125:II160" si="540">IF(IE125&gt;0,MAX(IE$60:IE$160),0)</f>
        <v>0</v>
      </c>
      <c r="IJ125" s="138">
        <f t="shared" ref="IJ125:IJ160" si="541">IF(IF125&gt;0,MAX(IF$60:IF$160),0)</f>
        <v>1.5748031496062995E-2</v>
      </c>
      <c r="IK125" s="138">
        <f t="shared" ref="IK125:IK160" si="542">IF(IG125&gt;0,MAX(IG$60:IG$160),0)</f>
        <v>0</v>
      </c>
      <c r="IL125" s="216">
        <f t="shared" ref="IL125:IL160" si="543">IF($B125&lt;$E$13*$E$14,$HU125,0)</f>
        <v>0</v>
      </c>
      <c r="IM125" s="138">
        <f t="shared" ref="IM125:IM160" si="544">IF($B125&lt;$E$13*$E$15,IF($B125&lt;$E$13*$E$14,0,$HU125),0)</f>
        <v>0</v>
      </c>
      <c r="IN125" s="138">
        <f t="shared" ref="IN125:IN160" si="545">IF($B125&lt;$E$13*$E$16,IF($B125&lt;$E$13*$E$15,0,$HU125),0)</f>
        <v>1.5748031496062995E-2</v>
      </c>
      <c r="IO125" s="238">
        <f t="shared" ref="IO125:IO160" si="546">IF($B125&lt;=$E$13*1,IF($B125&lt;$E$13*$E$16,0,$HU125),0)</f>
        <v>0</v>
      </c>
      <c r="IP125" s="138">
        <f t="shared" ref="IP125:IP160" si="547">IF(IL125&gt;0,MAX(IL$60:IL$160),0)</f>
        <v>0</v>
      </c>
      <c r="IQ125" s="138">
        <f t="shared" ref="IQ125:IQ160" si="548">IF(IM125&gt;0,MAX(IM$60:IM$160),0)</f>
        <v>0</v>
      </c>
      <c r="IR125" s="138">
        <f t="shared" ref="IR125:IR160" si="549">IF(IN125&gt;0,MAX(IN$60:IN$160),0)</f>
        <v>1.5748031496062995E-2</v>
      </c>
      <c r="IS125" s="138">
        <f t="shared" ref="IS125:IS160" si="550">IF(IO125&gt;0,MAX(IO$60:IO$160),0)</f>
        <v>0</v>
      </c>
      <c r="IT125" s="17">
        <f t="shared" ref="IT125:IT160" si="551">MAX(HZ125:IC125)</f>
        <v>0.25</v>
      </c>
      <c r="IU125" s="17">
        <f t="shared" ref="IU125:IU160" si="552">MAX(IH125:IK125)</f>
        <v>1.5748031496062995E-2</v>
      </c>
      <c r="IV125" s="17">
        <f t="shared" ref="IV125:IV160" si="553">MAX(IP125:IS125)</f>
        <v>1.5748031496062995E-2</v>
      </c>
      <c r="IW125" s="253">
        <f t="shared" ref="IW125:IW160" si="554">Z125</f>
        <v>23.570374770000001</v>
      </c>
      <c r="IX125" s="116">
        <f t="shared" si="356"/>
        <v>519.72382011617208</v>
      </c>
      <c r="IY125" s="8">
        <f t="shared" si="357"/>
        <v>1.3437611697869835E-2</v>
      </c>
      <c r="IZ125" s="8">
        <f t="shared" ref="IZ125:IZ160" si="555">IX125/($E$24/$E$21)</f>
        <v>1.3437611697869835E-2</v>
      </c>
      <c r="JA125" s="8">
        <f t="shared" ref="JA125:JA160" si="556">MAX(IY125:IZ125)/2</f>
        <v>6.7188058489349176E-3</v>
      </c>
      <c r="JB125" s="134">
        <f t="shared" ref="JB125:JB160" si="557">SQRT(JA125)</f>
        <v>8.1968322228376231E-2</v>
      </c>
      <c r="JC125" s="170">
        <f t="shared" si="311"/>
        <v>8.8060777215215446E-3</v>
      </c>
      <c r="JD125" s="272">
        <f t="shared" si="312"/>
        <v>9.3840703969660974E-2</v>
      </c>
      <c r="JE125" s="8"/>
      <c r="JF125" s="8"/>
    </row>
    <row r="126" spans="1:266" x14ac:dyDescent="0.25">
      <c r="A126" s="186">
        <v>66</v>
      </c>
      <c r="B126" s="187">
        <f>A126/100*'Inputs-Imperial'!$E$5</f>
        <v>15.893701296</v>
      </c>
      <c r="C126" s="188">
        <f>'Inputs-Imperial'!$E$10+('Inputs-Imperial'!$E$9-'Inputs-Imperial'!$E$10)*(100-A126)/100</f>
        <v>3.9105972380000003</v>
      </c>
      <c r="D126" s="187">
        <f t="shared" ref="D126:D160" si="558">B126-B125</f>
        <v>0.24081365600000026</v>
      </c>
      <c r="E126" s="188">
        <f t="shared" ref="E126:E160" si="559">D126*AVERAGE(C125:C126)</f>
        <v>0.94386828581763038</v>
      </c>
      <c r="F126" s="423">
        <f>Loads!P86</f>
        <v>251.23027309151016</v>
      </c>
      <c r="G126" s="423">
        <f>Loads!M86</f>
        <v>2512.3027309151007</v>
      </c>
      <c r="H126" s="423">
        <f>Loads!N86</f>
        <v>9581.2378622878368</v>
      </c>
      <c r="I126" s="423">
        <f>Loads!V86</f>
        <v>-4503.1716527902945</v>
      </c>
      <c r="J126" s="423">
        <f>Loads!Q86</f>
        <v>958.12378622878373</v>
      </c>
      <c r="K126" s="2">
        <v>66</v>
      </c>
      <c r="L126" s="12">
        <f t="shared" si="358"/>
        <v>190.72441555199998</v>
      </c>
      <c r="M126" s="11">
        <f t="shared" si="359"/>
        <v>46.927166855999999</v>
      </c>
      <c r="N126" s="11">
        <f t="shared" si="360"/>
        <v>2.8897638720000032</v>
      </c>
      <c r="O126" s="152">
        <f t="shared" si="361"/>
        <v>135.91703315773879</v>
      </c>
      <c r="P126" s="151">
        <f t="shared" si="362"/>
        <v>251.23027309151016</v>
      </c>
      <c r="Q126" s="12">
        <f t="shared" si="363"/>
        <v>2512.3027309151007</v>
      </c>
      <c r="R126" s="12">
        <f t="shared" si="364"/>
        <v>114974.85434745403</v>
      </c>
      <c r="S126" s="12">
        <f t="shared" si="365"/>
        <v>-54038.059833483538</v>
      </c>
      <c r="T126" s="152">
        <f t="shared" si="366"/>
        <v>11497.485434745406</v>
      </c>
      <c r="U126" s="8">
        <f t="shared" si="313"/>
        <v>8.4468900340799991</v>
      </c>
      <c r="V126" s="8">
        <f t="shared" si="314"/>
        <v>8.4468900340799991</v>
      </c>
      <c r="W126" s="134">
        <f t="shared" si="315"/>
        <v>4.2234450170399995</v>
      </c>
      <c r="X126" s="311">
        <f t="shared" si="316"/>
        <v>11.731791714</v>
      </c>
      <c r="Y126" s="11">
        <f t="shared" si="317"/>
        <v>35.195375142000003</v>
      </c>
      <c r="Z126" s="11">
        <f t="shared" si="318"/>
        <v>23.463583428000003</v>
      </c>
      <c r="AA126" s="316">
        <f t="shared" si="367"/>
        <v>35.195375142000003</v>
      </c>
      <c r="AB126" s="170">
        <f t="shared" si="368"/>
        <v>6.3351675255599993</v>
      </c>
      <c r="AC126" s="11">
        <f t="shared" si="369"/>
        <v>35.195375142000003</v>
      </c>
      <c r="AD126" s="152">
        <f t="shared" si="370"/>
        <v>175.11912708922196</v>
      </c>
      <c r="AE126" s="151">
        <f t="shared" si="319"/>
        <v>7.1381615362214834</v>
      </c>
      <c r="AF126" s="12">
        <f t="shared" si="320"/>
        <v>154.28942780748196</v>
      </c>
      <c r="AG126" s="216">
        <f t="shared" si="321"/>
        <v>1.0576063496191036E-2</v>
      </c>
      <c r="AH126" s="2">
        <f t="shared" si="371"/>
        <v>2</v>
      </c>
      <c r="AI126" s="2">
        <f t="shared" si="372"/>
        <v>3</v>
      </c>
      <c r="AJ126" s="127">
        <f t="shared" si="373"/>
        <v>2</v>
      </c>
      <c r="AK126" s="2">
        <f t="shared" si="374"/>
        <v>1.5748031496062995E-2</v>
      </c>
      <c r="AL126" s="8">
        <f t="shared" si="322"/>
        <v>0.11130020363194709</v>
      </c>
      <c r="AM126" s="138">
        <f t="shared" si="375"/>
        <v>0.25</v>
      </c>
      <c r="AN126" s="12">
        <f t="shared" si="323"/>
        <v>9225.5867309926489</v>
      </c>
      <c r="AO126" s="138">
        <f t="shared" si="376"/>
        <v>0.25</v>
      </c>
      <c r="AP126" s="116">
        <f t="shared" si="377"/>
        <v>2175570</v>
      </c>
      <c r="AQ126" s="2">
        <f t="shared" si="378"/>
        <v>1.5748031496062995E-2</v>
      </c>
      <c r="AR126" s="8">
        <f t="shared" si="379"/>
        <v>23.463583428000003</v>
      </c>
      <c r="AS126" s="116">
        <f t="shared" si="380"/>
        <v>2610.6840000000002</v>
      </c>
      <c r="AT126" s="217">
        <f t="shared" si="381"/>
        <v>2.9408041859748602E-2</v>
      </c>
      <c r="AU126" s="207">
        <f t="shared" si="382"/>
        <v>4.8057822860976307</v>
      </c>
      <c r="AV126" s="144">
        <f t="shared" si="383"/>
        <v>2928.6552148816113</v>
      </c>
      <c r="AW126" s="138">
        <f t="shared" si="384"/>
        <v>1</v>
      </c>
      <c r="AX126" s="116">
        <f t="shared" si="385"/>
        <v>2175570</v>
      </c>
      <c r="AY126" s="2">
        <f t="shared" si="386"/>
        <v>1.5748031496062995E-2</v>
      </c>
      <c r="AZ126" s="8">
        <f t="shared" si="387"/>
        <v>23.463583428000003</v>
      </c>
      <c r="BA126" s="116">
        <f t="shared" si="388"/>
        <v>2610.6840000000002</v>
      </c>
      <c r="BB126" s="217">
        <f t="shared" si="389"/>
        <v>0.11763216743899441</v>
      </c>
      <c r="BC126" s="207">
        <f t="shared" si="390"/>
        <v>3.7214850103511048</v>
      </c>
      <c r="BD126" s="144">
        <f t="shared" si="391"/>
        <v>36286.1098030094</v>
      </c>
      <c r="BE126" s="138">
        <f t="shared" si="392"/>
        <v>1</v>
      </c>
      <c r="BF126" s="116">
        <f t="shared" si="393"/>
        <v>2175570</v>
      </c>
      <c r="BG126" s="2">
        <f t="shared" si="394"/>
        <v>1.5748031496062995E-2</v>
      </c>
      <c r="BH126" s="8">
        <f t="shared" si="395"/>
        <v>23.463583428000003</v>
      </c>
      <c r="BI126" s="116">
        <f t="shared" si="396"/>
        <v>2610.6840000000002</v>
      </c>
      <c r="BJ126" s="217">
        <f t="shared" si="397"/>
        <v>0.11763216743899441</v>
      </c>
      <c r="BK126" s="207">
        <f t="shared" si="398"/>
        <v>3.7214850103511048</v>
      </c>
      <c r="BL126" s="144">
        <f t="shared" si="399"/>
        <v>36286.1098030094</v>
      </c>
      <c r="BM126" s="216">
        <f t="shared" si="400"/>
        <v>1</v>
      </c>
      <c r="BN126" s="216">
        <f t="shared" si="401"/>
        <v>2.3622047244094495E-2</v>
      </c>
      <c r="BO126" s="238">
        <f t="shared" si="402"/>
        <v>1.5748031496062995E-2</v>
      </c>
      <c r="BP126" s="216">
        <f t="shared" si="403"/>
        <v>0</v>
      </c>
      <c r="BQ126" s="138">
        <f t="shared" si="404"/>
        <v>0</v>
      </c>
      <c r="BR126" s="138">
        <f t="shared" si="405"/>
        <v>1</v>
      </c>
      <c r="BS126" s="238">
        <f t="shared" si="406"/>
        <v>0</v>
      </c>
      <c r="BT126" s="138">
        <f t="shared" si="407"/>
        <v>0</v>
      </c>
      <c r="BU126" s="138">
        <f t="shared" si="408"/>
        <v>0</v>
      </c>
      <c r="BV126" s="138">
        <f t="shared" si="409"/>
        <v>1.5</v>
      </c>
      <c r="BW126" s="238">
        <f t="shared" si="410"/>
        <v>0</v>
      </c>
      <c r="BX126" s="216">
        <f t="shared" si="411"/>
        <v>0</v>
      </c>
      <c r="BY126" s="138">
        <f t="shared" si="412"/>
        <v>0</v>
      </c>
      <c r="BZ126" s="138">
        <f t="shared" si="413"/>
        <v>2.3622047244094495E-2</v>
      </c>
      <c r="CA126" s="238">
        <f t="shared" si="414"/>
        <v>0</v>
      </c>
      <c r="CB126" s="138">
        <f t="shared" si="415"/>
        <v>0</v>
      </c>
      <c r="CC126" s="138">
        <f t="shared" si="416"/>
        <v>0</v>
      </c>
      <c r="CD126" s="138">
        <f t="shared" si="417"/>
        <v>2.3622047244094495E-2</v>
      </c>
      <c r="CE126" s="238">
        <f t="shared" si="418"/>
        <v>0</v>
      </c>
      <c r="CF126" s="216">
        <f t="shared" si="419"/>
        <v>0</v>
      </c>
      <c r="CG126" s="138">
        <f t="shared" si="420"/>
        <v>0</v>
      </c>
      <c r="CH126" s="138">
        <f t="shared" si="421"/>
        <v>1.5748031496062995E-2</v>
      </c>
      <c r="CI126" s="238">
        <f t="shared" si="422"/>
        <v>0</v>
      </c>
      <c r="CJ126" s="138">
        <f t="shared" si="423"/>
        <v>0</v>
      </c>
      <c r="CK126" s="138">
        <f t="shared" si="424"/>
        <v>0</v>
      </c>
      <c r="CL126" s="138">
        <f t="shared" si="425"/>
        <v>1.5748031496062995E-2</v>
      </c>
      <c r="CM126" s="238">
        <f t="shared" si="426"/>
        <v>0</v>
      </c>
      <c r="CN126" s="17">
        <f t="shared" si="427"/>
        <v>1.5</v>
      </c>
      <c r="CO126" s="17">
        <f t="shared" si="428"/>
        <v>2.3622047244094495E-2</v>
      </c>
      <c r="CP126" s="17">
        <f t="shared" si="429"/>
        <v>1.5748031496062995E-2</v>
      </c>
      <c r="CQ126" s="17">
        <f>$U126-IF('Inputs-Imperial'!$E$13,0,2)*($CO126+$CN126+$CP126)</f>
        <v>8.4468900340799991</v>
      </c>
      <c r="CR126" s="116">
        <f t="shared" si="430"/>
        <v>13611.501260650261</v>
      </c>
      <c r="CS126" s="8">
        <f t="shared" si="324"/>
        <v>0.3519293545652758</v>
      </c>
      <c r="CT126" s="8">
        <f t="shared" si="431"/>
        <v>0.59323633955218535</v>
      </c>
      <c r="CU126" s="8">
        <f t="shared" si="325"/>
        <v>0.3519293545652758</v>
      </c>
      <c r="CV126" s="8">
        <f t="shared" si="432"/>
        <v>0.59323633955218535</v>
      </c>
      <c r="CW126" s="216">
        <f t="shared" si="433"/>
        <v>7.8536536945278144</v>
      </c>
      <c r="CX126" s="116">
        <f t="shared" si="434"/>
        <v>14639.664393091969</v>
      </c>
      <c r="CY126" s="8">
        <f t="shared" si="435"/>
        <v>0.37851281370464901</v>
      </c>
      <c r="CZ126" s="8">
        <f t="shared" si="436"/>
        <v>0.61523395038363171</v>
      </c>
      <c r="DA126" s="8">
        <f t="shared" si="437"/>
        <v>0.37851281370464901</v>
      </c>
      <c r="DB126" s="8">
        <f t="shared" si="438"/>
        <v>0.61523395038363171</v>
      </c>
      <c r="DC126" s="216">
        <f t="shared" si="439"/>
        <v>7.8316560836963669</v>
      </c>
      <c r="DD126" s="116">
        <f t="shared" si="440"/>
        <v>14680.784385668334</v>
      </c>
      <c r="DE126" s="8">
        <f t="shared" si="441"/>
        <v>0.3795759831647999</v>
      </c>
      <c r="DF126" s="8">
        <f t="shared" si="442"/>
        <v>0.61609738123514202</v>
      </c>
      <c r="DG126" s="8">
        <f t="shared" si="443"/>
        <v>0.3795759831647999</v>
      </c>
      <c r="DH126" s="8">
        <f t="shared" si="444"/>
        <v>0.61609738123514202</v>
      </c>
      <c r="DI126" s="216">
        <f t="shared" si="445"/>
        <v>7.8307926528448561</v>
      </c>
      <c r="DJ126" s="116">
        <f t="shared" si="446"/>
        <v>14682.403103303304</v>
      </c>
      <c r="DK126" s="8">
        <f t="shared" si="447"/>
        <v>0.37961783558369105</v>
      </c>
      <c r="DL126" s="8">
        <f t="shared" si="448"/>
        <v>0.61613134604862541</v>
      </c>
      <c r="DM126" s="8">
        <f t="shared" si="449"/>
        <v>0.37961783558369105</v>
      </c>
      <c r="DN126" s="8">
        <f t="shared" si="450"/>
        <v>0.61613134604862541</v>
      </c>
      <c r="DO126" s="216">
        <f t="shared" si="451"/>
        <v>7.8307586880313735</v>
      </c>
      <c r="DP126" s="116">
        <f t="shared" si="452"/>
        <v>14682.466786159941</v>
      </c>
      <c r="DQ126" s="170">
        <f t="shared" si="453"/>
        <v>0.37961948212261459</v>
      </c>
      <c r="DR126" s="8">
        <f t="shared" si="454"/>
        <v>0.61613268223866735</v>
      </c>
      <c r="DS126" s="8">
        <f t="shared" si="455"/>
        <v>0.37961948212261459</v>
      </c>
      <c r="DT126" s="134">
        <f t="shared" si="456"/>
        <v>0.61613268223866735</v>
      </c>
      <c r="DU126" s="170">
        <f t="shared" si="310"/>
        <v>0.53422373583376614</v>
      </c>
      <c r="DV126" s="170">
        <f t="shared" si="310"/>
        <v>0.73090610603125084</v>
      </c>
      <c r="DW126" s="170">
        <f t="shared" si="310"/>
        <v>0.53422373583376614</v>
      </c>
      <c r="DX126" s="272">
        <f t="shared" si="310"/>
        <v>0.73090610603125084</v>
      </c>
      <c r="DY126" s="272">
        <f t="shared" si="457"/>
        <v>6.9850778220174981</v>
      </c>
      <c r="DZ126" s="22">
        <f t="shared" si="326"/>
        <v>297.42339734256177</v>
      </c>
      <c r="EA126" s="216">
        <f t="shared" si="327"/>
        <v>1.9485942572371594E-2</v>
      </c>
      <c r="EB126" s="12">
        <f t="shared" si="458"/>
        <v>3</v>
      </c>
      <c r="EC126" s="7">
        <f>ROUND(MAX(DV126,DX126)/'Inputs-Imperial'!$E$21,0)</f>
        <v>6</v>
      </c>
      <c r="ED126" s="12">
        <f t="shared" si="459"/>
        <v>6</v>
      </c>
      <c r="EE126" s="2">
        <f t="shared" si="460"/>
        <v>3</v>
      </c>
      <c r="EF126" s="127">
        <f t="shared" si="461"/>
        <v>3</v>
      </c>
      <c r="EG126" s="2">
        <f t="shared" si="462"/>
        <v>2.3622047244094495E-2</v>
      </c>
      <c r="EH126" s="8">
        <f t="shared" si="328"/>
        <v>0.2050658429808476</v>
      </c>
      <c r="EI126" s="138">
        <f t="shared" si="463"/>
        <v>0.25</v>
      </c>
      <c r="EJ126" s="12">
        <f t="shared" si="329"/>
        <v>11331.8314387516</v>
      </c>
      <c r="EK126" s="138">
        <f t="shared" si="464"/>
        <v>0.25</v>
      </c>
      <c r="EL126" s="116">
        <f t="shared" si="465"/>
        <v>2175570</v>
      </c>
      <c r="EM126" s="2">
        <f t="shared" si="330"/>
        <v>2.3622047244094495E-2</v>
      </c>
      <c r="EN126" s="8">
        <f t="shared" si="466"/>
        <v>8.4468900340799991</v>
      </c>
      <c r="EO126" s="116">
        <f t="shared" si="467"/>
        <v>2610.6840000000002</v>
      </c>
      <c r="EP126" s="217">
        <f t="shared" si="468"/>
        <v>0.34037085485820151</v>
      </c>
      <c r="EQ126" s="207">
        <f t="shared" si="469"/>
        <v>2.4183785566180269</v>
      </c>
      <c r="ER126" s="144">
        <f t="shared" si="470"/>
        <v>11371.648721430676</v>
      </c>
      <c r="ES126" s="138">
        <f t="shared" si="331"/>
        <v>0.25</v>
      </c>
      <c r="ET126" s="116">
        <f t="shared" si="471"/>
        <v>2175570</v>
      </c>
      <c r="EU126" s="2">
        <f t="shared" si="332"/>
        <v>2.3622047244094495E-2</v>
      </c>
      <c r="EV126" s="8">
        <f t="shared" si="472"/>
        <v>8.4468900340799991</v>
      </c>
      <c r="EW126" s="116">
        <f t="shared" si="473"/>
        <v>2610.6840000000002</v>
      </c>
      <c r="EX126" s="217">
        <f t="shared" si="474"/>
        <v>0.34037085485820151</v>
      </c>
      <c r="EY126" s="207">
        <f t="shared" si="475"/>
        <v>2.4183785566180269</v>
      </c>
      <c r="EZ126" s="144">
        <f t="shared" si="476"/>
        <v>11371.648721430676</v>
      </c>
      <c r="FA126" s="138">
        <f t="shared" si="333"/>
        <v>0.25</v>
      </c>
      <c r="FB126" s="116">
        <f t="shared" si="477"/>
        <v>2175570</v>
      </c>
      <c r="FC126" s="2">
        <f t="shared" si="334"/>
        <v>2.3622047244094495E-2</v>
      </c>
      <c r="FD126" s="8">
        <f t="shared" si="478"/>
        <v>8.4468900340799991</v>
      </c>
      <c r="FE126" s="116">
        <f t="shared" si="479"/>
        <v>2610.6840000000002</v>
      </c>
      <c r="FF126" s="217">
        <f t="shared" si="480"/>
        <v>0.34037085485820151</v>
      </c>
      <c r="FG126" s="207">
        <f t="shared" si="481"/>
        <v>2.4183785566180269</v>
      </c>
      <c r="FH126" s="144">
        <f t="shared" si="482"/>
        <v>11371.648721430676</v>
      </c>
      <c r="FI126" s="128">
        <f t="shared" si="483"/>
        <v>0.25</v>
      </c>
      <c r="FJ126" s="2">
        <f t="shared" si="484"/>
        <v>2.3622047244094495E-2</v>
      </c>
      <c r="FK126" s="127">
        <f t="shared" si="485"/>
        <v>2.3622047244094495E-2</v>
      </c>
      <c r="FL126" s="216">
        <f t="shared" si="486"/>
        <v>0</v>
      </c>
      <c r="FM126" s="138">
        <f t="shared" si="487"/>
        <v>0</v>
      </c>
      <c r="FN126" s="138">
        <f t="shared" si="488"/>
        <v>0.25</v>
      </c>
      <c r="FO126" s="238">
        <f t="shared" si="489"/>
        <v>0</v>
      </c>
      <c r="FP126" s="216">
        <f t="shared" si="335"/>
        <v>0</v>
      </c>
      <c r="FQ126" s="138">
        <f t="shared" si="336"/>
        <v>0</v>
      </c>
      <c r="FR126" s="138">
        <f t="shared" si="337"/>
        <v>0.5</v>
      </c>
      <c r="FS126" s="238">
        <f t="shared" si="338"/>
        <v>0</v>
      </c>
      <c r="FT126" s="216">
        <f t="shared" si="490"/>
        <v>0</v>
      </c>
      <c r="FU126" s="138">
        <f t="shared" si="491"/>
        <v>0</v>
      </c>
      <c r="FV126" s="138">
        <f t="shared" si="492"/>
        <v>2.3622047244094495E-2</v>
      </c>
      <c r="FW126" s="238">
        <f t="shared" si="493"/>
        <v>0</v>
      </c>
      <c r="FX126" s="216">
        <f t="shared" si="339"/>
        <v>0</v>
      </c>
      <c r="FY126" s="138">
        <f t="shared" si="340"/>
        <v>0</v>
      </c>
      <c r="FZ126" s="138">
        <f t="shared" si="341"/>
        <v>3.1496062992125991E-2</v>
      </c>
      <c r="GA126" s="238">
        <f t="shared" si="342"/>
        <v>0</v>
      </c>
      <c r="GB126" s="216">
        <f t="shared" si="494"/>
        <v>0</v>
      </c>
      <c r="GC126" s="138">
        <f t="shared" si="495"/>
        <v>0</v>
      </c>
      <c r="GD126" s="138">
        <f t="shared" si="496"/>
        <v>2.3622047244094495E-2</v>
      </c>
      <c r="GE126" s="238">
        <f t="shared" si="497"/>
        <v>0</v>
      </c>
      <c r="GF126" s="216">
        <f t="shared" si="343"/>
        <v>0</v>
      </c>
      <c r="GG126" s="138">
        <f t="shared" si="344"/>
        <v>0</v>
      </c>
      <c r="GH126" s="138">
        <f t="shared" si="345"/>
        <v>3.1496062992125991E-2</v>
      </c>
      <c r="GI126" s="238">
        <f t="shared" si="346"/>
        <v>0</v>
      </c>
      <c r="GJ126" s="216">
        <f t="shared" si="498"/>
        <v>0.5</v>
      </c>
      <c r="GK126" s="216">
        <f t="shared" si="499"/>
        <v>3.1496062992125991E-2</v>
      </c>
      <c r="GL126" s="17">
        <f t="shared" si="500"/>
        <v>3.1496062992125991E-2</v>
      </c>
      <c r="GM126" s="216">
        <f t="shared" si="347"/>
        <v>1.0108400874454119E-2</v>
      </c>
      <c r="GN126" s="2">
        <f t="shared" si="501"/>
        <v>2</v>
      </c>
      <c r="GO126" s="2">
        <f t="shared" si="502"/>
        <v>2</v>
      </c>
      <c r="GP126" s="142">
        <f t="shared" si="503"/>
        <v>2</v>
      </c>
      <c r="GQ126" s="2">
        <f t="shared" si="504"/>
        <v>1.5748031496062995E-2</v>
      </c>
      <c r="GR126" s="8">
        <f t="shared" si="348"/>
        <v>0.10637862340040674</v>
      </c>
      <c r="GS126" s="138">
        <f t="shared" si="505"/>
        <v>0.25</v>
      </c>
      <c r="GT126" s="12">
        <f t="shared" si="349"/>
        <v>8817.6407991975921</v>
      </c>
      <c r="GU126" s="138">
        <f t="shared" si="506"/>
        <v>0.25</v>
      </c>
      <c r="GV126" s="116">
        <f t="shared" si="507"/>
        <v>2175570</v>
      </c>
      <c r="GW126" s="2">
        <f t="shared" si="350"/>
        <v>2.3622047244094495E-2</v>
      </c>
      <c r="GX126" s="8">
        <f t="shared" si="351"/>
        <v>4.2234450170399995</v>
      </c>
      <c r="GY126" s="116">
        <f t="shared" si="508"/>
        <v>2610.6840000000002</v>
      </c>
      <c r="GZ126" s="217">
        <f t="shared" si="509"/>
        <v>1.361483419432806</v>
      </c>
      <c r="HA126" s="207">
        <f t="shared" si="510"/>
        <v>2</v>
      </c>
      <c r="HB126" s="144">
        <f t="shared" si="511"/>
        <v>37617.431531755952</v>
      </c>
      <c r="HC126" s="138">
        <f t="shared" si="352"/>
        <v>0.25</v>
      </c>
      <c r="HD126" s="116">
        <f t="shared" si="512"/>
        <v>2175570</v>
      </c>
      <c r="HE126" s="2">
        <f t="shared" si="353"/>
        <v>2.3622047244094495E-2</v>
      </c>
      <c r="HF126" s="8">
        <f t="shared" si="513"/>
        <v>4.2234450170399995</v>
      </c>
      <c r="HG126" s="116">
        <f t="shared" si="514"/>
        <v>2610.6840000000002</v>
      </c>
      <c r="HH126" s="217">
        <f t="shared" si="515"/>
        <v>1.361483419432806</v>
      </c>
      <c r="HI126" s="207">
        <f t="shared" si="516"/>
        <v>2</v>
      </c>
      <c r="HJ126" s="144">
        <f t="shared" si="517"/>
        <v>37617.431531755952</v>
      </c>
      <c r="HK126" s="138">
        <f t="shared" si="354"/>
        <v>0.25</v>
      </c>
      <c r="HL126" s="116">
        <f t="shared" si="518"/>
        <v>2175570</v>
      </c>
      <c r="HM126" s="2">
        <f t="shared" si="355"/>
        <v>2.3622047244094495E-2</v>
      </c>
      <c r="HN126" s="8">
        <f t="shared" si="519"/>
        <v>4.2234450170399995</v>
      </c>
      <c r="HO126" s="116">
        <f t="shared" si="520"/>
        <v>2610.6840000000002</v>
      </c>
      <c r="HP126" s="217">
        <f t="shared" si="521"/>
        <v>1.361483419432806</v>
      </c>
      <c r="HQ126" s="207">
        <f t="shared" si="522"/>
        <v>2</v>
      </c>
      <c r="HR126" s="144">
        <f t="shared" si="523"/>
        <v>37617.431531755952</v>
      </c>
      <c r="HS126" s="128">
        <f t="shared" si="524"/>
        <v>0.25</v>
      </c>
      <c r="HT126" s="2">
        <f t="shared" si="525"/>
        <v>1.5748031496062995E-2</v>
      </c>
      <c r="HU126" s="127">
        <f t="shared" si="526"/>
        <v>1.5748031496062995E-2</v>
      </c>
      <c r="HV126" s="216">
        <f t="shared" si="527"/>
        <v>0</v>
      </c>
      <c r="HW126" s="138">
        <f t="shared" si="528"/>
        <v>0</v>
      </c>
      <c r="HX126" s="138">
        <f t="shared" si="529"/>
        <v>0.25</v>
      </c>
      <c r="HY126" s="238">
        <f t="shared" si="530"/>
        <v>0</v>
      </c>
      <c r="HZ126" s="138">
        <f t="shared" si="531"/>
        <v>0</v>
      </c>
      <c r="IA126" s="138">
        <f t="shared" si="532"/>
        <v>0</v>
      </c>
      <c r="IB126" s="138">
        <f t="shared" si="533"/>
        <v>0.25</v>
      </c>
      <c r="IC126" s="138">
        <f t="shared" si="534"/>
        <v>0</v>
      </c>
      <c r="ID126" s="216">
        <f t="shared" si="535"/>
        <v>0</v>
      </c>
      <c r="IE126" s="138">
        <f t="shared" si="536"/>
        <v>0</v>
      </c>
      <c r="IF126" s="138">
        <f t="shared" si="537"/>
        <v>1.5748031496062995E-2</v>
      </c>
      <c r="IG126" s="238">
        <f t="shared" si="538"/>
        <v>0</v>
      </c>
      <c r="IH126" s="138">
        <f t="shared" si="539"/>
        <v>0</v>
      </c>
      <c r="II126" s="138">
        <f t="shared" si="540"/>
        <v>0</v>
      </c>
      <c r="IJ126" s="138">
        <f t="shared" si="541"/>
        <v>1.5748031496062995E-2</v>
      </c>
      <c r="IK126" s="138">
        <f t="shared" si="542"/>
        <v>0</v>
      </c>
      <c r="IL126" s="216">
        <f t="shared" si="543"/>
        <v>0</v>
      </c>
      <c r="IM126" s="138">
        <f t="shared" si="544"/>
        <v>0</v>
      </c>
      <c r="IN126" s="138">
        <f t="shared" si="545"/>
        <v>1.5748031496062995E-2</v>
      </c>
      <c r="IO126" s="238">
        <f t="shared" si="546"/>
        <v>0</v>
      </c>
      <c r="IP126" s="138">
        <f t="shared" si="547"/>
        <v>0</v>
      </c>
      <c r="IQ126" s="138">
        <f t="shared" si="548"/>
        <v>0</v>
      </c>
      <c r="IR126" s="138">
        <f t="shared" si="549"/>
        <v>1.5748031496062995E-2</v>
      </c>
      <c r="IS126" s="138">
        <f t="shared" si="550"/>
        <v>0</v>
      </c>
      <c r="IT126" s="17">
        <f t="shared" si="551"/>
        <v>0.25</v>
      </c>
      <c r="IU126" s="17">
        <f t="shared" si="552"/>
        <v>1.5748031496062995E-2</v>
      </c>
      <c r="IV126" s="17">
        <f t="shared" si="553"/>
        <v>1.5748031496062995E-2</v>
      </c>
      <c r="IW126" s="253">
        <f t="shared" si="554"/>
        <v>23.463583428000003</v>
      </c>
      <c r="IX126" s="116">
        <f t="shared" si="356"/>
        <v>490.01404538340938</v>
      </c>
      <c r="IY126" s="8">
        <f t="shared" si="357"/>
        <v>1.266945676434993E-2</v>
      </c>
      <c r="IZ126" s="8">
        <f t="shared" si="555"/>
        <v>1.266945676434993E-2</v>
      </c>
      <c r="JA126" s="8">
        <f t="shared" si="556"/>
        <v>6.3347283821749648E-3</v>
      </c>
      <c r="JB126" s="134">
        <f t="shared" si="557"/>
        <v>7.9591006917710025E-2</v>
      </c>
      <c r="JC126" s="170">
        <f t="shared" si="311"/>
        <v>8.8060777215215446E-3</v>
      </c>
      <c r="JD126" s="272">
        <f t="shared" si="312"/>
        <v>9.3840703969660974E-2</v>
      </c>
      <c r="JE126" s="8"/>
      <c r="JF126" s="8"/>
    </row>
    <row r="127" spans="1:266" x14ac:dyDescent="0.25">
      <c r="A127" s="186">
        <v>67</v>
      </c>
      <c r="B127" s="187">
        <f>A127/100*'Inputs-Imperial'!$E$5</f>
        <v>16.134514952</v>
      </c>
      <c r="C127" s="188">
        <f>'Inputs-Imperial'!$E$10+('Inputs-Imperial'!$E$9-'Inputs-Imperial'!$E$10)*(100-A127)/100</f>
        <v>3.8927986810000004</v>
      </c>
      <c r="D127" s="187">
        <f t="shared" si="558"/>
        <v>0.24081365600000026</v>
      </c>
      <c r="E127" s="188">
        <f t="shared" si="559"/>
        <v>0.93958215023493608</v>
      </c>
      <c r="F127" s="423">
        <f>Loads!P87</f>
        <v>242.0990261543362</v>
      </c>
      <c r="G127" s="423">
        <f>Loads!M87</f>
        <v>2420.9902615433612</v>
      </c>
      <c r="H127" s="423">
        <f>Loads!N87</f>
        <v>8976.241056677387</v>
      </c>
      <c r="I127" s="423">
        <f>Loads!V87</f>
        <v>-4305.8429149492904</v>
      </c>
      <c r="J127" s="423">
        <f>Loads!Q87</f>
        <v>897.62410566773872</v>
      </c>
      <c r="K127" s="2">
        <v>67</v>
      </c>
      <c r="L127" s="12">
        <f t="shared" si="358"/>
        <v>193.61417942399999</v>
      </c>
      <c r="M127" s="11">
        <f t="shared" si="359"/>
        <v>46.713584172000004</v>
      </c>
      <c r="N127" s="11">
        <f t="shared" si="360"/>
        <v>2.8897638720000032</v>
      </c>
      <c r="O127" s="152">
        <f t="shared" si="361"/>
        <v>135.2998296338308</v>
      </c>
      <c r="P127" s="151">
        <f t="shared" si="362"/>
        <v>242.0990261543362</v>
      </c>
      <c r="Q127" s="12">
        <f t="shared" si="363"/>
        <v>2420.9902615433612</v>
      </c>
      <c r="R127" s="12">
        <f t="shared" si="364"/>
        <v>107714.89268012864</v>
      </c>
      <c r="S127" s="12">
        <f t="shared" si="365"/>
        <v>-51670.114979391481</v>
      </c>
      <c r="T127" s="152">
        <f t="shared" si="366"/>
        <v>10771.489268012865</v>
      </c>
      <c r="U127" s="8">
        <f t="shared" si="313"/>
        <v>8.4084451509600004</v>
      </c>
      <c r="V127" s="8">
        <f t="shared" si="314"/>
        <v>8.4084451509600004</v>
      </c>
      <c r="W127" s="134">
        <f t="shared" si="315"/>
        <v>4.2042225754800002</v>
      </c>
      <c r="X127" s="311">
        <f t="shared" si="316"/>
        <v>11.678396043000001</v>
      </c>
      <c r="Y127" s="11">
        <f t="shared" si="317"/>
        <v>35.035188129000005</v>
      </c>
      <c r="Z127" s="11">
        <f t="shared" si="318"/>
        <v>23.356792086000006</v>
      </c>
      <c r="AA127" s="316">
        <f t="shared" si="367"/>
        <v>35.035188129000005</v>
      </c>
      <c r="AB127" s="170">
        <f t="shared" si="368"/>
        <v>6.3063338632200008</v>
      </c>
      <c r="AC127" s="11">
        <f t="shared" si="369"/>
        <v>35.035188129000005</v>
      </c>
      <c r="AD127" s="152">
        <f t="shared" si="370"/>
        <v>173.52869239397759</v>
      </c>
      <c r="AE127" s="151">
        <f t="shared" si="319"/>
        <v>6.9101677223174747</v>
      </c>
      <c r="AF127" s="12">
        <f t="shared" si="320"/>
        <v>148.88060950197283</v>
      </c>
      <c r="AG127" s="216">
        <f t="shared" si="321"/>
        <v>1.0206763036874367E-2</v>
      </c>
      <c r="AH127" s="2">
        <f t="shared" si="371"/>
        <v>2</v>
      </c>
      <c r="AI127" s="2">
        <f t="shared" si="372"/>
        <v>3</v>
      </c>
      <c r="AJ127" s="127">
        <f t="shared" si="373"/>
        <v>2</v>
      </c>
      <c r="AK127" s="2">
        <f t="shared" si="374"/>
        <v>1.5748031496062995E-2</v>
      </c>
      <c r="AL127" s="8">
        <f t="shared" si="322"/>
        <v>0.10741376551268654</v>
      </c>
      <c r="AM127" s="138">
        <f t="shared" si="375"/>
        <v>0.25</v>
      </c>
      <c r="AN127" s="12">
        <f t="shared" si="323"/>
        <v>8903.4429183681896</v>
      </c>
      <c r="AO127" s="138">
        <f t="shared" si="376"/>
        <v>0.25</v>
      </c>
      <c r="AP127" s="116">
        <f t="shared" si="377"/>
        <v>2175570</v>
      </c>
      <c r="AQ127" s="2">
        <f t="shared" si="378"/>
        <v>1.5748031496062995E-2</v>
      </c>
      <c r="AR127" s="8">
        <f t="shared" si="379"/>
        <v>23.356792086000006</v>
      </c>
      <c r="AS127" s="116">
        <f t="shared" si="380"/>
        <v>2610.6840000000002</v>
      </c>
      <c r="AT127" s="217">
        <f t="shared" si="381"/>
        <v>2.9677574058992944E-2</v>
      </c>
      <c r="AU127" s="207">
        <f t="shared" si="382"/>
        <v>4.8016031120726597</v>
      </c>
      <c r="AV127" s="144">
        <f t="shared" si="383"/>
        <v>2952.9269456882739</v>
      </c>
      <c r="AW127" s="138">
        <f t="shared" si="384"/>
        <v>1</v>
      </c>
      <c r="AX127" s="116">
        <f t="shared" si="385"/>
        <v>2175570</v>
      </c>
      <c r="AY127" s="2">
        <f t="shared" si="386"/>
        <v>1.5748031496062995E-2</v>
      </c>
      <c r="AZ127" s="8">
        <f t="shared" si="387"/>
        <v>23.356792086000006</v>
      </c>
      <c r="BA127" s="116">
        <f t="shared" si="388"/>
        <v>2610.6840000000002</v>
      </c>
      <c r="BB127" s="217">
        <f t="shared" si="389"/>
        <v>0.11871029623597178</v>
      </c>
      <c r="BC127" s="207">
        <f t="shared" si="390"/>
        <v>3.7113167245078138</v>
      </c>
      <c r="BD127" s="144">
        <f t="shared" si="391"/>
        <v>36518.62731337492</v>
      </c>
      <c r="BE127" s="138">
        <f t="shared" si="392"/>
        <v>1</v>
      </c>
      <c r="BF127" s="116">
        <f t="shared" si="393"/>
        <v>2175570</v>
      </c>
      <c r="BG127" s="2">
        <f t="shared" si="394"/>
        <v>1.5748031496062995E-2</v>
      </c>
      <c r="BH127" s="8">
        <f t="shared" si="395"/>
        <v>23.356792086000006</v>
      </c>
      <c r="BI127" s="116">
        <f t="shared" si="396"/>
        <v>2610.6840000000002</v>
      </c>
      <c r="BJ127" s="217">
        <f t="shared" si="397"/>
        <v>0.11871029623597178</v>
      </c>
      <c r="BK127" s="207">
        <f t="shared" si="398"/>
        <v>3.7113167245078138</v>
      </c>
      <c r="BL127" s="144">
        <f t="shared" si="399"/>
        <v>36518.62731337492</v>
      </c>
      <c r="BM127" s="216">
        <f t="shared" si="400"/>
        <v>1</v>
      </c>
      <c r="BN127" s="216">
        <f t="shared" si="401"/>
        <v>2.3622047244094495E-2</v>
      </c>
      <c r="BO127" s="238">
        <f t="shared" si="402"/>
        <v>1.5748031496062995E-2</v>
      </c>
      <c r="BP127" s="216">
        <f t="shared" si="403"/>
        <v>0</v>
      </c>
      <c r="BQ127" s="138">
        <f t="shared" si="404"/>
        <v>0</v>
      </c>
      <c r="BR127" s="138">
        <f t="shared" si="405"/>
        <v>1</v>
      </c>
      <c r="BS127" s="238">
        <f t="shared" si="406"/>
        <v>0</v>
      </c>
      <c r="BT127" s="138">
        <f t="shared" si="407"/>
        <v>0</v>
      </c>
      <c r="BU127" s="138">
        <f t="shared" si="408"/>
        <v>0</v>
      </c>
      <c r="BV127" s="138">
        <f t="shared" si="409"/>
        <v>1.5</v>
      </c>
      <c r="BW127" s="238">
        <f t="shared" si="410"/>
        <v>0</v>
      </c>
      <c r="BX127" s="216">
        <f t="shared" si="411"/>
        <v>0</v>
      </c>
      <c r="BY127" s="138">
        <f t="shared" si="412"/>
        <v>0</v>
      </c>
      <c r="BZ127" s="138">
        <f t="shared" si="413"/>
        <v>2.3622047244094495E-2</v>
      </c>
      <c r="CA127" s="238">
        <f t="shared" si="414"/>
        <v>0</v>
      </c>
      <c r="CB127" s="138">
        <f t="shared" si="415"/>
        <v>0</v>
      </c>
      <c r="CC127" s="138">
        <f t="shared" si="416"/>
        <v>0</v>
      </c>
      <c r="CD127" s="138">
        <f t="shared" si="417"/>
        <v>2.3622047244094495E-2</v>
      </c>
      <c r="CE127" s="238">
        <f t="shared" si="418"/>
        <v>0</v>
      </c>
      <c r="CF127" s="216">
        <f t="shared" si="419"/>
        <v>0</v>
      </c>
      <c r="CG127" s="138">
        <f t="shared" si="420"/>
        <v>0</v>
      </c>
      <c r="CH127" s="138">
        <f t="shared" si="421"/>
        <v>1.5748031496062995E-2</v>
      </c>
      <c r="CI127" s="238">
        <f t="shared" si="422"/>
        <v>0</v>
      </c>
      <c r="CJ127" s="138">
        <f t="shared" si="423"/>
        <v>0</v>
      </c>
      <c r="CK127" s="138">
        <f t="shared" si="424"/>
        <v>0</v>
      </c>
      <c r="CL127" s="138">
        <f t="shared" si="425"/>
        <v>1.5748031496062995E-2</v>
      </c>
      <c r="CM127" s="238">
        <f t="shared" si="426"/>
        <v>0</v>
      </c>
      <c r="CN127" s="17">
        <f t="shared" si="427"/>
        <v>1.5</v>
      </c>
      <c r="CO127" s="17">
        <f t="shared" si="428"/>
        <v>2.3622047244094495E-2</v>
      </c>
      <c r="CP127" s="17">
        <f t="shared" si="429"/>
        <v>1.5748031496062995E-2</v>
      </c>
      <c r="CQ127" s="17">
        <f>$U127-IF('Inputs-Imperial'!$E$13,0,2)*($CO127+$CN127+$CP127)</f>
        <v>8.4084451509600004</v>
      </c>
      <c r="CR127" s="116">
        <f t="shared" si="430"/>
        <v>12810.322330262299</v>
      </c>
      <c r="CS127" s="8">
        <f t="shared" si="324"/>
        <v>0.33121463849807375</v>
      </c>
      <c r="CT127" s="8">
        <f t="shared" si="431"/>
        <v>0.57551250073136884</v>
      </c>
      <c r="CU127" s="8">
        <f t="shared" si="325"/>
        <v>0.33121463849807375</v>
      </c>
      <c r="CV127" s="8">
        <f t="shared" si="432"/>
        <v>0.57551250073136884</v>
      </c>
      <c r="CW127" s="216">
        <f t="shared" si="433"/>
        <v>7.8329326502286323</v>
      </c>
      <c r="CX127" s="116">
        <f t="shared" si="434"/>
        <v>13751.540768958941</v>
      </c>
      <c r="CY127" s="8">
        <f t="shared" si="435"/>
        <v>0.35555011709756079</v>
      </c>
      <c r="CZ127" s="8">
        <f t="shared" si="436"/>
        <v>0.59628023369684224</v>
      </c>
      <c r="DA127" s="8">
        <f t="shared" si="437"/>
        <v>0.35555011709756079</v>
      </c>
      <c r="DB127" s="8">
        <f t="shared" si="438"/>
        <v>0.59628023369684224</v>
      </c>
      <c r="DC127" s="216">
        <f t="shared" si="439"/>
        <v>7.8121649172631589</v>
      </c>
      <c r="DD127" s="116">
        <f t="shared" si="440"/>
        <v>13788.097642703691</v>
      </c>
      <c r="DE127" s="8">
        <f t="shared" si="441"/>
        <v>0.35649530578289024</v>
      </c>
      <c r="DF127" s="8">
        <f t="shared" si="442"/>
        <v>0.59707227852487865</v>
      </c>
      <c r="DG127" s="8">
        <f t="shared" si="443"/>
        <v>0.35649530578289024</v>
      </c>
      <c r="DH127" s="8">
        <f t="shared" si="444"/>
        <v>0.59707227852487865</v>
      </c>
      <c r="DI127" s="216">
        <f t="shared" si="445"/>
        <v>7.811372872435121</v>
      </c>
      <c r="DJ127" s="116">
        <f t="shared" si="446"/>
        <v>13789.495705708074</v>
      </c>
      <c r="DK127" s="8">
        <f t="shared" si="447"/>
        <v>0.3565314531116347</v>
      </c>
      <c r="DL127" s="8">
        <f t="shared" si="448"/>
        <v>0.59710254823743192</v>
      </c>
      <c r="DM127" s="8">
        <f t="shared" si="449"/>
        <v>0.3565314531116347</v>
      </c>
      <c r="DN127" s="8">
        <f t="shared" si="450"/>
        <v>0.59710254823743192</v>
      </c>
      <c r="DO127" s="216">
        <f t="shared" si="451"/>
        <v>7.8113426027225676</v>
      </c>
      <c r="DP127" s="116">
        <f t="shared" si="452"/>
        <v>13789.549141345518</v>
      </c>
      <c r="DQ127" s="170">
        <f t="shared" si="453"/>
        <v>0.35653283470570257</v>
      </c>
      <c r="DR127" s="8">
        <f t="shared" si="454"/>
        <v>0.59710370515154454</v>
      </c>
      <c r="DS127" s="8">
        <f t="shared" si="455"/>
        <v>0.35653283470570257</v>
      </c>
      <c r="DT127" s="134">
        <f t="shared" si="456"/>
        <v>0.59710370515154454</v>
      </c>
      <c r="DU127" s="170">
        <f t="shared" si="310"/>
        <v>0.53422373583376614</v>
      </c>
      <c r="DV127" s="170">
        <f t="shared" si="310"/>
        <v>0.73090610603125084</v>
      </c>
      <c r="DW127" s="170">
        <f t="shared" si="310"/>
        <v>0.53422373583376614</v>
      </c>
      <c r="DX127" s="272">
        <f t="shared" si="310"/>
        <v>0.73090610603125084</v>
      </c>
      <c r="DY127" s="272">
        <f t="shared" si="457"/>
        <v>6.9466329388974994</v>
      </c>
      <c r="DZ127" s="22">
        <f t="shared" si="326"/>
        <v>287.92365509656139</v>
      </c>
      <c r="EA127" s="216">
        <f t="shared" si="327"/>
        <v>1.8863559015758893E-2</v>
      </c>
      <c r="EB127" s="12">
        <f t="shared" si="458"/>
        <v>3</v>
      </c>
      <c r="EC127" s="7">
        <f>ROUND(MAX(DV127,DX127)/'Inputs-Imperial'!$E$21,0)</f>
        <v>6</v>
      </c>
      <c r="ED127" s="12">
        <f t="shared" si="459"/>
        <v>6</v>
      </c>
      <c r="EE127" s="2">
        <f t="shared" si="460"/>
        <v>3</v>
      </c>
      <c r="EF127" s="127">
        <f t="shared" si="461"/>
        <v>3</v>
      </c>
      <c r="EG127" s="2">
        <f t="shared" si="462"/>
        <v>2.3622047244094495E-2</v>
      </c>
      <c r="EH127" s="8">
        <f t="shared" si="328"/>
        <v>0.19851601311143383</v>
      </c>
      <c r="EI127" s="138">
        <f t="shared" si="463"/>
        <v>0.25</v>
      </c>
      <c r="EJ127" s="12">
        <f t="shared" si="329"/>
        <v>10969.891259178987</v>
      </c>
      <c r="EK127" s="138">
        <f t="shared" si="464"/>
        <v>0.25</v>
      </c>
      <c r="EL127" s="116">
        <f t="shared" si="465"/>
        <v>2175570</v>
      </c>
      <c r="EM127" s="2">
        <f t="shared" si="330"/>
        <v>2.3622047244094495E-2</v>
      </c>
      <c r="EN127" s="8">
        <f t="shared" si="466"/>
        <v>8.4084451509600004</v>
      </c>
      <c r="EO127" s="116">
        <f t="shared" si="467"/>
        <v>2610.6840000000002</v>
      </c>
      <c r="EP127" s="217">
        <f t="shared" si="468"/>
        <v>0.34349044049760363</v>
      </c>
      <c r="EQ127" s="207">
        <f t="shared" si="469"/>
        <v>2.4034342899439971</v>
      </c>
      <c r="ER127" s="144">
        <f t="shared" si="470"/>
        <v>11404.958116241402</v>
      </c>
      <c r="ES127" s="138">
        <f t="shared" si="331"/>
        <v>0.25</v>
      </c>
      <c r="ET127" s="116">
        <f t="shared" si="471"/>
        <v>2175570</v>
      </c>
      <c r="EU127" s="2">
        <f t="shared" si="332"/>
        <v>2.3622047244094495E-2</v>
      </c>
      <c r="EV127" s="8">
        <f t="shared" si="472"/>
        <v>8.4084451509600004</v>
      </c>
      <c r="EW127" s="116">
        <f t="shared" si="473"/>
        <v>2610.6840000000002</v>
      </c>
      <c r="EX127" s="217">
        <f t="shared" si="474"/>
        <v>0.34349044049760363</v>
      </c>
      <c r="EY127" s="207">
        <f t="shared" si="475"/>
        <v>2.4034342899439971</v>
      </c>
      <c r="EZ127" s="144">
        <f t="shared" si="476"/>
        <v>11404.958116241402</v>
      </c>
      <c r="FA127" s="138">
        <f t="shared" si="333"/>
        <v>0.25</v>
      </c>
      <c r="FB127" s="116">
        <f t="shared" si="477"/>
        <v>2175570</v>
      </c>
      <c r="FC127" s="2">
        <f t="shared" si="334"/>
        <v>2.3622047244094495E-2</v>
      </c>
      <c r="FD127" s="8">
        <f t="shared" si="478"/>
        <v>8.4084451509600004</v>
      </c>
      <c r="FE127" s="116">
        <f t="shared" si="479"/>
        <v>2610.6840000000002</v>
      </c>
      <c r="FF127" s="217">
        <f t="shared" si="480"/>
        <v>0.34349044049760363</v>
      </c>
      <c r="FG127" s="207">
        <f t="shared" si="481"/>
        <v>2.4034342899439971</v>
      </c>
      <c r="FH127" s="144">
        <f t="shared" si="482"/>
        <v>11404.958116241402</v>
      </c>
      <c r="FI127" s="128">
        <f t="shared" si="483"/>
        <v>0.25</v>
      </c>
      <c r="FJ127" s="2">
        <f t="shared" si="484"/>
        <v>2.3622047244094495E-2</v>
      </c>
      <c r="FK127" s="127">
        <f t="shared" si="485"/>
        <v>2.3622047244094495E-2</v>
      </c>
      <c r="FL127" s="216">
        <f t="shared" si="486"/>
        <v>0</v>
      </c>
      <c r="FM127" s="138">
        <f t="shared" si="487"/>
        <v>0</v>
      </c>
      <c r="FN127" s="138">
        <f t="shared" si="488"/>
        <v>0.25</v>
      </c>
      <c r="FO127" s="238">
        <f t="shared" si="489"/>
        <v>0</v>
      </c>
      <c r="FP127" s="216">
        <f t="shared" si="335"/>
        <v>0</v>
      </c>
      <c r="FQ127" s="138">
        <f t="shared" si="336"/>
        <v>0</v>
      </c>
      <c r="FR127" s="138">
        <f t="shared" si="337"/>
        <v>0.5</v>
      </c>
      <c r="FS127" s="238">
        <f t="shared" si="338"/>
        <v>0</v>
      </c>
      <c r="FT127" s="216">
        <f t="shared" si="490"/>
        <v>0</v>
      </c>
      <c r="FU127" s="138">
        <f t="shared" si="491"/>
        <v>0</v>
      </c>
      <c r="FV127" s="138">
        <f t="shared" si="492"/>
        <v>2.3622047244094495E-2</v>
      </c>
      <c r="FW127" s="238">
        <f t="shared" si="493"/>
        <v>0</v>
      </c>
      <c r="FX127" s="216">
        <f t="shared" si="339"/>
        <v>0</v>
      </c>
      <c r="FY127" s="138">
        <f t="shared" si="340"/>
        <v>0</v>
      </c>
      <c r="FZ127" s="138">
        <f t="shared" si="341"/>
        <v>3.1496062992125991E-2</v>
      </c>
      <c r="GA127" s="238">
        <f t="shared" si="342"/>
        <v>0</v>
      </c>
      <c r="GB127" s="216">
        <f t="shared" si="494"/>
        <v>0</v>
      </c>
      <c r="GC127" s="138">
        <f t="shared" si="495"/>
        <v>0</v>
      </c>
      <c r="GD127" s="138">
        <f t="shared" si="496"/>
        <v>2.3622047244094495E-2</v>
      </c>
      <c r="GE127" s="238">
        <f t="shared" si="497"/>
        <v>0</v>
      </c>
      <c r="GF127" s="216">
        <f t="shared" si="343"/>
        <v>0</v>
      </c>
      <c r="GG127" s="138">
        <f t="shared" si="344"/>
        <v>0</v>
      </c>
      <c r="GH127" s="138">
        <f t="shared" si="345"/>
        <v>3.1496062992125991E-2</v>
      </c>
      <c r="GI127" s="238">
        <f t="shared" si="346"/>
        <v>0</v>
      </c>
      <c r="GJ127" s="216">
        <f t="shared" si="498"/>
        <v>0.5</v>
      </c>
      <c r="GK127" s="216">
        <f t="shared" si="499"/>
        <v>3.1496062992125991E-2</v>
      </c>
      <c r="GL127" s="17">
        <f t="shared" si="500"/>
        <v>3.1496062992125991E-2</v>
      </c>
      <c r="GM127" s="216">
        <f t="shared" si="347"/>
        <v>9.7540376204961528E-3</v>
      </c>
      <c r="GN127" s="2">
        <f t="shared" si="501"/>
        <v>2</v>
      </c>
      <c r="GO127" s="2">
        <f t="shared" si="502"/>
        <v>2</v>
      </c>
      <c r="GP127" s="142">
        <f t="shared" si="503"/>
        <v>2</v>
      </c>
      <c r="GQ127" s="2">
        <f t="shared" si="504"/>
        <v>1.5748031496062995E-2</v>
      </c>
      <c r="GR127" s="8">
        <f t="shared" si="348"/>
        <v>0.10264938119801212</v>
      </c>
      <c r="GS127" s="138">
        <f t="shared" si="505"/>
        <v>0.25</v>
      </c>
      <c r="GT127" s="12">
        <f t="shared" si="349"/>
        <v>8508.5268330377457</v>
      </c>
      <c r="GU127" s="138">
        <f t="shared" si="506"/>
        <v>0.25</v>
      </c>
      <c r="GV127" s="116">
        <f t="shared" si="507"/>
        <v>2175570</v>
      </c>
      <c r="GW127" s="2">
        <f t="shared" si="350"/>
        <v>2.3622047244094495E-2</v>
      </c>
      <c r="GX127" s="8">
        <f t="shared" si="351"/>
        <v>4.2042225754800002</v>
      </c>
      <c r="GY127" s="116">
        <f t="shared" si="508"/>
        <v>2610.6840000000002</v>
      </c>
      <c r="GZ127" s="217">
        <f t="shared" si="509"/>
        <v>1.3739617619904145</v>
      </c>
      <c r="HA127" s="207">
        <f t="shared" si="510"/>
        <v>2</v>
      </c>
      <c r="HB127" s="144">
        <f t="shared" si="511"/>
        <v>37962.204879775265</v>
      </c>
      <c r="HC127" s="138">
        <f t="shared" si="352"/>
        <v>0.25</v>
      </c>
      <c r="HD127" s="116">
        <f t="shared" si="512"/>
        <v>2175570</v>
      </c>
      <c r="HE127" s="2">
        <f t="shared" si="353"/>
        <v>2.3622047244094495E-2</v>
      </c>
      <c r="HF127" s="8">
        <f t="shared" si="513"/>
        <v>4.2042225754800002</v>
      </c>
      <c r="HG127" s="116">
        <f t="shared" si="514"/>
        <v>2610.6840000000002</v>
      </c>
      <c r="HH127" s="217">
        <f t="shared" si="515"/>
        <v>1.3739617619904145</v>
      </c>
      <c r="HI127" s="207">
        <f t="shared" si="516"/>
        <v>2</v>
      </c>
      <c r="HJ127" s="144">
        <f t="shared" si="517"/>
        <v>37962.204879775265</v>
      </c>
      <c r="HK127" s="138">
        <f t="shared" si="354"/>
        <v>0.25</v>
      </c>
      <c r="HL127" s="116">
        <f t="shared" si="518"/>
        <v>2175570</v>
      </c>
      <c r="HM127" s="2">
        <f t="shared" si="355"/>
        <v>2.3622047244094495E-2</v>
      </c>
      <c r="HN127" s="8">
        <f t="shared" si="519"/>
        <v>4.2042225754800002</v>
      </c>
      <c r="HO127" s="116">
        <f t="shared" si="520"/>
        <v>2610.6840000000002</v>
      </c>
      <c r="HP127" s="217">
        <f t="shared" si="521"/>
        <v>1.3739617619904145</v>
      </c>
      <c r="HQ127" s="207">
        <f t="shared" si="522"/>
        <v>2</v>
      </c>
      <c r="HR127" s="144">
        <f t="shared" si="523"/>
        <v>37962.204879775265</v>
      </c>
      <c r="HS127" s="128">
        <f t="shared" si="524"/>
        <v>0.25</v>
      </c>
      <c r="HT127" s="2">
        <f t="shared" si="525"/>
        <v>1.5748031496062995E-2</v>
      </c>
      <c r="HU127" s="127">
        <f t="shared" si="526"/>
        <v>1.5748031496062995E-2</v>
      </c>
      <c r="HV127" s="216">
        <f t="shared" si="527"/>
        <v>0</v>
      </c>
      <c r="HW127" s="138">
        <f t="shared" si="528"/>
        <v>0</v>
      </c>
      <c r="HX127" s="138">
        <f t="shared" si="529"/>
        <v>0.25</v>
      </c>
      <c r="HY127" s="238">
        <f t="shared" si="530"/>
        <v>0</v>
      </c>
      <c r="HZ127" s="138">
        <f t="shared" si="531"/>
        <v>0</v>
      </c>
      <c r="IA127" s="138">
        <f t="shared" si="532"/>
        <v>0</v>
      </c>
      <c r="IB127" s="138">
        <f t="shared" si="533"/>
        <v>0.25</v>
      </c>
      <c r="IC127" s="138">
        <f t="shared" si="534"/>
        <v>0</v>
      </c>
      <c r="ID127" s="216">
        <f t="shared" si="535"/>
        <v>0</v>
      </c>
      <c r="IE127" s="138">
        <f t="shared" si="536"/>
        <v>0</v>
      </c>
      <c r="IF127" s="138">
        <f t="shared" si="537"/>
        <v>1.5748031496062995E-2</v>
      </c>
      <c r="IG127" s="238">
        <f t="shared" si="538"/>
        <v>0</v>
      </c>
      <c r="IH127" s="138">
        <f t="shared" si="539"/>
        <v>0</v>
      </c>
      <c r="II127" s="138">
        <f t="shared" si="540"/>
        <v>0</v>
      </c>
      <c r="IJ127" s="138">
        <f t="shared" si="541"/>
        <v>1.5748031496062995E-2</v>
      </c>
      <c r="IK127" s="138">
        <f t="shared" si="542"/>
        <v>0</v>
      </c>
      <c r="IL127" s="216">
        <f t="shared" si="543"/>
        <v>0</v>
      </c>
      <c r="IM127" s="138">
        <f t="shared" si="544"/>
        <v>0</v>
      </c>
      <c r="IN127" s="138">
        <f t="shared" si="545"/>
        <v>1.5748031496062995E-2</v>
      </c>
      <c r="IO127" s="238">
        <f t="shared" si="546"/>
        <v>0</v>
      </c>
      <c r="IP127" s="138">
        <f t="shared" si="547"/>
        <v>0</v>
      </c>
      <c r="IQ127" s="138">
        <f t="shared" si="548"/>
        <v>0</v>
      </c>
      <c r="IR127" s="138">
        <f t="shared" si="549"/>
        <v>1.5748031496062995E-2</v>
      </c>
      <c r="IS127" s="138">
        <f t="shared" si="550"/>
        <v>0</v>
      </c>
      <c r="IT127" s="17">
        <f t="shared" si="551"/>
        <v>0.25</v>
      </c>
      <c r="IU127" s="17">
        <f t="shared" si="552"/>
        <v>1.5748031496062995E-2</v>
      </c>
      <c r="IV127" s="17">
        <f t="shared" si="553"/>
        <v>1.5748031496062995E-2</v>
      </c>
      <c r="IW127" s="253">
        <f t="shared" si="554"/>
        <v>23.356792086000006</v>
      </c>
      <c r="IX127" s="116">
        <f t="shared" si="356"/>
        <v>461.17160388944274</v>
      </c>
      <c r="IY127" s="8">
        <f t="shared" si="357"/>
        <v>1.1923726985930654E-2</v>
      </c>
      <c r="IZ127" s="8">
        <f t="shared" si="555"/>
        <v>1.1923726985930654E-2</v>
      </c>
      <c r="JA127" s="8">
        <f t="shared" si="556"/>
        <v>5.961863492965327E-3</v>
      </c>
      <c r="JB127" s="134">
        <f t="shared" si="557"/>
        <v>7.7213104412174272E-2</v>
      </c>
      <c r="JC127" s="170">
        <f t="shared" si="311"/>
        <v>8.8060777215215446E-3</v>
      </c>
      <c r="JD127" s="272">
        <f t="shared" si="312"/>
        <v>9.3840703969660974E-2</v>
      </c>
      <c r="JE127" s="8"/>
      <c r="JF127" s="8"/>
    </row>
    <row r="128" spans="1:266" x14ac:dyDescent="0.25">
      <c r="A128" s="186">
        <v>68</v>
      </c>
      <c r="B128" s="187">
        <f>A128/100*'Inputs-Imperial'!$E$5</f>
        <v>16.375328608</v>
      </c>
      <c r="C128" s="188">
        <f>'Inputs-Imperial'!$E$10+('Inputs-Imperial'!$E$9-'Inputs-Imperial'!$E$10)*(100-A128)/100</f>
        <v>3.8750001240000005</v>
      </c>
      <c r="D128" s="187">
        <f t="shared" si="558"/>
        <v>0.24081365600000026</v>
      </c>
      <c r="E128" s="188">
        <f t="shared" si="559"/>
        <v>0.93529601465224166</v>
      </c>
      <c r="F128" s="423">
        <f>Loads!P88</f>
        <v>233.04417246156717</v>
      </c>
      <c r="G128" s="423">
        <f>Loads!M88</f>
        <v>2330.4417246156709</v>
      </c>
      <c r="H128" s="423">
        <f>Loads!N88</f>
        <v>8393.2335406547336</v>
      </c>
      <c r="I128" s="423">
        <f>Loads!V88</f>
        <v>-4111.8251917259577</v>
      </c>
      <c r="J128" s="423">
        <f>Loads!Q88</f>
        <v>839.32335406547338</v>
      </c>
      <c r="K128" s="2">
        <v>68</v>
      </c>
      <c r="L128" s="12">
        <f t="shared" si="358"/>
        <v>196.50394329599999</v>
      </c>
      <c r="M128" s="11">
        <f t="shared" si="359"/>
        <v>46.500001488000009</v>
      </c>
      <c r="N128" s="11">
        <f t="shared" si="360"/>
        <v>2.8897638720000032</v>
      </c>
      <c r="O128" s="152">
        <f t="shared" si="361"/>
        <v>134.68262610992281</v>
      </c>
      <c r="P128" s="151">
        <f t="shared" si="362"/>
        <v>233.04417246156717</v>
      </c>
      <c r="Q128" s="12">
        <f t="shared" si="363"/>
        <v>2330.4417246156709</v>
      </c>
      <c r="R128" s="12">
        <f t="shared" si="364"/>
        <v>100718.8024878568</v>
      </c>
      <c r="S128" s="12">
        <f t="shared" si="365"/>
        <v>-49341.902300711488</v>
      </c>
      <c r="T128" s="152">
        <f t="shared" si="366"/>
        <v>10071.880248785681</v>
      </c>
      <c r="U128" s="8">
        <f t="shared" si="313"/>
        <v>8.3700002678400018</v>
      </c>
      <c r="V128" s="8">
        <f t="shared" si="314"/>
        <v>8.3700002678400018</v>
      </c>
      <c r="W128" s="134">
        <f t="shared" si="315"/>
        <v>4.1850001339200009</v>
      </c>
      <c r="X128" s="311">
        <f t="shared" si="316"/>
        <v>11.625000372000002</v>
      </c>
      <c r="Y128" s="11">
        <f t="shared" si="317"/>
        <v>34.875001116000007</v>
      </c>
      <c r="Z128" s="11">
        <f t="shared" si="318"/>
        <v>23.250000744000005</v>
      </c>
      <c r="AA128" s="316">
        <f t="shared" si="367"/>
        <v>34.875001116000007</v>
      </c>
      <c r="AB128" s="170">
        <f t="shared" si="368"/>
        <v>6.2775002008800014</v>
      </c>
      <c r="AC128" s="11">
        <f t="shared" si="369"/>
        <v>34.875001116000007</v>
      </c>
      <c r="AD128" s="152">
        <f t="shared" si="370"/>
        <v>171.94551285863329</v>
      </c>
      <c r="AE128" s="151">
        <f t="shared" si="319"/>
        <v>6.6822699642768129</v>
      </c>
      <c r="AF128" s="12">
        <f t="shared" si="320"/>
        <v>143.48121530010039</v>
      </c>
      <c r="AG128" s="216">
        <f t="shared" si="321"/>
        <v>9.838086298767779E-3</v>
      </c>
      <c r="AH128" s="2">
        <f t="shared" si="371"/>
        <v>2</v>
      </c>
      <c r="AI128" s="2">
        <f t="shared" si="372"/>
        <v>3</v>
      </c>
      <c r="AJ128" s="127">
        <f t="shared" si="373"/>
        <v>2</v>
      </c>
      <c r="AK128" s="2">
        <f t="shared" si="374"/>
        <v>1.5748031496062995E-2</v>
      </c>
      <c r="AL128" s="8">
        <f t="shared" si="322"/>
        <v>0.10353389130047103</v>
      </c>
      <c r="AM128" s="138">
        <f t="shared" si="375"/>
        <v>0.25</v>
      </c>
      <c r="AN128" s="12">
        <f t="shared" si="323"/>
        <v>8581.8431828591547</v>
      </c>
      <c r="AO128" s="138">
        <f t="shared" si="376"/>
        <v>0.25</v>
      </c>
      <c r="AP128" s="116">
        <f t="shared" si="377"/>
        <v>2175570</v>
      </c>
      <c r="AQ128" s="2">
        <f t="shared" si="378"/>
        <v>1.5748031496062995E-2</v>
      </c>
      <c r="AR128" s="8">
        <f t="shared" si="379"/>
        <v>23.250000744000005</v>
      </c>
      <c r="AS128" s="116">
        <f t="shared" si="380"/>
        <v>2610.6840000000002</v>
      </c>
      <c r="AT128" s="217">
        <f t="shared" si="381"/>
        <v>2.9950828807707972E-2</v>
      </c>
      <c r="AU128" s="207">
        <f t="shared" si="382"/>
        <v>4.7973723035810814</v>
      </c>
      <c r="AV128" s="144">
        <f t="shared" si="383"/>
        <v>2977.490017772323</v>
      </c>
      <c r="AW128" s="138">
        <f t="shared" si="384"/>
        <v>0.75</v>
      </c>
      <c r="AX128" s="116">
        <f t="shared" si="385"/>
        <v>2175570</v>
      </c>
      <c r="AY128" s="2">
        <f t="shared" si="386"/>
        <v>1.5748031496062995E-2</v>
      </c>
      <c r="AZ128" s="8">
        <f t="shared" si="387"/>
        <v>23.250000744000005</v>
      </c>
      <c r="BA128" s="116">
        <f t="shared" si="388"/>
        <v>2610.6840000000002</v>
      </c>
      <c r="BB128" s="217">
        <f t="shared" si="389"/>
        <v>8.985248642312392E-2</v>
      </c>
      <c r="BC128" s="207">
        <f t="shared" si="390"/>
        <v>4.0066794558625336</v>
      </c>
      <c r="BD128" s="144">
        <f t="shared" si="391"/>
        <v>22380.717185124464</v>
      </c>
      <c r="BE128" s="138">
        <f t="shared" si="392"/>
        <v>0.75</v>
      </c>
      <c r="BF128" s="116">
        <f t="shared" si="393"/>
        <v>2175570</v>
      </c>
      <c r="BG128" s="2">
        <f t="shared" si="394"/>
        <v>1.5748031496062995E-2</v>
      </c>
      <c r="BH128" s="8">
        <f t="shared" si="395"/>
        <v>23.250000744000005</v>
      </c>
      <c r="BI128" s="116">
        <f t="shared" si="396"/>
        <v>2610.6840000000002</v>
      </c>
      <c r="BJ128" s="217">
        <f t="shared" si="397"/>
        <v>8.985248642312392E-2</v>
      </c>
      <c r="BK128" s="207">
        <f t="shared" si="398"/>
        <v>4.0066794558625336</v>
      </c>
      <c r="BL128" s="144">
        <f t="shared" si="399"/>
        <v>22380.717185124464</v>
      </c>
      <c r="BM128" s="216">
        <f t="shared" si="400"/>
        <v>0.75</v>
      </c>
      <c r="BN128" s="216">
        <f t="shared" si="401"/>
        <v>2.3622047244094495E-2</v>
      </c>
      <c r="BO128" s="238">
        <f t="shared" si="402"/>
        <v>1.5748031496062995E-2</v>
      </c>
      <c r="BP128" s="216">
        <f t="shared" si="403"/>
        <v>0</v>
      </c>
      <c r="BQ128" s="138">
        <f t="shared" si="404"/>
        <v>0</v>
      </c>
      <c r="BR128" s="138">
        <f t="shared" si="405"/>
        <v>0.75</v>
      </c>
      <c r="BS128" s="238">
        <f t="shared" si="406"/>
        <v>0</v>
      </c>
      <c r="BT128" s="138">
        <f t="shared" si="407"/>
        <v>0</v>
      </c>
      <c r="BU128" s="138">
        <f t="shared" si="408"/>
        <v>0</v>
      </c>
      <c r="BV128" s="138">
        <f t="shared" si="409"/>
        <v>1.5</v>
      </c>
      <c r="BW128" s="238">
        <f t="shared" si="410"/>
        <v>0</v>
      </c>
      <c r="BX128" s="216">
        <f t="shared" si="411"/>
        <v>0</v>
      </c>
      <c r="BY128" s="138">
        <f t="shared" si="412"/>
        <v>0</v>
      </c>
      <c r="BZ128" s="138">
        <f t="shared" si="413"/>
        <v>2.3622047244094495E-2</v>
      </c>
      <c r="CA128" s="238">
        <f t="shared" si="414"/>
        <v>0</v>
      </c>
      <c r="CB128" s="138">
        <f t="shared" si="415"/>
        <v>0</v>
      </c>
      <c r="CC128" s="138">
        <f t="shared" si="416"/>
        <v>0</v>
      </c>
      <c r="CD128" s="138">
        <f t="shared" si="417"/>
        <v>2.3622047244094495E-2</v>
      </c>
      <c r="CE128" s="238">
        <f t="shared" si="418"/>
        <v>0</v>
      </c>
      <c r="CF128" s="216">
        <f t="shared" si="419"/>
        <v>0</v>
      </c>
      <c r="CG128" s="138">
        <f t="shared" si="420"/>
        <v>0</v>
      </c>
      <c r="CH128" s="138">
        <f t="shared" si="421"/>
        <v>1.5748031496062995E-2</v>
      </c>
      <c r="CI128" s="238">
        <f t="shared" si="422"/>
        <v>0</v>
      </c>
      <c r="CJ128" s="138">
        <f t="shared" si="423"/>
        <v>0</v>
      </c>
      <c r="CK128" s="138">
        <f t="shared" si="424"/>
        <v>0</v>
      </c>
      <c r="CL128" s="138">
        <f t="shared" si="425"/>
        <v>1.5748031496062995E-2</v>
      </c>
      <c r="CM128" s="238">
        <f t="shared" si="426"/>
        <v>0</v>
      </c>
      <c r="CN128" s="17">
        <f t="shared" si="427"/>
        <v>1.5</v>
      </c>
      <c r="CO128" s="17">
        <f t="shared" si="428"/>
        <v>2.3622047244094495E-2</v>
      </c>
      <c r="CP128" s="17">
        <f t="shared" si="429"/>
        <v>1.5748031496062995E-2</v>
      </c>
      <c r="CQ128" s="17">
        <f>$U128-IF('Inputs-Imperial'!$E$13,0,2)*($CO128+$CN128+$CP128)</f>
        <v>8.3700002678400018</v>
      </c>
      <c r="CR128" s="116">
        <f t="shared" si="430"/>
        <v>12033.309350639809</v>
      </c>
      <c r="CS128" s="8">
        <f t="shared" si="324"/>
        <v>0.31112474017084679</v>
      </c>
      <c r="CT128" s="8">
        <f t="shared" si="431"/>
        <v>0.55778556827050196</v>
      </c>
      <c r="CU128" s="8">
        <f t="shared" si="325"/>
        <v>0.31112474017084679</v>
      </c>
      <c r="CV128" s="8">
        <f t="shared" si="432"/>
        <v>0.55778556827050196</v>
      </c>
      <c r="CW128" s="216">
        <f t="shared" si="433"/>
        <v>7.8122146995694992</v>
      </c>
      <c r="CX128" s="116">
        <f t="shared" si="434"/>
        <v>12892.477531807595</v>
      </c>
      <c r="CY128" s="8">
        <f t="shared" si="435"/>
        <v>0.33333878531335565</v>
      </c>
      <c r="CZ128" s="8">
        <f t="shared" si="436"/>
        <v>0.57735499072351981</v>
      </c>
      <c r="DA128" s="8">
        <f t="shared" si="437"/>
        <v>0.33333878531335565</v>
      </c>
      <c r="DB128" s="8">
        <f t="shared" si="438"/>
        <v>0.57735499072351981</v>
      </c>
      <c r="DC128" s="216">
        <f t="shared" si="439"/>
        <v>7.7926452771164811</v>
      </c>
      <c r="DD128" s="116">
        <f t="shared" si="440"/>
        <v>12924.854000941496</v>
      </c>
      <c r="DE128" s="8">
        <f t="shared" si="441"/>
        <v>0.33417588841221341</v>
      </c>
      <c r="DF128" s="8">
        <f t="shared" si="442"/>
        <v>0.57807948278088317</v>
      </c>
      <c r="DG128" s="8">
        <f t="shared" si="443"/>
        <v>0.33417588841221341</v>
      </c>
      <c r="DH128" s="8">
        <f t="shared" si="444"/>
        <v>0.57807948278088317</v>
      </c>
      <c r="DI128" s="216">
        <f t="shared" si="445"/>
        <v>7.7919207850591192</v>
      </c>
      <c r="DJ128" s="116">
        <f t="shared" si="446"/>
        <v>12926.055752643617</v>
      </c>
      <c r="DK128" s="8">
        <f t="shared" si="447"/>
        <v>0.33420696005469985</v>
      </c>
      <c r="DL128" s="8">
        <f t="shared" si="448"/>
        <v>0.57810635704401303</v>
      </c>
      <c r="DM128" s="8">
        <f t="shared" si="449"/>
        <v>0.33420696005469985</v>
      </c>
      <c r="DN128" s="8">
        <f t="shared" si="450"/>
        <v>0.57810635704401303</v>
      </c>
      <c r="DO128" s="216">
        <f t="shared" si="451"/>
        <v>7.7918939107959879</v>
      </c>
      <c r="DP128" s="116">
        <f t="shared" si="452"/>
        <v>12926.1003346448</v>
      </c>
      <c r="DQ128" s="170">
        <f t="shared" si="453"/>
        <v>0.33420811273540724</v>
      </c>
      <c r="DR128" s="8">
        <f t="shared" si="454"/>
        <v>0.57810735398834634</v>
      </c>
      <c r="DS128" s="8">
        <f t="shared" si="455"/>
        <v>0.33420811273540724</v>
      </c>
      <c r="DT128" s="134">
        <f t="shared" si="456"/>
        <v>0.57810735398834634</v>
      </c>
      <c r="DU128" s="170">
        <f t="shared" si="310"/>
        <v>0.53422373583376614</v>
      </c>
      <c r="DV128" s="170">
        <f t="shared" si="310"/>
        <v>0.73090610603125084</v>
      </c>
      <c r="DW128" s="170">
        <f t="shared" si="310"/>
        <v>0.53422373583376614</v>
      </c>
      <c r="DX128" s="272">
        <f t="shared" si="310"/>
        <v>0.73090610603125084</v>
      </c>
      <c r="DY128" s="272">
        <f t="shared" si="457"/>
        <v>6.9081880557775008</v>
      </c>
      <c r="DZ128" s="22">
        <f t="shared" si="326"/>
        <v>278.42791517820041</v>
      </c>
      <c r="EA128" s="216">
        <f t="shared" si="327"/>
        <v>1.8241437674988103E-2</v>
      </c>
      <c r="EB128" s="12">
        <f t="shared" si="458"/>
        <v>3</v>
      </c>
      <c r="EC128" s="7">
        <f>ROUND(MAX(DV128,DX128)/'Inputs-Imperial'!$E$21,0)</f>
        <v>6</v>
      </c>
      <c r="ED128" s="12">
        <f t="shared" si="459"/>
        <v>6</v>
      </c>
      <c r="EE128" s="2">
        <f t="shared" si="460"/>
        <v>3</v>
      </c>
      <c r="EF128" s="127">
        <f t="shared" si="461"/>
        <v>3</v>
      </c>
      <c r="EG128" s="2">
        <f t="shared" si="462"/>
        <v>2.3622047244094495E-2</v>
      </c>
      <c r="EH128" s="8">
        <f t="shared" si="328"/>
        <v>0.19196894274479817</v>
      </c>
      <c r="EI128" s="138">
        <f t="shared" si="463"/>
        <v>0.25</v>
      </c>
      <c r="EJ128" s="12">
        <f t="shared" si="329"/>
        <v>10608.103568289433</v>
      </c>
      <c r="EK128" s="138">
        <f t="shared" si="464"/>
        <v>0.25</v>
      </c>
      <c r="EL128" s="116">
        <f t="shared" si="465"/>
        <v>2175570</v>
      </c>
      <c r="EM128" s="2">
        <f t="shared" si="330"/>
        <v>2.3622047244094495E-2</v>
      </c>
      <c r="EN128" s="8">
        <f t="shared" si="466"/>
        <v>8.3700002678400018</v>
      </c>
      <c r="EO128" s="116">
        <f t="shared" si="467"/>
        <v>2610.6840000000002</v>
      </c>
      <c r="EP128" s="217">
        <f t="shared" si="468"/>
        <v>0.34665311120032372</v>
      </c>
      <c r="EQ128" s="207">
        <f t="shared" si="469"/>
        <v>2.3881448213432188</v>
      </c>
      <c r="ER128" s="144">
        <f t="shared" si="470"/>
        <v>11436.747917992454</v>
      </c>
      <c r="ES128" s="138">
        <f t="shared" si="331"/>
        <v>0.25</v>
      </c>
      <c r="ET128" s="116">
        <f t="shared" si="471"/>
        <v>2175570</v>
      </c>
      <c r="EU128" s="2">
        <f t="shared" si="332"/>
        <v>2.3622047244094495E-2</v>
      </c>
      <c r="EV128" s="8">
        <f t="shared" si="472"/>
        <v>8.3700002678400018</v>
      </c>
      <c r="EW128" s="116">
        <f t="shared" si="473"/>
        <v>2610.6840000000002</v>
      </c>
      <c r="EX128" s="217">
        <f t="shared" si="474"/>
        <v>0.34665311120032372</v>
      </c>
      <c r="EY128" s="207">
        <f t="shared" si="475"/>
        <v>2.3881448213432188</v>
      </c>
      <c r="EZ128" s="144">
        <f t="shared" si="476"/>
        <v>11436.747917992454</v>
      </c>
      <c r="FA128" s="138">
        <f t="shared" si="333"/>
        <v>0.25</v>
      </c>
      <c r="FB128" s="116">
        <f t="shared" si="477"/>
        <v>2175570</v>
      </c>
      <c r="FC128" s="2">
        <f t="shared" si="334"/>
        <v>2.3622047244094495E-2</v>
      </c>
      <c r="FD128" s="8">
        <f t="shared" si="478"/>
        <v>8.3700002678400018</v>
      </c>
      <c r="FE128" s="116">
        <f t="shared" si="479"/>
        <v>2610.6840000000002</v>
      </c>
      <c r="FF128" s="217">
        <f t="shared" si="480"/>
        <v>0.34665311120032372</v>
      </c>
      <c r="FG128" s="207">
        <f t="shared" si="481"/>
        <v>2.3881448213432188</v>
      </c>
      <c r="FH128" s="144">
        <f t="shared" si="482"/>
        <v>11436.747917992454</v>
      </c>
      <c r="FI128" s="128">
        <f t="shared" si="483"/>
        <v>0.25</v>
      </c>
      <c r="FJ128" s="2">
        <f t="shared" si="484"/>
        <v>2.3622047244094495E-2</v>
      </c>
      <c r="FK128" s="127">
        <f t="shared" si="485"/>
        <v>2.3622047244094495E-2</v>
      </c>
      <c r="FL128" s="216">
        <f t="shared" si="486"/>
        <v>0</v>
      </c>
      <c r="FM128" s="138">
        <f t="shared" si="487"/>
        <v>0</v>
      </c>
      <c r="FN128" s="138">
        <f t="shared" si="488"/>
        <v>0.25</v>
      </c>
      <c r="FO128" s="238">
        <f t="shared" si="489"/>
        <v>0</v>
      </c>
      <c r="FP128" s="216">
        <f t="shared" si="335"/>
        <v>0</v>
      </c>
      <c r="FQ128" s="138">
        <f t="shared" si="336"/>
        <v>0</v>
      </c>
      <c r="FR128" s="138">
        <f t="shared" si="337"/>
        <v>0.5</v>
      </c>
      <c r="FS128" s="238">
        <f t="shared" si="338"/>
        <v>0</v>
      </c>
      <c r="FT128" s="216">
        <f t="shared" si="490"/>
        <v>0</v>
      </c>
      <c r="FU128" s="138">
        <f t="shared" si="491"/>
        <v>0</v>
      </c>
      <c r="FV128" s="138">
        <f t="shared" si="492"/>
        <v>2.3622047244094495E-2</v>
      </c>
      <c r="FW128" s="238">
        <f t="shared" si="493"/>
        <v>0</v>
      </c>
      <c r="FX128" s="216">
        <f t="shared" si="339"/>
        <v>0</v>
      </c>
      <c r="FY128" s="138">
        <f t="shared" si="340"/>
        <v>0</v>
      </c>
      <c r="FZ128" s="138">
        <f t="shared" si="341"/>
        <v>3.1496062992125991E-2</v>
      </c>
      <c r="GA128" s="238">
        <f t="shared" si="342"/>
        <v>0</v>
      </c>
      <c r="GB128" s="216">
        <f t="shared" si="494"/>
        <v>0</v>
      </c>
      <c r="GC128" s="138">
        <f t="shared" si="495"/>
        <v>0</v>
      </c>
      <c r="GD128" s="138">
        <f t="shared" si="496"/>
        <v>2.3622047244094495E-2</v>
      </c>
      <c r="GE128" s="238">
        <f t="shared" si="497"/>
        <v>0</v>
      </c>
      <c r="GF128" s="216">
        <f t="shared" si="343"/>
        <v>0</v>
      </c>
      <c r="GG128" s="138">
        <f t="shared" si="344"/>
        <v>0</v>
      </c>
      <c r="GH128" s="138">
        <f t="shared" si="345"/>
        <v>3.1496062992125991E-2</v>
      </c>
      <c r="GI128" s="238">
        <f t="shared" si="346"/>
        <v>0</v>
      </c>
      <c r="GJ128" s="216">
        <f t="shared" si="498"/>
        <v>0.5</v>
      </c>
      <c r="GK128" s="216">
        <f t="shared" si="499"/>
        <v>3.1496062992125991E-2</v>
      </c>
      <c r="GL128" s="17">
        <f t="shared" si="500"/>
        <v>3.1496062992125991E-2</v>
      </c>
      <c r="GM128" s="216">
        <f t="shared" si="347"/>
        <v>9.400291794568064E-3</v>
      </c>
      <c r="GN128" s="2">
        <f t="shared" si="501"/>
        <v>2</v>
      </c>
      <c r="GO128" s="2">
        <f t="shared" si="502"/>
        <v>2</v>
      </c>
      <c r="GP128" s="142">
        <f t="shared" si="503"/>
        <v>2</v>
      </c>
      <c r="GQ128" s="2">
        <f t="shared" si="504"/>
        <v>1.5748031496062995E-2</v>
      </c>
      <c r="GR128" s="8">
        <f t="shared" si="348"/>
        <v>9.8926636674595878E-2</v>
      </c>
      <c r="GS128" s="138">
        <f t="shared" si="505"/>
        <v>0.25</v>
      </c>
      <c r="GT128" s="12">
        <f t="shared" si="349"/>
        <v>8199.9514544007343</v>
      </c>
      <c r="GU128" s="138">
        <f t="shared" si="506"/>
        <v>0.25</v>
      </c>
      <c r="GV128" s="116">
        <f t="shared" si="507"/>
        <v>2175570</v>
      </c>
      <c r="GW128" s="2">
        <f t="shared" si="350"/>
        <v>2.3622047244094495E-2</v>
      </c>
      <c r="GX128" s="8">
        <f t="shared" si="351"/>
        <v>4.1850001339200009</v>
      </c>
      <c r="GY128" s="116">
        <f t="shared" si="508"/>
        <v>2610.6840000000002</v>
      </c>
      <c r="GZ128" s="217">
        <f t="shared" si="509"/>
        <v>1.3866124448012949</v>
      </c>
      <c r="HA128" s="207">
        <f t="shared" si="510"/>
        <v>2</v>
      </c>
      <c r="HB128" s="144">
        <f t="shared" si="511"/>
        <v>38311.739944011686</v>
      </c>
      <c r="HC128" s="138">
        <f t="shared" si="352"/>
        <v>0.25</v>
      </c>
      <c r="HD128" s="116">
        <f t="shared" si="512"/>
        <v>2175570</v>
      </c>
      <c r="HE128" s="2">
        <f t="shared" si="353"/>
        <v>2.3622047244094495E-2</v>
      </c>
      <c r="HF128" s="8">
        <f t="shared" si="513"/>
        <v>4.1850001339200009</v>
      </c>
      <c r="HG128" s="116">
        <f t="shared" si="514"/>
        <v>2610.6840000000002</v>
      </c>
      <c r="HH128" s="217">
        <f t="shared" si="515"/>
        <v>1.3866124448012949</v>
      </c>
      <c r="HI128" s="207">
        <f t="shared" si="516"/>
        <v>2</v>
      </c>
      <c r="HJ128" s="144">
        <f t="shared" si="517"/>
        <v>38311.739944011686</v>
      </c>
      <c r="HK128" s="138">
        <f t="shared" si="354"/>
        <v>0.25</v>
      </c>
      <c r="HL128" s="116">
        <f t="shared" si="518"/>
        <v>2175570</v>
      </c>
      <c r="HM128" s="2">
        <f t="shared" si="355"/>
        <v>2.3622047244094495E-2</v>
      </c>
      <c r="HN128" s="8">
        <f t="shared" si="519"/>
        <v>4.1850001339200009</v>
      </c>
      <c r="HO128" s="116">
        <f t="shared" si="520"/>
        <v>2610.6840000000002</v>
      </c>
      <c r="HP128" s="217">
        <f t="shared" si="521"/>
        <v>1.3866124448012949</v>
      </c>
      <c r="HQ128" s="207">
        <f t="shared" si="522"/>
        <v>2</v>
      </c>
      <c r="HR128" s="144">
        <f t="shared" si="523"/>
        <v>38311.739944011686</v>
      </c>
      <c r="HS128" s="128">
        <f t="shared" si="524"/>
        <v>0.25</v>
      </c>
      <c r="HT128" s="2">
        <f t="shared" si="525"/>
        <v>1.5748031496062995E-2</v>
      </c>
      <c r="HU128" s="127">
        <f t="shared" si="526"/>
        <v>1.5748031496062995E-2</v>
      </c>
      <c r="HV128" s="216">
        <f t="shared" si="527"/>
        <v>0</v>
      </c>
      <c r="HW128" s="138">
        <f t="shared" si="528"/>
        <v>0</v>
      </c>
      <c r="HX128" s="138">
        <f t="shared" si="529"/>
        <v>0.25</v>
      </c>
      <c r="HY128" s="238">
        <f t="shared" si="530"/>
        <v>0</v>
      </c>
      <c r="HZ128" s="138">
        <f t="shared" si="531"/>
        <v>0</v>
      </c>
      <c r="IA128" s="138">
        <f t="shared" si="532"/>
        <v>0</v>
      </c>
      <c r="IB128" s="138">
        <f t="shared" si="533"/>
        <v>0.25</v>
      </c>
      <c r="IC128" s="138">
        <f t="shared" si="534"/>
        <v>0</v>
      </c>
      <c r="ID128" s="216">
        <f t="shared" si="535"/>
        <v>0</v>
      </c>
      <c r="IE128" s="138">
        <f t="shared" si="536"/>
        <v>0</v>
      </c>
      <c r="IF128" s="138">
        <f t="shared" si="537"/>
        <v>1.5748031496062995E-2</v>
      </c>
      <c r="IG128" s="238">
        <f t="shared" si="538"/>
        <v>0</v>
      </c>
      <c r="IH128" s="138">
        <f t="shared" si="539"/>
        <v>0</v>
      </c>
      <c r="II128" s="138">
        <f t="shared" si="540"/>
        <v>0</v>
      </c>
      <c r="IJ128" s="138">
        <f t="shared" si="541"/>
        <v>1.5748031496062995E-2</v>
      </c>
      <c r="IK128" s="138">
        <f t="shared" si="542"/>
        <v>0</v>
      </c>
      <c r="IL128" s="216">
        <f t="shared" si="543"/>
        <v>0</v>
      </c>
      <c r="IM128" s="138">
        <f t="shared" si="544"/>
        <v>0</v>
      </c>
      <c r="IN128" s="138">
        <f t="shared" si="545"/>
        <v>1.5748031496062995E-2</v>
      </c>
      <c r="IO128" s="238">
        <f t="shared" si="546"/>
        <v>0</v>
      </c>
      <c r="IP128" s="138">
        <f t="shared" si="547"/>
        <v>0</v>
      </c>
      <c r="IQ128" s="138">
        <f t="shared" si="548"/>
        <v>0</v>
      </c>
      <c r="IR128" s="138">
        <f t="shared" si="549"/>
        <v>1.5748031496062995E-2</v>
      </c>
      <c r="IS128" s="138">
        <f t="shared" si="550"/>
        <v>0</v>
      </c>
      <c r="IT128" s="17">
        <f t="shared" si="551"/>
        <v>0.25</v>
      </c>
      <c r="IU128" s="17">
        <f t="shared" si="552"/>
        <v>1.5748031496062995E-2</v>
      </c>
      <c r="IV128" s="17">
        <f t="shared" si="553"/>
        <v>1.5748031496062995E-2</v>
      </c>
      <c r="IW128" s="253">
        <f t="shared" si="554"/>
        <v>23.250000744000005</v>
      </c>
      <c r="IX128" s="116">
        <f t="shared" si="356"/>
        <v>433.19913662303316</v>
      </c>
      <c r="IY128" s="8">
        <f t="shared" si="357"/>
        <v>1.1200490646150486E-2</v>
      </c>
      <c r="IZ128" s="8">
        <f t="shared" si="555"/>
        <v>1.1200490646150486E-2</v>
      </c>
      <c r="JA128" s="8">
        <f t="shared" si="556"/>
        <v>5.600245323075243E-3</v>
      </c>
      <c r="JB128" s="134">
        <f t="shared" si="557"/>
        <v>7.483478685127154E-2</v>
      </c>
      <c r="JC128" s="170">
        <f t="shared" si="311"/>
        <v>8.8060777215215446E-3</v>
      </c>
      <c r="JD128" s="272">
        <f t="shared" si="312"/>
        <v>9.3840703969660974E-2</v>
      </c>
      <c r="JE128" s="8"/>
      <c r="JF128" s="8"/>
    </row>
    <row r="129" spans="1:266" x14ac:dyDescent="0.25">
      <c r="A129" s="186">
        <v>69</v>
      </c>
      <c r="B129" s="187">
        <f>A129/100*'Inputs-Imperial'!$E$5</f>
        <v>16.616142263999997</v>
      </c>
      <c r="C129" s="188">
        <f>'Inputs-Imperial'!$E$10+('Inputs-Imperial'!$E$9-'Inputs-Imperial'!$E$10)*(100-A129)/100</f>
        <v>3.8572015670000006</v>
      </c>
      <c r="D129" s="187">
        <f t="shared" si="558"/>
        <v>0.24081365599999671</v>
      </c>
      <c r="E129" s="188">
        <f t="shared" si="559"/>
        <v>0.93100987906953359</v>
      </c>
      <c r="F129" s="423">
        <f>Loads!P89</f>
        <v>224.06725191268799</v>
      </c>
      <c r="G129" s="423">
        <f>Loads!M89</f>
        <v>2240.6725191268793</v>
      </c>
      <c r="H129" s="423">
        <f>Loads!N89</f>
        <v>7832.0313488550964</v>
      </c>
      <c r="I129" s="423">
        <f>Loads!V89</f>
        <v>-3921.1566464726652</v>
      </c>
      <c r="J129" s="423">
        <f>Loads!Q89</f>
        <v>783.2031348855096</v>
      </c>
      <c r="K129" s="2">
        <v>69</v>
      </c>
      <c r="L129" s="12">
        <f t="shared" si="358"/>
        <v>199.39370716799996</v>
      </c>
      <c r="M129" s="11">
        <f t="shared" si="359"/>
        <v>46.286418804000007</v>
      </c>
      <c r="N129" s="11">
        <f t="shared" si="360"/>
        <v>2.8897638719999605</v>
      </c>
      <c r="O129" s="152">
        <f t="shared" si="361"/>
        <v>134.06542258601283</v>
      </c>
      <c r="P129" s="151">
        <f t="shared" si="362"/>
        <v>224.06725191268799</v>
      </c>
      <c r="Q129" s="12">
        <f t="shared" si="363"/>
        <v>2240.6725191268793</v>
      </c>
      <c r="R129" s="12">
        <f t="shared" si="364"/>
        <v>93984.376186261157</v>
      </c>
      <c r="S129" s="12">
        <f t="shared" si="365"/>
        <v>-47053.879757671981</v>
      </c>
      <c r="T129" s="152">
        <f t="shared" si="366"/>
        <v>9398.4376186261143</v>
      </c>
      <c r="U129" s="8">
        <f t="shared" si="313"/>
        <v>8.3315553847200015</v>
      </c>
      <c r="V129" s="8">
        <f t="shared" si="314"/>
        <v>8.3315553847200015</v>
      </c>
      <c r="W129" s="134">
        <f t="shared" si="315"/>
        <v>4.1657776923600007</v>
      </c>
      <c r="X129" s="311">
        <f t="shared" si="316"/>
        <v>11.571604701000002</v>
      </c>
      <c r="Y129" s="11">
        <f t="shared" si="317"/>
        <v>34.714814103000009</v>
      </c>
      <c r="Z129" s="11">
        <f t="shared" si="318"/>
        <v>23.143209402000007</v>
      </c>
      <c r="AA129" s="316">
        <f t="shared" si="367"/>
        <v>34.714814103000009</v>
      </c>
      <c r="AB129" s="170">
        <f t="shared" si="368"/>
        <v>6.2486665385400011</v>
      </c>
      <c r="AC129" s="11">
        <f t="shared" si="369"/>
        <v>34.714814103000009</v>
      </c>
      <c r="AD129" s="152">
        <f t="shared" si="370"/>
        <v>170.36958848318909</v>
      </c>
      <c r="AE129" s="151">
        <f t="shared" si="319"/>
        <v>6.4545139503807514</v>
      </c>
      <c r="AF129" s="12">
        <f t="shared" si="320"/>
        <v>138.09354174238362</v>
      </c>
      <c r="AG129" s="216">
        <f t="shared" si="321"/>
        <v>9.4701867349496153E-3</v>
      </c>
      <c r="AH129" s="2">
        <f t="shared" si="371"/>
        <v>2</v>
      </c>
      <c r="AI129" s="2">
        <f t="shared" si="372"/>
        <v>3</v>
      </c>
      <c r="AJ129" s="127">
        <f t="shared" si="373"/>
        <v>2</v>
      </c>
      <c r="AK129" s="2">
        <f t="shared" si="374"/>
        <v>1.5748031496062995E-2</v>
      </c>
      <c r="AL129" s="8">
        <f t="shared" si="322"/>
        <v>9.9662195902290682E-2</v>
      </c>
      <c r="AM129" s="138">
        <f t="shared" si="375"/>
        <v>0.25</v>
      </c>
      <c r="AN129" s="12">
        <f t="shared" si="323"/>
        <v>8260.9213828414813</v>
      </c>
      <c r="AO129" s="138">
        <f t="shared" si="376"/>
        <v>0.25</v>
      </c>
      <c r="AP129" s="116">
        <f t="shared" si="377"/>
        <v>2175570</v>
      </c>
      <c r="AQ129" s="2">
        <f t="shared" si="378"/>
        <v>1.5748031496062995E-2</v>
      </c>
      <c r="AR129" s="8">
        <f t="shared" si="379"/>
        <v>23.143209402000007</v>
      </c>
      <c r="AS129" s="116">
        <f t="shared" si="380"/>
        <v>2610.6840000000002</v>
      </c>
      <c r="AT129" s="217">
        <f t="shared" si="381"/>
        <v>3.0227874973065595E-2</v>
      </c>
      <c r="AU129" s="207">
        <f t="shared" si="382"/>
        <v>4.7930890406968398</v>
      </c>
      <c r="AV129" s="144">
        <f t="shared" si="383"/>
        <v>3002.3489014663064</v>
      </c>
      <c r="AW129" s="138">
        <f t="shared" si="384"/>
        <v>0.75</v>
      </c>
      <c r="AX129" s="116">
        <f t="shared" si="385"/>
        <v>2175570</v>
      </c>
      <c r="AY129" s="2">
        <f t="shared" si="386"/>
        <v>1.5748031496062995E-2</v>
      </c>
      <c r="AZ129" s="8">
        <f t="shared" si="387"/>
        <v>23.143209402000007</v>
      </c>
      <c r="BA129" s="116">
        <f t="shared" si="388"/>
        <v>2610.6840000000002</v>
      </c>
      <c r="BB129" s="217">
        <f t="shared" si="389"/>
        <v>9.0683624919196779E-2</v>
      </c>
      <c r="BC129" s="207">
        <f t="shared" si="390"/>
        <v>3.9974667411677718</v>
      </c>
      <c r="BD129" s="144">
        <f t="shared" si="391"/>
        <v>22535.802692961148</v>
      </c>
      <c r="BE129" s="138">
        <f t="shared" si="392"/>
        <v>0.75</v>
      </c>
      <c r="BF129" s="116">
        <f t="shared" si="393"/>
        <v>2175570</v>
      </c>
      <c r="BG129" s="2">
        <f t="shared" si="394"/>
        <v>1.5748031496062995E-2</v>
      </c>
      <c r="BH129" s="8">
        <f t="shared" si="395"/>
        <v>23.143209402000007</v>
      </c>
      <c r="BI129" s="116">
        <f t="shared" si="396"/>
        <v>2610.6840000000002</v>
      </c>
      <c r="BJ129" s="217">
        <f t="shared" si="397"/>
        <v>9.0683624919196779E-2</v>
      </c>
      <c r="BK129" s="207">
        <f t="shared" si="398"/>
        <v>3.9974667411677718</v>
      </c>
      <c r="BL129" s="144">
        <f t="shared" si="399"/>
        <v>22535.802692961148</v>
      </c>
      <c r="BM129" s="216">
        <f t="shared" si="400"/>
        <v>0.75</v>
      </c>
      <c r="BN129" s="216">
        <f t="shared" si="401"/>
        <v>2.3622047244094495E-2</v>
      </c>
      <c r="BO129" s="238">
        <f t="shared" si="402"/>
        <v>1.5748031496062995E-2</v>
      </c>
      <c r="BP129" s="216">
        <f t="shared" si="403"/>
        <v>0</v>
      </c>
      <c r="BQ129" s="138">
        <f t="shared" si="404"/>
        <v>0</v>
      </c>
      <c r="BR129" s="138">
        <f t="shared" si="405"/>
        <v>0.75</v>
      </c>
      <c r="BS129" s="238">
        <f t="shared" si="406"/>
        <v>0</v>
      </c>
      <c r="BT129" s="138">
        <f t="shared" si="407"/>
        <v>0</v>
      </c>
      <c r="BU129" s="138">
        <f t="shared" si="408"/>
        <v>0</v>
      </c>
      <c r="BV129" s="138">
        <f t="shared" si="409"/>
        <v>1.5</v>
      </c>
      <c r="BW129" s="238">
        <f t="shared" si="410"/>
        <v>0</v>
      </c>
      <c r="BX129" s="216">
        <f t="shared" si="411"/>
        <v>0</v>
      </c>
      <c r="BY129" s="138">
        <f t="shared" si="412"/>
        <v>0</v>
      </c>
      <c r="BZ129" s="138">
        <f t="shared" si="413"/>
        <v>2.3622047244094495E-2</v>
      </c>
      <c r="CA129" s="238">
        <f t="shared" si="414"/>
        <v>0</v>
      </c>
      <c r="CB129" s="138">
        <f t="shared" si="415"/>
        <v>0</v>
      </c>
      <c r="CC129" s="138">
        <f t="shared" si="416"/>
        <v>0</v>
      </c>
      <c r="CD129" s="138">
        <f t="shared" si="417"/>
        <v>2.3622047244094495E-2</v>
      </c>
      <c r="CE129" s="238">
        <f t="shared" si="418"/>
        <v>0</v>
      </c>
      <c r="CF129" s="216">
        <f t="shared" si="419"/>
        <v>0</v>
      </c>
      <c r="CG129" s="138">
        <f t="shared" si="420"/>
        <v>0</v>
      </c>
      <c r="CH129" s="138">
        <f t="shared" si="421"/>
        <v>1.5748031496062995E-2</v>
      </c>
      <c r="CI129" s="238">
        <f t="shared" si="422"/>
        <v>0</v>
      </c>
      <c r="CJ129" s="138">
        <f t="shared" si="423"/>
        <v>0</v>
      </c>
      <c r="CK129" s="138">
        <f t="shared" si="424"/>
        <v>0</v>
      </c>
      <c r="CL129" s="138">
        <f t="shared" si="425"/>
        <v>1.5748031496062995E-2</v>
      </c>
      <c r="CM129" s="238">
        <f t="shared" si="426"/>
        <v>0</v>
      </c>
      <c r="CN129" s="17">
        <f t="shared" si="427"/>
        <v>1.5</v>
      </c>
      <c r="CO129" s="17">
        <f t="shared" si="428"/>
        <v>2.3622047244094495E-2</v>
      </c>
      <c r="CP129" s="17">
        <f t="shared" si="429"/>
        <v>1.5748031496062995E-2</v>
      </c>
      <c r="CQ129" s="17">
        <f>$U129-IF('Inputs-Imperial'!$E$13,0,2)*($CO129+$CN129+$CP129)</f>
        <v>8.3315553847200015</v>
      </c>
      <c r="CR129" s="116">
        <f t="shared" si="430"/>
        <v>11280.53188707449</v>
      </c>
      <c r="CS129" s="8">
        <f t="shared" si="324"/>
        <v>0.29166145821460127</v>
      </c>
      <c r="CT129" s="8">
        <f t="shared" si="431"/>
        <v>0.54005690275618301</v>
      </c>
      <c r="CU129" s="8">
        <f t="shared" si="325"/>
        <v>0.29166145821460127</v>
      </c>
      <c r="CV129" s="8">
        <f t="shared" si="432"/>
        <v>0.54005690275618301</v>
      </c>
      <c r="CW129" s="216">
        <f t="shared" si="433"/>
        <v>7.791498481963818</v>
      </c>
      <c r="CX129" s="116">
        <f t="shared" si="434"/>
        <v>12062.426297562821</v>
      </c>
      <c r="CY129" s="8">
        <f t="shared" si="435"/>
        <v>0.31187756736759037</v>
      </c>
      <c r="CZ129" s="8">
        <f t="shared" si="436"/>
        <v>0.55845999621064213</v>
      </c>
      <c r="DA129" s="8">
        <f t="shared" si="437"/>
        <v>0.31187756736759037</v>
      </c>
      <c r="DB129" s="8">
        <f t="shared" si="438"/>
        <v>0.55845999621064213</v>
      </c>
      <c r="DC129" s="216">
        <f t="shared" si="439"/>
        <v>7.7730953885093585</v>
      </c>
      <c r="DD129" s="116">
        <f t="shared" si="440"/>
        <v>12090.984542038983</v>
      </c>
      <c r="DE129" s="8">
        <f t="shared" si="441"/>
        <v>0.31261594914881741</v>
      </c>
      <c r="DF129" s="8">
        <f t="shared" si="442"/>
        <v>0.55912069282831722</v>
      </c>
      <c r="DG129" s="8">
        <f t="shared" si="443"/>
        <v>0.31261594914881741</v>
      </c>
      <c r="DH129" s="8">
        <f t="shared" si="444"/>
        <v>0.55912069282831722</v>
      </c>
      <c r="DI129" s="216">
        <f t="shared" si="445"/>
        <v>7.7724346918916849</v>
      </c>
      <c r="DJ129" s="116">
        <f t="shared" si="446"/>
        <v>12092.012337434884</v>
      </c>
      <c r="DK129" s="8">
        <f t="shared" si="447"/>
        <v>0.31264252310002077</v>
      </c>
      <c r="DL129" s="8">
        <f t="shared" si="448"/>
        <v>0.55914445637958421</v>
      </c>
      <c r="DM129" s="8">
        <f t="shared" si="449"/>
        <v>0.31264252310002077</v>
      </c>
      <c r="DN129" s="8">
        <f t="shared" si="450"/>
        <v>0.55914445637958421</v>
      </c>
      <c r="DO129" s="216">
        <f t="shared" si="451"/>
        <v>7.7724109283404168</v>
      </c>
      <c r="DP129" s="116">
        <f t="shared" si="452"/>
        <v>12092.049307836702</v>
      </c>
      <c r="DQ129" s="170">
        <f t="shared" si="453"/>
        <v>0.31264347898059563</v>
      </c>
      <c r="DR129" s="8">
        <f t="shared" si="454"/>
        <v>0.5591453111496113</v>
      </c>
      <c r="DS129" s="8">
        <f t="shared" si="455"/>
        <v>0.31264347898059563</v>
      </c>
      <c r="DT129" s="134">
        <f t="shared" si="456"/>
        <v>0.5591453111496113</v>
      </c>
      <c r="DU129" s="170">
        <f t="shared" si="310"/>
        <v>0.53422373583376614</v>
      </c>
      <c r="DV129" s="170">
        <f t="shared" si="310"/>
        <v>0.73090610603125084</v>
      </c>
      <c r="DW129" s="170">
        <f t="shared" si="310"/>
        <v>0.53422373583376614</v>
      </c>
      <c r="DX129" s="272">
        <f t="shared" si="310"/>
        <v>0.73090610603125084</v>
      </c>
      <c r="DY129" s="272">
        <f t="shared" si="457"/>
        <v>6.8697431726575005</v>
      </c>
      <c r="DZ129" s="22">
        <f t="shared" si="326"/>
        <v>268.93808126586458</v>
      </c>
      <c r="EA129" s="216">
        <f t="shared" si="327"/>
        <v>1.7619703271140451E-2</v>
      </c>
      <c r="EB129" s="12">
        <f t="shared" si="458"/>
        <v>3</v>
      </c>
      <c r="EC129" s="7">
        <f>ROUND(MAX(DV129,DX129)/'Inputs-Imperial'!$E$21,0)</f>
        <v>6</v>
      </c>
      <c r="ED129" s="12">
        <f t="shared" si="459"/>
        <v>6</v>
      </c>
      <c r="EE129" s="2">
        <f t="shared" si="460"/>
        <v>3</v>
      </c>
      <c r="EF129" s="127">
        <f t="shared" si="461"/>
        <v>3</v>
      </c>
      <c r="EG129" s="2">
        <f t="shared" si="462"/>
        <v>2.3622047244094495E-2</v>
      </c>
      <c r="EH129" s="8">
        <f t="shared" si="328"/>
        <v>0.18542594441861068</v>
      </c>
      <c r="EI129" s="138">
        <f t="shared" si="463"/>
        <v>0.25</v>
      </c>
      <c r="EJ129" s="12">
        <f t="shared" si="329"/>
        <v>10246.540896229437</v>
      </c>
      <c r="EK129" s="138">
        <f t="shared" si="464"/>
        <v>0.25</v>
      </c>
      <c r="EL129" s="116">
        <f t="shared" si="465"/>
        <v>2175570</v>
      </c>
      <c r="EM129" s="2">
        <f t="shared" si="330"/>
        <v>2.3622047244094495E-2</v>
      </c>
      <c r="EN129" s="8">
        <f t="shared" si="466"/>
        <v>8.3315553847200015</v>
      </c>
      <c r="EO129" s="116">
        <f t="shared" si="467"/>
        <v>2610.6840000000002</v>
      </c>
      <c r="EP129" s="217">
        <f t="shared" si="468"/>
        <v>0.3498596640401111</v>
      </c>
      <c r="EQ129" s="207">
        <f t="shared" si="469"/>
        <v>2.3724906500179817</v>
      </c>
      <c r="ER129" s="144">
        <f t="shared" si="470"/>
        <v>11466.877449864905</v>
      </c>
      <c r="ES129" s="138">
        <f t="shared" si="331"/>
        <v>0.25</v>
      </c>
      <c r="ET129" s="116">
        <f t="shared" si="471"/>
        <v>2175570</v>
      </c>
      <c r="EU129" s="2">
        <f t="shared" si="332"/>
        <v>2.3622047244094495E-2</v>
      </c>
      <c r="EV129" s="8">
        <f t="shared" si="472"/>
        <v>8.3315553847200015</v>
      </c>
      <c r="EW129" s="116">
        <f t="shared" si="473"/>
        <v>2610.6840000000002</v>
      </c>
      <c r="EX129" s="217">
        <f t="shared" si="474"/>
        <v>0.3498596640401111</v>
      </c>
      <c r="EY129" s="207">
        <f t="shared" si="475"/>
        <v>2.3724906500179817</v>
      </c>
      <c r="EZ129" s="144">
        <f t="shared" si="476"/>
        <v>11466.877449864905</v>
      </c>
      <c r="FA129" s="138">
        <f t="shared" si="333"/>
        <v>0.25</v>
      </c>
      <c r="FB129" s="116">
        <f t="shared" si="477"/>
        <v>2175570</v>
      </c>
      <c r="FC129" s="2">
        <f t="shared" si="334"/>
        <v>2.3622047244094495E-2</v>
      </c>
      <c r="FD129" s="8">
        <f t="shared" si="478"/>
        <v>8.3315553847200015</v>
      </c>
      <c r="FE129" s="116">
        <f t="shared" si="479"/>
        <v>2610.6840000000002</v>
      </c>
      <c r="FF129" s="217">
        <f t="shared" si="480"/>
        <v>0.3498596640401111</v>
      </c>
      <c r="FG129" s="207">
        <f t="shared" si="481"/>
        <v>2.3724906500179817</v>
      </c>
      <c r="FH129" s="144">
        <f t="shared" si="482"/>
        <v>11466.877449864905</v>
      </c>
      <c r="FI129" s="128">
        <f t="shared" si="483"/>
        <v>0.25</v>
      </c>
      <c r="FJ129" s="2">
        <f t="shared" si="484"/>
        <v>2.3622047244094495E-2</v>
      </c>
      <c r="FK129" s="127">
        <f t="shared" si="485"/>
        <v>2.3622047244094495E-2</v>
      </c>
      <c r="FL129" s="216">
        <f t="shared" si="486"/>
        <v>0</v>
      </c>
      <c r="FM129" s="138">
        <f t="shared" si="487"/>
        <v>0</v>
      </c>
      <c r="FN129" s="138">
        <f t="shared" si="488"/>
        <v>0.25</v>
      </c>
      <c r="FO129" s="238">
        <f t="shared" si="489"/>
        <v>0</v>
      </c>
      <c r="FP129" s="216">
        <f t="shared" si="335"/>
        <v>0</v>
      </c>
      <c r="FQ129" s="138">
        <f t="shared" si="336"/>
        <v>0</v>
      </c>
      <c r="FR129" s="138">
        <f t="shared" si="337"/>
        <v>0.5</v>
      </c>
      <c r="FS129" s="238">
        <f t="shared" si="338"/>
        <v>0</v>
      </c>
      <c r="FT129" s="216">
        <f t="shared" si="490"/>
        <v>0</v>
      </c>
      <c r="FU129" s="138">
        <f t="shared" si="491"/>
        <v>0</v>
      </c>
      <c r="FV129" s="138">
        <f t="shared" si="492"/>
        <v>2.3622047244094495E-2</v>
      </c>
      <c r="FW129" s="238">
        <f t="shared" si="493"/>
        <v>0</v>
      </c>
      <c r="FX129" s="216">
        <f t="shared" si="339"/>
        <v>0</v>
      </c>
      <c r="FY129" s="138">
        <f t="shared" si="340"/>
        <v>0</v>
      </c>
      <c r="FZ129" s="138">
        <f t="shared" si="341"/>
        <v>3.1496062992125991E-2</v>
      </c>
      <c r="GA129" s="238">
        <f t="shared" si="342"/>
        <v>0</v>
      </c>
      <c r="GB129" s="216">
        <f t="shared" si="494"/>
        <v>0</v>
      </c>
      <c r="GC129" s="138">
        <f t="shared" si="495"/>
        <v>0</v>
      </c>
      <c r="GD129" s="138">
        <f t="shared" si="496"/>
        <v>2.3622047244094495E-2</v>
      </c>
      <c r="GE129" s="238">
        <f t="shared" si="497"/>
        <v>0</v>
      </c>
      <c r="GF129" s="216">
        <f t="shared" si="343"/>
        <v>0</v>
      </c>
      <c r="GG129" s="138">
        <f t="shared" si="344"/>
        <v>0</v>
      </c>
      <c r="GH129" s="138">
        <f t="shared" si="345"/>
        <v>3.1496062992125991E-2</v>
      </c>
      <c r="GI129" s="238">
        <f t="shared" si="346"/>
        <v>0</v>
      </c>
      <c r="GJ129" s="216">
        <f t="shared" si="498"/>
        <v>0.5</v>
      </c>
      <c r="GK129" s="216">
        <f t="shared" si="499"/>
        <v>3.1496062992125991E-2</v>
      </c>
      <c r="GL129" s="17">
        <f t="shared" si="500"/>
        <v>3.1496062992125991E-2</v>
      </c>
      <c r="GM129" s="216">
        <f t="shared" si="347"/>
        <v>9.0473138564422448E-3</v>
      </c>
      <c r="GN129" s="2">
        <f t="shared" si="501"/>
        <v>2</v>
      </c>
      <c r="GO129" s="2">
        <f t="shared" si="502"/>
        <v>2</v>
      </c>
      <c r="GP129" s="142">
        <f t="shared" si="503"/>
        <v>2</v>
      </c>
      <c r="GQ129" s="2">
        <f t="shared" si="504"/>
        <v>1.5748031496062995E-2</v>
      </c>
      <c r="GR129" s="8">
        <f t="shared" si="348"/>
        <v>9.521197323624403E-2</v>
      </c>
      <c r="GS129" s="138">
        <f t="shared" si="505"/>
        <v>0.25</v>
      </c>
      <c r="GT129" s="12">
        <f t="shared" si="349"/>
        <v>7892.0459105772225</v>
      </c>
      <c r="GU129" s="138">
        <f t="shared" si="506"/>
        <v>0.25</v>
      </c>
      <c r="GV129" s="116">
        <f t="shared" si="507"/>
        <v>2175570</v>
      </c>
      <c r="GW129" s="2">
        <f t="shared" si="350"/>
        <v>2.3622047244094495E-2</v>
      </c>
      <c r="GX129" s="8">
        <f t="shared" si="351"/>
        <v>4.1657776923600007</v>
      </c>
      <c r="GY129" s="116">
        <f t="shared" si="508"/>
        <v>2610.6840000000002</v>
      </c>
      <c r="GZ129" s="217">
        <f t="shared" si="509"/>
        <v>1.3994386561604444</v>
      </c>
      <c r="HA129" s="207">
        <f t="shared" si="510"/>
        <v>2</v>
      </c>
      <c r="HB129" s="144">
        <f t="shared" si="511"/>
        <v>38666.124816223812</v>
      </c>
      <c r="HC129" s="138">
        <f t="shared" si="352"/>
        <v>0.25</v>
      </c>
      <c r="HD129" s="116">
        <f t="shared" si="512"/>
        <v>2175570</v>
      </c>
      <c r="HE129" s="2">
        <f t="shared" si="353"/>
        <v>2.3622047244094495E-2</v>
      </c>
      <c r="HF129" s="8">
        <f t="shared" si="513"/>
        <v>4.1657776923600007</v>
      </c>
      <c r="HG129" s="116">
        <f t="shared" si="514"/>
        <v>2610.6840000000002</v>
      </c>
      <c r="HH129" s="217">
        <f t="shared" si="515"/>
        <v>1.3994386561604444</v>
      </c>
      <c r="HI129" s="207">
        <f t="shared" si="516"/>
        <v>2</v>
      </c>
      <c r="HJ129" s="144">
        <f t="shared" si="517"/>
        <v>38666.124816223812</v>
      </c>
      <c r="HK129" s="138">
        <f t="shared" si="354"/>
        <v>0.25</v>
      </c>
      <c r="HL129" s="116">
        <f t="shared" si="518"/>
        <v>2175570</v>
      </c>
      <c r="HM129" s="2">
        <f t="shared" si="355"/>
        <v>2.3622047244094495E-2</v>
      </c>
      <c r="HN129" s="8">
        <f t="shared" si="519"/>
        <v>4.1657776923600007</v>
      </c>
      <c r="HO129" s="116">
        <f t="shared" si="520"/>
        <v>2610.6840000000002</v>
      </c>
      <c r="HP129" s="217">
        <f t="shared" si="521"/>
        <v>1.3994386561604444</v>
      </c>
      <c r="HQ129" s="207">
        <f t="shared" si="522"/>
        <v>2</v>
      </c>
      <c r="HR129" s="144">
        <f t="shared" si="523"/>
        <v>38666.124816223812</v>
      </c>
      <c r="HS129" s="128">
        <f t="shared" si="524"/>
        <v>0.25</v>
      </c>
      <c r="HT129" s="2">
        <f t="shared" si="525"/>
        <v>1.5748031496062995E-2</v>
      </c>
      <c r="HU129" s="127">
        <f t="shared" si="526"/>
        <v>1.5748031496062995E-2</v>
      </c>
      <c r="HV129" s="216">
        <f t="shared" si="527"/>
        <v>0</v>
      </c>
      <c r="HW129" s="138">
        <f t="shared" si="528"/>
        <v>0</v>
      </c>
      <c r="HX129" s="138">
        <f t="shared" si="529"/>
        <v>0.25</v>
      </c>
      <c r="HY129" s="238">
        <f t="shared" si="530"/>
        <v>0</v>
      </c>
      <c r="HZ129" s="138">
        <f t="shared" si="531"/>
        <v>0</v>
      </c>
      <c r="IA129" s="138">
        <f t="shared" si="532"/>
        <v>0</v>
      </c>
      <c r="IB129" s="138">
        <f t="shared" si="533"/>
        <v>0.25</v>
      </c>
      <c r="IC129" s="138">
        <f t="shared" si="534"/>
        <v>0</v>
      </c>
      <c r="ID129" s="216">
        <f t="shared" si="535"/>
        <v>0</v>
      </c>
      <c r="IE129" s="138">
        <f t="shared" si="536"/>
        <v>0</v>
      </c>
      <c r="IF129" s="138">
        <f t="shared" si="537"/>
        <v>1.5748031496062995E-2</v>
      </c>
      <c r="IG129" s="238">
        <f t="shared" si="538"/>
        <v>0</v>
      </c>
      <c r="IH129" s="138">
        <f t="shared" si="539"/>
        <v>0</v>
      </c>
      <c r="II129" s="138">
        <f t="shared" si="540"/>
        <v>0</v>
      </c>
      <c r="IJ129" s="138">
        <f t="shared" si="541"/>
        <v>1.5748031496062995E-2</v>
      </c>
      <c r="IK129" s="138">
        <f t="shared" si="542"/>
        <v>0</v>
      </c>
      <c r="IL129" s="216">
        <f t="shared" si="543"/>
        <v>0</v>
      </c>
      <c r="IM129" s="138">
        <f t="shared" si="544"/>
        <v>0</v>
      </c>
      <c r="IN129" s="138">
        <f t="shared" si="545"/>
        <v>1.5748031496062995E-2</v>
      </c>
      <c r="IO129" s="238">
        <f t="shared" si="546"/>
        <v>0</v>
      </c>
      <c r="IP129" s="138">
        <f t="shared" si="547"/>
        <v>0</v>
      </c>
      <c r="IQ129" s="138">
        <f t="shared" si="548"/>
        <v>0</v>
      </c>
      <c r="IR129" s="138">
        <f t="shared" si="549"/>
        <v>1.5748031496062995E-2</v>
      </c>
      <c r="IS129" s="138">
        <f t="shared" si="550"/>
        <v>0</v>
      </c>
      <c r="IT129" s="17">
        <f t="shared" si="551"/>
        <v>0.25</v>
      </c>
      <c r="IU129" s="17">
        <f t="shared" si="552"/>
        <v>1.5748031496062995E-2</v>
      </c>
      <c r="IV129" s="17">
        <f t="shared" si="553"/>
        <v>1.5748031496062995E-2</v>
      </c>
      <c r="IW129" s="253">
        <f t="shared" si="554"/>
        <v>23.143209402000007</v>
      </c>
      <c r="IX129" s="116">
        <f t="shared" si="356"/>
        <v>406.09914793468158</v>
      </c>
      <c r="IY129" s="8">
        <f t="shared" si="357"/>
        <v>1.0499812495725644E-2</v>
      </c>
      <c r="IZ129" s="8">
        <f t="shared" si="555"/>
        <v>1.0499812495725644E-2</v>
      </c>
      <c r="JA129" s="8">
        <f t="shared" si="556"/>
        <v>5.2499062478628218E-3</v>
      </c>
      <c r="JB129" s="134">
        <f t="shared" si="557"/>
        <v>7.2456236776849106E-2</v>
      </c>
      <c r="JC129" s="170">
        <f t="shared" si="311"/>
        <v>8.8060777215215446E-3</v>
      </c>
      <c r="JD129" s="272">
        <f t="shared" si="312"/>
        <v>9.3840703969660974E-2</v>
      </c>
      <c r="JE129" s="8"/>
      <c r="JF129" s="8"/>
    </row>
    <row r="130" spans="1:266" x14ac:dyDescent="0.25">
      <c r="A130" s="186">
        <v>70</v>
      </c>
      <c r="B130" s="187">
        <f>A130/100*'Inputs-Imperial'!$E$5</f>
        <v>16.856955919999997</v>
      </c>
      <c r="C130" s="188">
        <f>'Inputs-Imperial'!$E$10+('Inputs-Imperial'!$E$9-'Inputs-Imperial'!$E$10)*(100-A130)/100</f>
        <v>3.8394030100000003</v>
      </c>
      <c r="D130" s="187">
        <f t="shared" si="558"/>
        <v>0.24081365600000026</v>
      </c>
      <c r="E130" s="188">
        <f t="shared" si="559"/>
        <v>0.92672374348685282</v>
      </c>
      <c r="F130" s="423">
        <f>Loads!P90</f>
        <v>215.1698640385913</v>
      </c>
      <c r="G130" s="423">
        <f>Loads!M90</f>
        <v>2151.6986403859123</v>
      </c>
      <c r="H130" s="423">
        <f>Loads!N90</f>
        <v>7292.4468076254225</v>
      </c>
      <c r="I130" s="423">
        <f>Loads!V90</f>
        <v>-3733.876272038046</v>
      </c>
      <c r="J130" s="423">
        <f>Loads!Q90</f>
        <v>729.2446807625422</v>
      </c>
      <c r="K130" s="2">
        <v>70</v>
      </c>
      <c r="L130" s="12">
        <f t="shared" si="358"/>
        <v>202.28347103999997</v>
      </c>
      <c r="M130" s="11">
        <f t="shared" si="359"/>
        <v>46.072836120000005</v>
      </c>
      <c r="N130" s="11">
        <f t="shared" si="360"/>
        <v>2.8897638720000032</v>
      </c>
      <c r="O130" s="152">
        <f t="shared" si="361"/>
        <v>133.4482190621068</v>
      </c>
      <c r="P130" s="151">
        <f t="shared" si="362"/>
        <v>215.1698640385913</v>
      </c>
      <c r="Q130" s="12">
        <f t="shared" si="363"/>
        <v>2151.6986403859123</v>
      </c>
      <c r="R130" s="12">
        <f t="shared" si="364"/>
        <v>87509.361691505066</v>
      </c>
      <c r="S130" s="12">
        <f t="shared" si="365"/>
        <v>-44806.515264456553</v>
      </c>
      <c r="T130" s="152">
        <f t="shared" si="366"/>
        <v>8750.9361691505073</v>
      </c>
      <c r="U130" s="8">
        <f t="shared" si="313"/>
        <v>8.2931105016000011</v>
      </c>
      <c r="V130" s="8">
        <f t="shared" si="314"/>
        <v>8.2931105016000011</v>
      </c>
      <c r="W130" s="134">
        <f t="shared" si="315"/>
        <v>4.1465552508000005</v>
      </c>
      <c r="X130" s="311">
        <f t="shared" si="316"/>
        <v>11.518209030000001</v>
      </c>
      <c r="Y130" s="11">
        <f t="shared" si="317"/>
        <v>34.554627090000004</v>
      </c>
      <c r="Z130" s="11">
        <f t="shared" si="318"/>
        <v>23.036418060000003</v>
      </c>
      <c r="AA130" s="316">
        <f t="shared" si="367"/>
        <v>34.554627090000004</v>
      </c>
      <c r="AB130" s="170">
        <f t="shared" si="368"/>
        <v>6.2198328762000008</v>
      </c>
      <c r="AC130" s="11">
        <f t="shared" si="369"/>
        <v>34.554627090000004</v>
      </c>
      <c r="AD130" s="152">
        <f t="shared" si="370"/>
        <v>168.80091926764493</v>
      </c>
      <c r="AE130" s="151">
        <f t="shared" si="319"/>
        <v>6.2269479418245774</v>
      </c>
      <c r="AF130" s="12">
        <f t="shared" si="320"/>
        <v>132.71999779045305</v>
      </c>
      <c r="AG130" s="216">
        <f t="shared" si="321"/>
        <v>9.1032253324279579E-3</v>
      </c>
      <c r="AH130" s="2">
        <f t="shared" si="371"/>
        <v>2</v>
      </c>
      <c r="AI130" s="2">
        <f t="shared" si="372"/>
        <v>3</v>
      </c>
      <c r="AJ130" s="127">
        <f t="shared" si="373"/>
        <v>2</v>
      </c>
      <c r="AK130" s="2">
        <f t="shared" si="374"/>
        <v>1.5748031496062995E-2</v>
      </c>
      <c r="AL130" s="8">
        <f t="shared" si="322"/>
        <v>9.5800373510581793E-2</v>
      </c>
      <c r="AM130" s="138">
        <f t="shared" si="375"/>
        <v>0.25</v>
      </c>
      <c r="AN130" s="12">
        <f t="shared" si="323"/>
        <v>7940.8179485996652</v>
      </c>
      <c r="AO130" s="138">
        <f t="shared" si="376"/>
        <v>0.25</v>
      </c>
      <c r="AP130" s="116">
        <f t="shared" si="377"/>
        <v>2175570</v>
      </c>
      <c r="AQ130" s="2">
        <f t="shared" si="378"/>
        <v>1.5748031496062995E-2</v>
      </c>
      <c r="AR130" s="8">
        <f t="shared" si="379"/>
        <v>23.036418060000003</v>
      </c>
      <c r="AS130" s="116">
        <f t="shared" si="380"/>
        <v>2610.6840000000002</v>
      </c>
      <c r="AT130" s="217">
        <f t="shared" si="381"/>
        <v>3.0508783022188134E-2</v>
      </c>
      <c r="AU130" s="207">
        <f t="shared" si="382"/>
        <v>4.7887524880334347</v>
      </c>
      <c r="AV130" s="144">
        <f t="shared" si="383"/>
        <v>3027.5081483678473</v>
      </c>
      <c r="AW130" s="138">
        <f t="shared" si="384"/>
        <v>0.75</v>
      </c>
      <c r="AX130" s="116">
        <f t="shared" si="385"/>
        <v>2175570</v>
      </c>
      <c r="AY130" s="2">
        <f t="shared" si="386"/>
        <v>1.5748031496062995E-2</v>
      </c>
      <c r="AZ130" s="8">
        <f t="shared" si="387"/>
        <v>23.036418060000003</v>
      </c>
      <c r="BA130" s="116">
        <f t="shared" si="388"/>
        <v>2610.6840000000002</v>
      </c>
      <c r="BB130" s="217">
        <f t="shared" si="389"/>
        <v>9.15263490665644E-2</v>
      </c>
      <c r="BC130" s="207">
        <f t="shared" si="390"/>
        <v>3.9881703095911698</v>
      </c>
      <c r="BD130" s="144">
        <f t="shared" si="391"/>
        <v>22692.332346648356</v>
      </c>
      <c r="BE130" s="138">
        <f t="shared" si="392"/>
        <v>0.75</v>
      </c>
      <c r="BF130" s="116">
        <f t="shared" si="393"/>
        <v>2175570</v>
      </c>
      <c r="BG130" s="2">
        <f t="shared" si="394"/>
        <v>1.5748031496062995E-2</v>
      </c>
      <c r="BH130" s="8">
        <f t="shared" si="395"/>
        <v>23.036418060000003</v>
      </c>
      <c r="BI130" s="116">
        <f t="shared" si="396"/>
        <v>2610.6840000000002</v>
      </c>
      <c r="BJ130" s="217">
        <f t="shared" si="397"/>
        <v>9.15263490665644E-2</v>
      </c>
      <c r="BK130" s="207">
        <f t="shared" si="398"/>
        <v>3.9881703095911698</v>
      </c>
      <c r="BL130" s="144">
        <f t="shared" si="399"/>
        <v>22692.332346648356</v>
      </c>
      <c r="BM130" s="216">
        <f t="shared" si="400"/>
        <v>0.75</v>
      </c>
      <c r="BN130" s="216">
        <f t="shared" si="401"/>
        <v>2.3622047244094495E-2</v>
      </c>
      <c r="BO130" s="238">
        <f t="shared" si="402"/>
        <v>1.5748031496062995E-2</v>
      </c>
      <c r="BP130" s="216">
        <f t="shared" si="403"/>
        <v>0</v>
      </c>
      <c r="BQ130" s="138">
        <f t="shared" si="404"/>
        <v>0</v>
      </c>
      <c r="BR130" s="138">
        <f t="shared" si="405"/>
        <v>0.75</v>
      </c>
      <c r="BS130" s="238">
        <f t="shared" si="406"/>
        <v>0</v>
      </c>
      <c r="BT130" s="138">
        <f t="shared" si="407"/>
        <v>0</v>
      </c>
      <c r="BU130" s="138">
        <f t="shared" si="408"/>
        <v>0</v>
      </c>
      <c r="BV130" s="138">
        <f t="shared" si="409"/>
        <v>1.5</v>
      </c>
      <c r="BW130" s="238">
        <f t="shared" si="410"/>
        <v>0</v>
      </c>
      <c r="BX130" s="216">
        <f t="shared" si="411"/>
        <v>0</v>
      </c>
      <c r="BY130" s="138">
        <f t="shared" si="412"/>
        <v>0</v>
      </c>
      <c r="BZ130" s="138">
        <f t="shared" si="413"/>
        <v>2.3622047244094495E-2</v>
      </c>
      <c r="CA130" s="238">
        <f t="shared" si="414"/>
        <v>0</v>
      </c>
      <c r="CB130" s="138">
        <f t="shared" si="415"/>
        <v>0</v>
      </c>
      <c r="CC130" s="138">
        <f t="shared" si="416"/>
        <v>0</v>
      </c>
      <c r="CD130" s="138">
        <f t="shared" si="417"/>
        <v>2.3622047244094495E-2</v>
      </c>
      <c r="CE130" s="238">
        <f t="shared" si="418"/>
        <v>0</v>
      </c>
      <c r="CF130" s="216">
        <f t="shared" si="419"/>
        <v>0</v>
      </c>
      <c r="CG130" s="138">
        <f t="shared" si="420"/>
        <v>0</v>
      </c>
      <c r="CH130" s="138">
        <f t="shared" si="421"/>
        <v>1.5748031496062995E-2</v>
      </c>
      <c r="CI130" s="238">
        <f t="shared" si="422"/>
        <v>0</v>
      </c>
      <c r="CJ130" s="138">
        <f t="shared" si="423"/>
        <v>0</v>
      </c>
      <c r="CK130" s="138">
        <f t="shared" si="424"/>
        <v>0</v>
      </c>
      <c r="CL130" s="138">
        <f t="shared" si="425"/>
        <v>1.5748031496062995E-2</v>
      </c>
      <c r="CM130" s="238">
        <f t="shared" si="426"/>
        <v>0</v>
      </c>
      <c r="CN130" s="17">
        <f t="shared" si="427"/>
        <v>1.5</v>
      </c>
      <c r="CO130" s="17">
        <f t="shared" si="428"/>
        <v>2.3622047244094495E-2</v>
      </c>
      <c r="CP130" s="17">
        <f t="shared" si="429"/>
        <v>1.5748031496062995E-2</v>
      </c>
      <c r="CQ130" s="17">
        <f>$U130-IF('Inputs-Imperial'!$E$13,0,2)*($CO130+$CN130+$CP130)</f>
        <v>8.2931105016000011</v>
      </c>
      <c r="CR130" s="116">
        <f t="shared" si="430"/>
        <v>10552.055428975867</v>
      </c>
      <c r="CS130" s="8">
        <f t="shared" si="324"/>
        <v>0.27282648587721492</v>
      </c>
      <c r="CT130" s="8">
        <f t="shared" si="431"/>
        <v>0.52232794858902099</v>
      </c>
      <c r="CU130" s="8">
        <f t="shared" si="325"/>
        <v>0.27282648587721492</v>
      </c>
      <c r="CV130" s="8">
        <f t="shared" si="432"/>
        <v>0.52232794858902099</v>
      </c>
      <c r="CW130" s="216">
        <f t="shared" si="433"/>
        <v>7.7707825530109806</v>
      </c>
      <c r="CX130" s="116">
        <f t="shared" si="434"/>
        <v>11261.331930797292</v>
      </c>
      <c r="CY130" s="8">
        <f t="shared" si="435"/>
        <v>0.29116503771763153</v>
      </c>
      <c r="CZ130" s="8">
        <f t="shared" si="436"/>
        <v>0.53959710684698037</v>
      </c>
      <c r="DA130" s="8">
        <f t="shared" si="437"/>
        <v>0.29116503771763153</v>
      </c>
      <c r="DB130" s="8">
        <f t="shared" si="438"/>
        <v>0.53959710684698037</v>
      </c>
      <c r="DC130" s="216">
        <f t="shared" si="439"/>
        <v>7.7535133947530213</v>
      </c>
      <c r="DD130" s="116">
        <f t="shared" si="440"/>
        <v>11286.413943738673</v>
      </c>
      <c r="DE130" s="8">
        <f t="shared" si="441"/>
        <v>0.29181354051365865</v>
      </c>
      <c r="DF130" s="8">
        <f t="shared" si="442"/>
        <v>0.5401976865126864</v>
      </c>
      <c r="DG130" s="8">
        <f t="shared" si="443"/>
        <v>0.29181354051365865</v>
      </c>
      <c r="DH130" s="8">
        <f t="shared" si="444"/>
        <v>0.5401976865126864</v>
      </c>
      <c r="DI130" s="216">
        <f t="shared" si="445"/>
        <v>7.7529128150873143</v>
      </c>
      <c r="DJ130" s="116">
        <f t="shared" si="446"/>
        <v>11287.288246194412</v>
      </c>
      <c r="DK130" s="8">
        <f t="shared" si="447"/>
        <v>0.29183614585990597</v>
      </c>
      <c r="DL130" s="8">
        <f t="shared" si="448"/>
        <v>0.54021860932395316</v>
      </c>
      <c r="DM130" s="8">
        <f t="shared" si="449"/>
        <v>0.29183614585990597</v>
      </c>
      <c r="DN130" s="8">
        <f t="shared" si="450"/>
        <v>0.54021860932395316</v>
      </c>
      <c r="DO130" s="216">
        <f t="shared" si="451"/>
        <v>7.7528918922760477</v>
      </c>
      <c r="DP130" s="116">
        <f t="shared" si="452"/>
        <v>11287.318707318462</v>
      </c>
      <c r="DQ130" s="170">
        <f t="shared" si="453"/>
        <v>0.29183693344119632</v>
      </c>
      <c r="DR130" s="8">
        <f t="shared" si="454"/>
        <v>0.54021933827029589</v>
      </c>
      <c r="DS130" s="8">
        <f t="shared" si="455"/>
        <v>0.29183693344119632</v>
      </c>
      <c r="DT130" s="134">
        <f t="shared" si="456"/>
        <v>0.54021933827029589</v>
      </c>
      <c r="DU130" s="170">
        <f>MAX(DQ$130:DQ$139)</f>
        <v>0.29183693344119632</v>
      </c>
      <c r="DV130" s="170">
        <f>MAX(DR$130:DR$139)</f>
        <v>0.54021933827029589</v>
      </c>
      <c r="DW130" s="170">
        <f>MAX(DS$130:DS$139)</f>
        <v>0.29183693344119632</v>
      </c>
      <c r="DX130" s="272">
        <f>MAX(DT$130:DT$139)</f>
        <v>0.54021933827029589</v>
      </c>
      <c r="DY130" s="272">
        <f t="shared" si="457"/>
        <v>7.2126718250594095</v>
      </c>
      <c r="DZ130" s="22">
        <f t="shared" si="326"/>
        <v>259.45616424269065</v>
      </c>
      <c r="EA130" s="216">
        <f t="shared" si="327"/>
        <v>1.699848754890608E-2</v>
      </c>
      <c r="EB130" s="12">
        <f t="shared" si="458"/>
        <v>3</v>
      </c>
      <c r="EC130" s="7">
        <f>ROUND(MAX(DV130,DX130)/'Inputs-Imperial'!$E$21,0)</f>
        <v>5</v>
      </c>
      <c r="ED130" s="12">
        <f t="shared" si="459"/>
        <v>5</v>
      </c>
      <c r="EE130" s="2">
        <f t="shared" si="460"/>
        <v>3</v>
      </c>
      <c r="EF130" s="127">
        <f t="shared" si="461"/>
        <v>3</v>
      </c>
      <c r="EG130" s="2">
        <f t="shared" si="462"/>
        <v>2.3622047244094495E-2</v>
      </c>
      <c r="EH130" s="8">
        <f t="shared" si="328"/>
        <v>0.1788884045854815</v>
      </c>
      <c r="EI130" s="138">
        <f t="shared" si="463"/>
        <v>0.25</v>
      </c>
      <c r="EJ130" s="12">
        <f t="shared" si="329"/>
        <v>9885.279857646512</v>
      </c>
      <c r="EK130" s="138">
        <f t="shared" si="464"/>
        <v>0.25</v>
      </c>
      <c r="EL130" s="116">
        <f t="shared" si="465"/>
        <v>2175570</v>
      </c>
      <c r="EM130" s="2">
        <f t="shared" si="330"/>
        <v>2.3622047244094495E-2</v>
      </c>
      <c r="EN130" s="8">
        <f t="shared" si="466"/>
        <v>8.2931105016000011</v>
      </c>
      <c r="EO130" s="116">
        <f t="shared" si="467"/>
        <v>2610.6840000000002</v>
      </c>
      <c r="EP130" s="217">
        <f t="shared" si="468"/>
        <v>0.35311091460865895</v>
      </c>
      <c r="EQ130" s="207">
        <f t="shared" si="469"/>
        <v>2.3564511280249794</v>
      </c>
      <c r="ER130" s="144">
        <f t="shared" si="470"/>
        <v>11495.195601687299</v>
      </c>
      <c r="ES130" s="138">
        <f t="shared" si="331"/>
        <v>0.25</v>
      </c>
      <c r="ET130" s="116">
        <f t="shared" si="471"/>
        <v>2175570</v>
      </c>
      <c r="EU130" s="2">
        <f t="shared" si="332"/>
        <v>2.3622047244094495E-2</v>
      </c>
      <c r="EV130" s="8">
        <f t="shared" si="472"/>
        <v>8.2931105016000011</v>
      </c>
      <c r="EW130" s="116">
        <f t="shared" si="473"/>
        <v>2610.6840000000002</v>
      </c>
      <c r="EX130" s="217">
        <f t="shared" si="474"/>
        <v>0.35311091460865895</v>
      </c>
      <c r="EY130" s="207">
        <f t="shared" si="475"/>
        <v>2.3564511280249794</v>
      </c>
      <c r="EZ130" s="144">
        <f t="shared" si="476"/>
        <v>11495.195601687299</v>
      </c>
      <c r="FA130" s="138">
        <f t="shared" si="333"/>
        <v>0.25</v>
      </c>
      <c r="FB130" s="116">
        <f t="shared" si="477"/>
        <v>2175570</v>
      </c>
      <c r="FC130" s="2">
        <f t="shared" si="334"/>
        <v>2.3622047244094495E-2</v>
      </c>
      <c r="FD130" s="8">
        <f t="shared" si="478"/>
        <v>8.2931105016000011</v>
      </c>
      <c r="FE130" s="116">
        <f t="shared" si="479"/>
        <v>2610.6840000000002</v>
      </c>
      <c r="FF130" s="217">
        <f t="shared" si="480"/>
        <v>0.35311091460865895</v>
      </c>
      <c r="FG130" s="207">
        <f t="shared" si="481"/>
        <v>2.3564511280249794</v>
      </c>
      <c r="FH130" s="144">
        <f t="shared" si="482"/>
        <v>11495.195601687299</v>
      </c>
      <c r="FI130" s="128">
        <f t="shared" si="483"/>
        <v>0.25</v>
      </c>
      <c r="FJ130" s="2">
        <f t="shared" si="484"/>
        <v>2.3622047244094495E-2</v>
      </c>
      <c r="FK130" s="127">
        <f t="shared" si="485"/>
        <v>2.3622047244094495E-2</v>
      </c>
      <c r="FL130" s="216">
        <f t="shared" si="486"/>
        <v>0</v>
      </c>
      <c r="FM130" s="138">
        <f t="shared" si="487"/>
        <v>0</v>
      </c>
      <c r="FN130" s="138">
        <f t="shared" si="488"/>
        <v>0.25</v>
      </c>
      <c r="FO130" s="238">
        <f t="shared" si="489"/>
        <v>0</v>
      </c>
      <c r="FP130" s="216">
        <f t="shared" si="335"/>
        <v>0</v>
      </c>
      <c r="FQ130" s="138">
        <f t="shared" si="336"/>
        <v>0</v>
      </c>
      <c r="FR130" s="138">
        <f t="shared" si="337"/>
        <v>0.5</v>
      </c>
      <c r="FS130" s="238">
        <f t="shared" si="338"/>
        <v>0</v>
      </c>
      <c r="FT130" s="216">
        <f t="shared" si="490"/>
        <v>0</v>
      </c>
      <c r="FU130" s="138">
        <f t="shared" si="491"/>
        <v>0</v>
      </c>
      <c r="FV130" s="138">
        <f t="shared" si="492"/>
        <v>2.3622047244094495E-2</v>
      </c>
      <c r="FW130" s="238">
        <f t="shared" si="493"/>
        <v>0</v>
      </c>
      <c r="FX130" s="216">
        <f t="shared" si="339"/>
        <v>0</v>
      </c>
      <c r="FY130" s="138">
        <f t="shared" si="340"/>
        <v>0</v>
      </c>
      <c r="FZ130" s="138">
        <f t="shared" si="341"/>
        <v>3.1496062992125991E-2</v>
      </c>
      <c r="GA130" s="238">
        <f t="shared" si="342"/>
        <v>0</v>
      </c>
      <c r="GB130" s="216">
        <f t="shared" si="494"/>
        <v>0</v>
      </c>
      <c r="GC130" s="138">
        <f t="shared" si="495"/>
        <v>0</v>
      </c>
      <c r="GD130" s="138">
        <f t="shared" si="496"/>
        <v>2.3622047244094495E-2</v>
      </c>
      <c r="GE130" s="238">
        <f t="shared" si="497"/>
        <v>0</v>
      </c>
      <c r="GF130" s="216">
        <f t="shared" si="343"/>
        <v>0</v>
      </c>
      <c r="GG130" s="138">
        <f t="shared" si="344"/>
        <v>0</v>
      </c>
      <c r="GH130" s="138">
        <f t="shared" si="345"/>
        <v>3.1496062992125991E-2</v>
      </c>
      <c r="GI130" s="238">
        <f t="shared" si="346"/>
        <v>0</v>
      </c>
      <c r="GJ130" s="216">
        <f t="shared" si="498"/>
        <v>0.5</v>
      </c>
      <c r="GK130" s="216">
        <f t="shared" si="499"/>
        <v>3.1496062992125991E-2</v>
      </c>
      <c r="GL130" s="17">
        <f t="shared" si="500"/>
        <v>3.1496062992125991E-2</v>
      </c>
      <c r="GM130" s="216">
        <f t="shared" si="347"/>
        <v>8.6952616312542114E-3</v>
      </c>
      <c r="GN130" s="2">
        <f t="shared" si="501"/>
        <v>2</v>
      </c>
      <c r="GO130" s="2">
        <f t="shared" si="502"/>
        <v>2</v>
      </c>
      <c r="GP130" s="142">
        <f t="shared" si="503"/>
        <v>2</v>
      </c>
      <c r="GQ130" s="2">
        <f t="shared" si="504"/>
        <v>1.5748031496062995E-2</v>
      </c>
      <c r="GR130" s="8">
        <f t="shared" si="348"/>
        <v>9.1507051800530231E-2</v>
      </c>
      <c r="GS130" s="138">
        <f t="shared" si="505"/>
        <v>0.25</v>
      </c>
      <c r="GT130" s="12">
        <f t="shared" si="349"/>
        <v>7584.9478737243908</v>
      </c>
      <c r="GU130" s="138">
        <f t="shared" si="506"/>
        <v>0.25</v>
      </c>
      <c r="GV130" s="116">
        <f t="shared" si="507"/>
        <v>2175570</v>
      </c>
      <c r="GW130" s="2">
        <f t="shared" si="350"/>
        <v>2.3622047244094495E-2</v>
      </c>
      <c r="GX130" s="8">
        <f t="shared" si="351"/>
        <v>4.1465552508000005</v>
      </c>
      <c r="GY130" s="116">
        <f t="shared" si="508"/>
        <v>2610.6840000000002</v>
      </c>
      <c r="GZ130" s="217">
        <f t="shared" si="509"/>
        <v>1.4124436584346358</v>
      </c>
      <c r="HA130" s="207">
        <f t="shared" si="510"/>
        <v>2</v>
      </c>
      <c r="HB130" s="144">
        <f t="shared" si="511"/>
        <v>39025.449634754128</v>
      </c>
      <c r="HC130" s="138">
        <f t="shared" si="352"/>
        <v>0.25</v>
      </c>
      <c r="HD130" s="116">
        <f t="shared" si="512"/>
        <v>2175570</v>
      </c>
      <c r="HE130" s="2">
        <f t="shared" si="353"/>
        <v>2.3622047244094495E-2</v>
      </c>
      <c r="HF130" s="8">
        <f t="shared" si="513"/>
        <v>4.1465552508000005</v>
      </c>
      <c r="HG130" s="116">
        <f t="shared" si="514"/>
        <v>2610.6840000000002</v>
      </c>
      <c r="HH130" s="217">
        <f t="shared" si="515"/>
        <v>1.4124436584346358</v>
      </c>
      <c r="HI130" s="207">
        <f t="shared" si="516"/>
        <v>2</v>
      </c>
      <c r="HJ130" s="144">
        <f t="shared" si="517"/>
        <v>39025.449634754128</v>
      </c>
      <c r="HK130" s="138">
        <f t="shared" si="354"/>
        <v>0.25</v>
      </c>
      <c r="HL130" s="116">
        <f t="shared" si="518"/>
        <v>2175570</v>
      </c>
      <c r="HM130" s="2">
        <f t="shared" si="355"/>
        <v>2.3622047244094495E-2</v>
      </c>
      <c r="HN130" s="8">
        <f t="shared" si="519"/>
        <v>4.1465552508000005</v>
      </c>
      <c r="HO130" s="116">
        <f t="shared" si="520"/>
        <v>2610.6840000000002</v>
      </c>
      <c r="HP130" s="217">
        <f t="shared" si="521"/>
        <v>1.4124436584346358</v>
      </c>
      <c r="HQ130" s="207">
        <f t="shared" si="522"/>
        <v>2</v>
      </c>
      <c r="HR130" s="144">
        <f t="shared" si="523"/>
        <v>39025.449634754128</v>
      </c>
      <c r="HS130" s="128">
        <f t="shared" si="524"/>
        <v>0.25</v>
      </c>
      <c r="HT130" s="2">
        <f t="shared" si="525"/>
        <v>1.5748031496062995E-2</v>
      </c>
      <c r="HU130" s="127">
        <f t="shared" si="526"/>
        <v>1.5748031496062995E-2</v>
      </c>
      <c r="HV130" s="216">
        <f t="shared" si="527"/>
        <v>0</v>
      </c>
      <c r="HW130" s="138">
        <f t="shared" si="528"/>
        <v>0</v>
      </c>
      <c r="HX130" s="138">
        <f t="shared" si="529"/>
        <v>0.25</v>
      </c>
      <c r="HY130" s="238">
        <f t="shared" si="530"/>
        <v>0</v>
      </c>
      <c r="HZ130" s="138">
        <f t="shared" si="531"/>
        <v>0</v>
      </c>
      <c r="IA130" s="138">
        <f t="shared" si="532"/>
        <v>0</v>
      </c>
      <c r="IB130" s="138">
        <f t="shared" si="533"/>
        <v>0.25</v>
      </c>
      <c r="IC130" s="138">
        <f t="shared" si="534"/>
        <v>0</v>
      </c>
      <c r="ID130" s="216">
        <f t="shared" si="535"/>
        <v>0</v>
      </c>
      <c r="IE130" s="138">
        <f t="shared" si="536"/>
        <v>0</v>
      </c>
      <c r="IF130" s="138">
        <f t="shared" si="537"/>
        <v>1.5748031496062995E-2</v>
      </c>
      <c r="IG130" s="238">
        <f t="shared" si="538"/>
        <v>0</v>
      </c>
      <c r="IH130" s="138">
        <f t="shared" si="539"/>
        <v>0</v>
      </c>
      <c r="II130" s="138">
        <f t="shared" si="540"/>
        <v>0</v>
      </c>
      <c r="IJ130" s="138">
        <f t="shared" si="541"/>
        <v>1.5748031496062995E-2</v>
      </c>
      <c r="IK130" s="138">
        <f t="shared" si="542"/>
        <v>0</v>
      </c>
      <c r="IL130" s="216">
        <f t="shared" si="543"/>
        <v>0</v>
      </c>
      <c r="IM130" s="138">
        <f t="shared" si="544"/>
        <v>0</v>
      </c>
      <c r="IN130" s="138">
        <f t="shared" si="545"/>
        <v>1.5748031496062995E-2</v>
      </c>
      <c r="IO130" s="238">
        <f t="shared" si="546"/>
        <v>0</v>
      </c>
      <c r="IP130" s="138">
        <f t="shared" si="547"/>
        <v>0</v>
      </c>
      <c r="IQ130" s="138">
        <f t="shared" si="548"/>
        <v>0</v>
      </c>
      <c r="IR130" s="138">
        <f t="shared" si="549"/>
        <v>1.5748031496062995E-2</v>
      </c>
      <c r="IS130" s="138">
        <f t="shared" si="550"/>
        <v>0</v>
      </c>
      <c r="IT130" s="17">
        <f t="shared" si="551"/>
        <v>0.25</v>
      </c>
      <c r="IU130" s="17">
        <f t="shared" si="552"/>
        <v>1.5748031496062995E-2</v>
      </c>
      <c r="IV130" s="17">
        <f t="shared" si="553"/>
        <v>1.5748031496062995E-2</v>
      </c>
      <c r="IW130" s="253">
        <f t="shared" si="554"/>
        <v>23.036418060000003</v>
      </c>
      <c r="IX130" s="116">
        <f t="shared" si="356"/>
        <v>379.87399544313126</v>
      </c>
      <c r="IY130" s="8">
        <f t="shared" si="357"/>
        <v>9.8217534915797395E-3</v>
      </c>
      <c r="IZ130" s="8">
        <f t="shared" si="555"/>
        <v>9.8217534915797395E-3</v>
      </c>
      <c r="JA130" s="8">
        <f t="shared" si="556"/>
        <v>4.9108767457898697E-3</v>
      </c>
      <c r="JB130" s="134">
        <f t="shared" si="557"/>
        <v>7.0077647975583982E-2</v>
      </c>
      <c r="JC130" s="170">
        <f>MAX(JA$130:JA$139)</f>
        <v>4.9108767457898697E-3</v>
      </c>
      <c r="JD130" s="272">
        <f>MAX(JB$130:JB$139)</f>
        <v>7.0077647975583982E-2</v>
      </c>
      <c r="JE130" s="8"/>
      <c r="JF130" s="8"/>
    </row>
    <row r="131" spans="1:266" x14ac:dyDescent="0.25">
      <c r="A131" s="186">
        <v>71</v>
      </c>
      <c r="B131" s="187">
        <f>A131/100*'Inputs-Imperial'!$E$5</f>
        <v>17.097769575999997</v>
      </c>
      <c r="C131" s="188">
        <f>'Inputs-Imperial'!$E$10+('Inputs-Imperial'!$E$9-'Inputs-Imperial'!$E$10)*(100-A131)/100</f>
        <v>3.8216044530000004</v>
      </c>
      <c r="D131" s="187">
        <f t="shared" si="558"/>
        <v>0.24081365600000026</v>
      </c>
      <c r="E131" s="188">
        <f t="shared" si="559"/>
        <v>0.92243760790415841</v>
      </c>
      <c r="F131" s="423">
        <f>Loads!P91</f>
        <v>206.3536729209755</v>
      </c>
      <c r="G131" s="423">
        <f>Loads!M91</f>
        <v>2063.5367292097544</v>
      </c>
      <c r="H131" s="423">
        <f>Loads!N91</f>
        <v>6774.288391423861</v>
      </c>
      <c r="I131" s="423">
        <f>Loads!V91</f>
        <v>-3550.0239734067482</v>
      </c>
      <c r="J131" s="423">
        <f>Loads!Q91</f>
        <v>677.4288391423861</v>
      </c>
      <c r="K131" s="2">
        <v>71</v>
      </c>
      <c r="L131" s="12">
        <f t="shared" si="358"/>
        <v>205.17323491199997</v>
      </c>
      <c r="M131" s="11">
        <f t="shared" si="359"/>
        <v>45.859253436000003</v>
      </c>
      <c r="N131" s="11">
        <f t="shared" si="360"/>
        <v>2.8897638720000032</v>
      </c>
      <c r="O131" s="152">
        <f t="shared" si="361"/>
        <v>132.83101553819881</v>
      </c>
      <c r="P131" s="151">
        <f t="shared" si="362"/>
        <v>206.3536729209755</v>
      </c>
      <c r="Q131" s="12">
        <f t="shared" si="363"/>
        <v>2063.5367292097544</v>
      </c>
      <c r="R131" s="12">
        <f t="shared" si="364"/>
        <v>81291.460697086324</v>
      </c>
      <c r="S131" s="12">
        <f t="shared" si="365"/>
        <v>-42600.287680880981</v>
      </c>
      <c r="T131" s="152">
        <f t="shared" si="366"/>
        <v>8129.1460697086331</v>
      </c>
      <c r="U131" s="8">
        <f t="shared" si="313"/>
        <v>8.2546656184800007</v>
      </c>
      <c r="V131" s="8">
        <f t="shared" si="314"/>
        <v>8.2546656184800007</v>
      </c>
      <c r="W131" s="134">
        <f t="shared" si="315"/>
        <v>4.1273328092400003</v>
      </c>
      <c r="X131" s="311">
        <f t="shared" si="316"/>
        <v>11.464813359000001</v>
      </c>
      <c r="Y131" s="11">
        <f t="shared" si="317"/>
        <v>34.394440076999999</v>
      </c>
      <c r="Z131" s="11">
        <f t="shared" si="318"/>
        <v>22.929626717999998</v>
      </c>
      <c r="AA131" s="316">
        <f t="shared" si="367"/>
        <v>34.394440076999999</v>
      </c>
      <c r="AB131" s="170">
        <f t="shared" si="368"/>
        <v>6.1909992138600005</v>
      </c>
      <c r="AC131" s="11">
        <f t="shared" si="369"/>
        <v>34.394440076999999</v>
      </c>
      <c r="AD131" s="152">
        <f t="shared" si="370"/>
        <v>167.23950521200089</v>
      </c>
      <c r="AE131" s="151">
        <f t="shared" si="319"/>
        <v>5.999622975661314</v>
      </c>
      <c r="AF131" s="12">
        <f t="shared" si="320"/>
        <v>127.363112043649</v>
      </c>
      <c r="AG131" s="216">
        <f t="shared" si="321"/>
        <v>8.737371098238118E-3</v>
      </c>
      <c r="AH131" s="2">
        <f t="shared" si="371"/>
        <v>2</v>
      </c>
      <c r="AI131" s="2">
        <f t="shared" si="372"/>
        <v>3</v>
      </c>
      <c r="AJ131" s="127">
        <f t="shared" si="373"/>
        <v>2</v>
      </c>
      <c r="AK131" s="2">
        <f t="shared" si="374"/>
        <v>1.5748031496062995E-2</v>
      </c>
      <c r="AL131" s="8">
        <f t="shared" si="322"/>
        <v>9.1950202718811838E-2</v>
      </c>
      <c r="AM131" s="138">
        <f t="shared" si="375"/>
        <v>0.25</v>
      </c>
      <c r="AN131" s="12">
        <f t="shared" si="323"/>
        <v>7621.6803063535835</v>
      </c>
      <c r="AO131" s="138">
        <f t="shared" si="376"/>
        <v>0.25</v>
      </c>
      <c r="AP131" s="116">
        <f t="shared" si="377"/>
        <v>2175570</v>
      </c>
      <c r="AQ131" s="2">
        <f t="shared" si="378"/>
        <v>1.5748031496062995E-2</v>
      </c>
      <c r="AR131" s="8">
        <f t="shared" si="379"/>
        <v>22.929626717999998</v>
      </c>
      <c r="AS131" s="116">
        <f t="shared" si="380"/>
        <v>2610.6840000000002</v>
      </c>
      <c r="AT131" s="217">
        <f t="shared" si="381"/>
        <v>3.079362506696131E-2</v>
      </c>
      <c r="AU131" s="207">
        <f t="shared" si="382"/>
        <v>4.7843617944209988</v>
      </c>
      <c r="AV131" s="144">
        <f t="shared" si="383"/>
        <v>3052.9723929878787</v>
      </c>
      <c r="AW131" s="138">
        <f t="shared" si="384"/>
        <v>0.75</v>
      </c>
      <c r="AX131" s="116">
        <f t="shared" si="385"/>
        <v>2175570</v>
      </c>
      <c r="AY131" s="2">
        <f t="shared" si="386"/>
        <v>1.5748031496062995E-2</v>
      </c>
      <c r="AZ131" s="8">
        <f t="shared" si="387"/>
        <v>22.929626717999998</v>
      </c>
      <c r="BA131" s="116">
        <f t="shared" si="388"/>
        <v>2610.6840000000002</v>
      </c>
      <c r="BB131" s="217">
        <f t="shared" si="389"/>
        <v>9.2380875200883922E-2</v>
      </c>
      <c r="BC131" s="207">
        <f t="shared" si="390"/>
        <v>3.9787894616415347</v>
      </c>
      <c r="BD131" s="144">
        <f t="shared" si="391"/>
        <v>22850.322394641305</v>
      </c>
      <c r="BE131" s="138">
        <f t="shared" si="392"/>
        <v>0.75</v>
      </c>
      <c r="BF131" s="116">
        <f t="shared" si="393"/>
        <v>2175570</v>
      </c>
      <c r="BG131" s="2">
        <f t="shared" si="394"/>
        <v>1.5748031496062995E-2</v>
      </c>
      <c r="BH131" s="8">
        <f t="shared" si="395"/>
        <v>22.929626717999998</v>
      </c>
      <c r="BI131" s="116">
        <f t="shared" si="396"/>
        <v>2610.6840000000002</v>
      </c>
      <c r="BJ131" s="217">
        <f t="shared" si="397"/>
        <v>9.2380875200883922E-2</v>
      </c>
      <c r="BK131" s="207">
        <f t="shared" si="398"/>
        <v>3.9787894616415347</v>
      </c>
      <c r="BL131" s="144">
        <f t="shared" si="399"/>
        <v>22850.322394641305</v>
      </c>
      <c r="BM131" s="216">
        <f t="shared" si="400"/>
        <v>0.75</v>
      </c>
      <c r="BN131" s="216">
        <f t="shared" si="401"/>
        <v>2.3622047244094495E-2</v>
      </c>
      <c r="BO131" s="238">
        <f t="shared" si="402"/>
        <v>1.5748031496062995E-2</v>
      </c>
      <c r="BP131" s="216">
        <f t="shared" si="403"/>
        <v>0</v>
      </c>
      <c r="BQ131" s="138">
        <f t="shared" si="404"/>
        <v>0</v>
      </c>
      <c r="BR131" s="138">
        <f t="shared" si="405"/>
        <v>0.75</v>
      </c>
      <c r="BS131" s="238">
        <f t="shared" si="406"/>
        <v>0</v>
      </c>
      <c r="BT131" s="138">
        <f t="shared" si="407"/>
        <v>0</v>
      </c>
      <c r="BU131" s="138">
        <f t="shared" si="408"/>
        <v>0</v>
      </c>
      <c r="BV131" s="138">
        <f t="shared" si="409"/>
        <v>1.5</v>
      </c>
      <c r="BW131" s="238">
        <f t="shared" si="410"/>
        <v>0</v>
      </c>
      <c r="BX131" s="216">
        <f t="shared" si="411"/>
        <v>0</v>
      </c>
      <c r="BY131" s="138">
        <f t="shared" si="412"/>
        <v>0</v>
      </c>
      <c r="BZ131" s="138">
        <f t="shared" si="413"/>
        <v>2.3622047244094495E-2</v>
      </c>
      <c r="CA131" s="238">
        <f t="shared" si="414"/>
        <v>0</v>
      </c>
      <c r="CB131" s="138">
        <f t="shared" si="415"/>
        <v>0</v>
      </c>
      <c r="CC131" s="138">
        <f t="shared" si="416"/>
        <v>0</v>
      </c>
      <c r="CD131" s="138">
        <f t="shared" si="417"/>
        <v>2.3622047244094495E-2</v>
      </c>
      <c r="CE131" s="238">
        <f t="shared" si="418"/>
        <v>0</v>
      </c>
      <c r="CF131" s="216">
        <f t="shared" si="419"/>
        <v>0</v>
      </c>
      <c r="CG131" s="138">
        <f t="shared" si="420"/>
        <v>0</v>
      </c>
      <c r="CH131" s="138">
        <f t="shared" si="421"/>
        <v>1.5748031496062995E-2</v>
      </c>
      <c r="CI131" s="238">
        <f t="shared" si="422"/>
        <v>0</v>
      </c>
      <c r="CJ131" s="138">
        <f t="shared" si="423"/>
        <v>0</v>
      </c>
      <c r="CK131" s="138">
        <f t="shared" si="424"/>
        <v>0</v>
      </c>
      <c r="CL131" s="138">
        <f t="shared" si="425"/>
        <v>1.5748031496062995E-2</v>
      </c>
      <c r="CM131" s="238">
        <f t="shared" si="426"/>
        <v>0</v>
      </c>
      <c r="CN131" s="17">
        <f t="shared" si="427"/>
        <v>1.5</v>
      </c>
      <c r="CO131" s="17">
        <f t="shared" si="428"/>
        <v>2.3622047244094495E-2</v>
      </c>
      <c r="CP131" s="17">
        <f t="shared" si="429"/>
        <v>1.5748031496062995E-2</v>
      </c>
      <c r="CQ131" s="17">
        <f>$U131-IF('Inputs-Imperial'!$E$13,0,2)*($CO131+$CN131+$CP131)</f>
        <v>8.2546656184800007</v>
      </c>
      <c r="CR131" s="116">
        <f t="shared" si="430"/>
        <v>9847.9410862017685</v>
      </c>
      <c r="CS131" s="8">
        <f t="shared" si="324"/>
        <v>0.25462140317197307</v>
      </c>
      <c r="CT131" s="8">
        <f t="shared" si="431"/>
        <v>0.50460024095512779</v>
      </c>
      <c r="CU131" s="8">
        <f t="shared" si="325"/>
        <v>0.25462140317197307</v>
      </c>
      <c r="CV131" s="8">
        <f t="shared" si="432"/>
        <v>0.50460024095512779</v>
      </c>
      <c r="CW131" s="216">
        <f t="shared" si="433"/>
        <v>7.7500653775248729</v>
      </c>
      <c r="CX131" s="116">
        <f t="shared" si="434"/>
        <v>10489.132250784736</v>
      </c>
      <c r="CY131" s="8">
        <f t="shared" si="435"/>
        <v>0.27119958866257643</v>
      </c>
      <c r="CZ131" s="8">
        <f t="shared" si="436"/>
        <v>0.52076826771854723</v>
      </c>
      <c r="DA131" s="8">
        <f t="shared" si="437"/>
        <v>0.27119958866257643</v>
      </c>
      <c r="DB131" s="8">
        <f t="shared" si="438"/>
        <v>0.52076826771854723</v>
      </c>
      <c r="DC131" s="216">
        <f t="shared" si="439"/>
        <v>7.7338973507614526</v>
      </c>
      <c r="DD131" s="116">
        <f t="shared" si="440"/>
        <v>10511.060208095812</v>
      </c>
      <c r="DE131" s="8">
        <f t="shared" si="441"/>
        <v>0.27176654242584214</v>
      </c>
      <c r="DF131" s="8">
        <f t="shared" si="442"/>
        <v>0.52131232713781295</v>
      </c>
      <c r="DG131" s="8">
        <f t="shared" si="443"/>
        <v>0.27176654242584214</v>
      </c>
      <c r="DH131" s="8">
        <f t="shared" si="444"/>
        <v>0.52131232713781295</v>
      </c>
      <c r="DI131" s="216">
        <f t="shared" si="445"/>
        <v>7.733353291342187</v>
      </c>
      <c r="DJ131" s="116">
        <f t="shared" si="446"/>
        <v>10511.799685667474</v>
      </c>
      <c r="DK131" s="8">
        <f t="shared" si="447"/>
        <v>0.27178566183519509</v>
      </c>
      <c r="DL131" s="8">
        <f t="shared" si="448"/>
        <v>0.52133066458361632</v>
      </c>
      <c r="DM131" s="8">
        <f t="shared" si="449"/>
        <v>0.27178566183519509</v>
      </c>
      <c r="DN131" s="8">
        <f t="shared" si="450"/>
        <v>0.52133066458361632</v>
      </c>
      <c r="DO131" s="216">
        <f t="shared" si="451"/>
        <v>7.7333349538963851</v>
      </c>
      <c r="DP131" s="116">
        <f t="shared" si="452"/>
        <v>10511.824611467036</v>
      </c>
      <c r="DQ131" s="170">
        <f t="shared" si="453"/>
        <v>0.27178630629904843</v>
      </c>
      <c r="DR131" s="8">
        <f t="shared" si="454"/>
        <v>0.52133128267834494</v>
      </c>
      <c r="DS131" s="8">
        <f t="shared" si="455"/>
        <v>0.27178630629904843</v>
      </c>
      <c r="DT131" s="134">
        <f t="shared" si="456"/>
        <v>0.52133128267834494</v>
      </c>
      <c r="DU131" s="170">
        <f t="shared" ref="DU131:DX139" si="560">MAX(DQ$130:DQ$139)</f>
        <v>0.29183693344119632</v>
      </c>
      <c r="DV131" s="170">
        <f t="shared" si="560"/>
        <v>0.54021933827029589</v>
      </c>
      <c r="DW131" s="170">
        <f t="shared" si="560"/>
        <v>0.29183693344119632</v>
      </c>
      <c r="DX131" s="272">
        <f t="shared" si="560"/>
        <v>0.54021933827029589</v>
      </c>
      <c r="DY131" s="272">
        <f t="shared" si="457"/>
        <v>7.1742269419394091</v>
      </c>
      <c r="DZ131" s="22">
        <f t="shared" si="326"/>
        <v>249.98429065255468</v>
      </c>
      <c r="EA131" s="216">
        <f t="shared" si="327"/>
        <v>1.6377929830585173E-2</v>
      </c>
      <c r="EB131" s="12">
        <f t="shared" si="458"/>
        <v>3</v>
      </c>
      <c r="EC131" s="7">
        <f>ROUND(MAX(DV131,DX131)/'Inputs-Imperial'!$E$21,0)</f>
        <v>5</v>
      </c>
      <c r="ED131" s="12">
        <f t="shared" si="459"/>
        <v>5</v>
      </c>
      <c r="EE131" s="2">
        <f t="shared" si="460"/>
        <v>3</v>
      </c>
      <c r="EF131" s="127">
        <f t="shared" si="461"/>
        <v>3</v>
      </c>
      <c r="EG131" s="2">
        <f t="shared" si="462"/>
        <v>2.3622047244094495E-2</v>
      </c>
      <c r="EH131" s="8">
        <f t="shared" si="328"/>
        <v>0.17235778944314914</v>
      </c>
      <c r="EI131" s="138">
        <f t="shared" si="463"/>
        <v>0.25</v>
      </c>
      <c r="EJ131" s="12">
        <f t="shared" si="329"/>
        <v>9524.40147386233</v>
      </c>
      <c r="EK131" s="138">
        <f t="shared" si="464"/>
        <v>0.25</v>
      </c>
      <c r="EL131" s="116">
        <f t="shared" si="465"/>
        <v>2175570</v>
      </c>
      <c r="EM131" s="2">
        <f t="shared" si="330"/>
        <v>2.3622047244094495E-2</v>
      </c>
      <c r="EN131" s="8">
        <f t="shared" si="466"/>
        <v>8.2546656184800007</v>
      </c>
      <c r="EO131" s="116">
        <f t="shared" si="467"/>
        <v>2610.6840000000002</v>
      </c>
      <c r="EP131" s="217">
        <f t="shared" si="468"/>
        <v>0.35640769753427426</v>
      </c>
      <c r="EQ131" s="207">
        <f t="shared" si="469"/>
        <v>2.3400043929621615</v>
      </c>
      <c r="ER131" s="144">
        <f t="shared" si="470"/>
        <v>11521.540072482903</v>
      </c>
      <c r="ES131" s="138">
        <f t="shared" si="331"/>
        <v>0.25</v>
      </c>
      <c r="ET131" s="116">
        <f t="shared" si="471"/>
        <v>2175570</v>
      </c>
      <c r="EU131" s="2">
        <f t="shared" si="332"/>
        <v>2.3622047244094495E-2</v>
      </c>
      <c r="EV131" s="8">
        <f t="shared" si="472"/>
        <v>8.2546656184800007</v>
      </c>
      <c r="EW131" s="116">
        <f t="shared" si="473"/>
        <v>2610.6840000000002</v>
      </c>
      <c r="EX131" s="217">
        <f t="shared" si="474"/>
        <v>0.35640769753427426</v>
      </c>
      <c r="EY131" s="207">
        <f t="shared" si="475"/>
        <v>2.3400043929621615</v>
      </c>
      <c r="EZ131" s="144">
        <f t="shared" si="476"/>
        <v>11521.540072482903</v>
      </c>
      <c r="FA131" s="138">
        <f t="shared" si="333"/>
        <v>0.25</v>
      </c>
      <c r="FB131" s="116">
        <f t="shared" si="477"/>
        <v>2175570</v>
      </c>
      <c r="FC131" s="2">
        <f t="shared" si="334"/>
        <v>2.3622047244094495E-2</v>
      </c>
      <c r="FD131" s="8">
        <f t="shared" si="478"/>
        <v>8.2546656184800007</v>
      </c>
      <c r="FE131" s="116">
        <f t="shared" si="479"/>
        <v>2610.6840000000002</v>
      </c>
      <c r="FF131" s="217">
        <f t="shared" si="480"/>
        <v>0.35640769753427426</v>
      </c>
      <c r="FG131" s="207">
        <f t="shared" si="481"/>
        <v>2.3400043929621615</v>
      </c>
      <c r="FH131" s="144">
        <f t="shared" si="482"/>
        <v>11521.540072482903</v>
      </c>
      <c r="FI131" s="128">
        <f t="shared" si="483"/>
        <v>0.25</v>
      </c>
      <c r="FJ131" s="2">
        <f t="shared" si="484"/>
        <v>2.3622047244094495E-2</v>
      </c>
      <c r="FK131" s="127">
        <f t="shared" si="485"/>
        <v>2.3622047244094495E-2</v>
      </c>
      <c r="FL131" s="216">
        <f t="shared" si="486"/>
        <v>0</v>
      </c>
      <c r="FM131" s="138">
        <f t="shared" si="487"/>
        <v>0</v>
      </c>
      <c r="FN131" s="138">
        <f t="shared" si="488"/>
        <v>0.25</v>
      </c>
      <c r="FO131" s="238">
        <f t="shared" si="489"/>
        <v>0</v>
      </c>
      <c r="FP131" s="216">
        <f t="shared" si="335"/>
        <v>0</v>
      </c>
      <c r="FQ131" s="138">
        <f t="shared" si="336"/>
        <v>0</v>
      </c>
      <c r="FR131" s="138">
        <f t="shared" si="337"/>
        <v>0.5</v>
      </c>
      <c r="FS131" s="238">
        <f t="shared" si="338"/>
        <v>0</v>
      </c>
      <c r="FT131" s="216">
        <f t="shared" si="490"/>
        <v>0</v>
      </c>
      <c r="FU131" s="138">
        <f t="shared" si="491"/>
        <v>0</v>
      </c>
      <c r="FV131" s="138">
        <f t="shared" si="492"/>
        <v>2.3622047244094495E-2</v>
      </c>
      <c r="FW131" s="238">
        <f t="shared" si="493"/>
        <v>0</v>
      </c>
      <c r="FX131" s="216">
        <f t="shared" si="339"/>
        <v>0</v>
      </c>
      <c r="FY131" s="138">
        <f t="shared" si="340"/>
        <v>0</v>
      </c>
      <c r="FZ131" s="138">
        <f t="shared" si="341"/>
        <v>3.1496062992125991E-2</v>
      </c>
      <c r="GA131" s="238">
        <f t="shared" si="342"/>
        <v>0</v>
      </c>
      <c r="GB131" s="216">
        <f t="shared" si="494"/>
        <v>0</v>
      </c>
      <c r="GC131" s="138">
        <f t="shared" si="495"/>
        <v>0</v>
      </c>
      <c r="GD131" s="138">
        <f t="shared" si="496"/>
        <v>2.3622047244094495E-2</v>
      </c>
      <c r="GE131" s="238">
        <f t="shared" si="497"/>
        <v>0</v>
      </c>
      <c r="GF131" s="216">
        <f t="shared" si="343"/>
        <v>0</v>
      </c>
      <c r="GG131" s="138">
        <f t="shared" si="344"/>
        <v>0</v>
      </c>
      <c r="GH131" s="138">
        <f t="shared" si="345"/>
        <v>3.1496062992125991E-2</v>
      </c>
      <c r="GI131" s="238">
        <f t="shared" si="346"/>
        <v>0</v>
      </c>
      <c r="GJ131" s="216">
        <f t="shared" si="498"/>
        <v>0.5</v>
      </c>
      <c r="GK131" s="216">
        <f t="shared" si="499"/>
        <v>3.1496062992125991E-2</v>
      </c>
      <c r="GL131" s="17">
        <f t="shared" si="500"/>
        <v>3.1496062992125991E-2</v>
      </c>
      <c r="GM131" s="216">
        <f t="shared" si="347"/>
        <v>8.3443007823040729E-3</v>
      </c>
      <c r="GN131" s="2">
        <f t="shared" si="501"/>
        <v>2</v>
      </c>
      <c r="GO131" s="2">
        <f t="shared" si="502"/>
        <v>2</v>
      </c>
      <c r="GP131" s="142">
        <f t="shared" si="503"/>
        <v>2</v>
      </c>
      <c r="GQ131" s="2">
        <f t="shared" si="504"/>
        <v>1.5748031496062995E-2</v>
      </c>
      <c r="GR131" s="8">
        <f t="shared" si="348"/>
        <v>8.7813615772176251E-2</v>
      </c>
      <c r="GS131" s="138">
        <f t="shared" si="505"/>
        <v>0.25</v>
      </c>
      <c r="GT131" s="12">
        <f t="shared" si="349"/>
        <v>7278.8018532945389</v>
      </c>
      <c r="GU131" s="138">
        <f t="shared" si="506"/>
        <v>0.25</v>
      </c>
      <c r="GV131" s="116">
        <f t="shared" si="507"/>
        <v>2175570</v>
      </c>
      <c r="GW131" s="2">
        <f t="shared" si="350"/>
        <v>2.3622047244094495E-2</v>
      </c>
      <c r="GX131" s="8">
        <f t="shared" si="351"/>
        <v>4.1273328092400003</v>
      </c>
      <c r="GY131" s="116">
        <f t="shared" si="508"/>
        <v>2610.6840000000002</v>
      </c>
      <c r="GZ131" s="217">
        <f t="shared" si="509"/>
        <v>1.425630790137097</v>
      </c>
      <c r="HA131" s="207">
        <f t="shared" si="510"/>
        <v>2</v>
      </c>
      <c r="HB131" s="144">
        <f t="shared" si="511"/>
        <v>39389.806641851756</v>
      </c>
      <c r="HC131" s="138">
        <f t="shared" si="352"/>
        <v>0.25</v>
      </c>
      <c r="HD131" s="116">
        <f t="shared" si="512"/>
        <v>2175570</v>
      </c>
      <c r="HE131" s="2">
        <f t="shared" si="353"/>
        <v>2.3622047244094495E-2</v>
      </c>
      <c r="HF131" s="8">
        <f t="shared" si="513"/>
        <v>4.1273328092400003</v>
      </c>
      <c r="HG131" s="116">
        <f t="shared" si="514"/>
        <v>2610.6840000000002</v>
      </c>
      <c r="HH131" s="217">
        <f t="shared" si="515"/>
        <v>1.425630790137097</v>
      </c>
      <c r="HI131" s="207">
        <f t="shared" si="516"/>
        <v>2</v>
      </c>
      <c r="HJ131" s="144">
        <f t="shared" si="517"/>
        <v>39389.806641851756</v>
      </c>
      <c r="HK131" s="138">
        <f t="shared" si="354"/>
        <v>0.25</v>
      </c>
      <c r="HL131" s="116">
        <f t="shared" si="518"/>
        <v>2175570</v>
      </c>
      <c r="HM131" s="2">
        <f t="shared" si="355"/>
        <v>2.3622047244094495E-2</v>
      </c>
      <c r="HN131" s="8">
        <f t="shared" si="519"/>
        <v>4.1273328092400003</v>
      </c>
      <c r="HO131" s="116">
        <f t="shared" si="520"/>
        <v>2610.6840000000002</v>
      </c>
      <c r="HP131" s="217">
        <f t="shared" si="521"/>
        <v>1.425630790137097</v>
      </c>
      <c r="HQ131" s="207">
        <f t="shared" si="522"/>
        <v>2</v>
      </c>
      <c r="HR131" s="144">
        <f t="shared" si="523"/>
        <v>39389.806641851756</v>
      </c>
      <c r="HS131" s="128">
        <f t="shared" si="524"/>
        <v>0.25</v>
      </c>
      <c r="HT131" s="2">
        <f t="shared" si="525"/>
        <v>1.5748031496062995E-2</v>
      </c>
      <c r="HU131" s="127">
        <f t="shared" si="526"/>
        <v>1.5748031496062995E-2</v>
      </c>
      <c r="HV131" s="216">
        <f t="shared" si="527"/>
        <v>0</v>
      </c>
      <c r="HW131" s="138">
        <f t="shared" si="528"/>
        <v>0</v>
      </c>
      <c r="HX131" s="138">
        <f t="shared" si="529"/>
        <v>0.25</v>
      </c>
      <c r="HY131" s="238">
        <f t="shared" si="530"/>
        <v>0</v>
      </c>
      <c r="HZ131" s="138">
        <f t="shared" si="531"/>
        <v>0</v>
      </c>
      <c r="IA131" s="138">
        <f t="shared" si="532"/>
        <v>0</v>
      </c>
      <c r="IB131" s="138">
        <f t="shared" si="533"/>
        <v>0.25</v>
      </c>
      <c r="IC131" s="138">
        <f t="shared" si="534"/>
        <v>0</v>
      </c>
      <c r="ID131" s="216">
        <f t="shared" si="535"/>
        <v>0</v>
      </c>
      <c r="IE131" s="138">
        <f t="shared" si="536"/>
        <v>0</v>
      </c>
      <c r="IF131" s="138">
        <f t="shared" si="537"/>
        <v>1.5748031496062995E-2</v>
      </c>
      <c r="IG131" s="238">
        <f t="shared" si="538"/>
        <v>0</v>
      </c>
      <c r="IH131" s="138">
        <f t="shared" si="539"/>
        <v>0</v>
      </c>
      <c r="II131" s="138">
        <f t="shared" si="540"/>
        <v>0</v>
      </c>
      <c r="IJ131" s="138">
        <f t="shared" si="541"/>
        <v>1.5748031496062995E-2</v>
      </c>
      <c r="IK131" s="138">
        <f t="shared" si="542"/>
        <v>0</v>
      </c>
      <c r="IL131" s="216">
        <f t="shared" si="543"/>
        <v>0</v>
      </c>
      <c r="IM131" s="138">
        <f t="shared" si="544"/>
        <v>0</v>
      </c>
      <c r="IN131" s="138">
        <f t="shared" si="545"/>
        <v>1.5748031496062995E-2</v>
      </c>
      <c r="IO131" s="238">
        <f t="shared" si="546"/>
        <v>0</v>
      </c>
      <c r="IP131" s="138">
        <f t="shared" si="547"/>
        <v>0</v>
      </c>
      <c r="IQ131" s="138">
        <f t="shared" si="548"/>
        <v>0</v>
      </c>
      <c r="IR131" s="138">
        <f t="shared" si="549"/>
        <v>1.5748031496062995E-2</v>
      </c>
      <c r="IS131" s="138">
        <f t="shared" si="550"/>
        <v>0</v>
      </c>
      <c r="IT131" s="17">
        <f t="shared" si="551"/>
        <v>0.25</v>
      </c>
      <c r="IU131" s="17">
        <f t="shared" si="552"/>
        <v>1.5748031496062995E-2</v>
      </c>
      <c r="IV131" s="17">
        <f t="shared" si="553"/>
        <v>1.5748031496062995E-2</v>
      </c>
      <c r="IW131" s="253">
        <f t="shared" si="554"/>
        <v>22.929626717999998</v>
      </c>
      <c r="IX131" s="116">
        <f t="shared" si="356"/>
        <v>354.52587910326372</v>
      </c>
      <c r="IY131" s="8">
        <f t="shared" si="357"/>
        <v>9.1663705141910318E-3</v>
      </c>
      <c r="IZ131" s="8">
        <f t="shared" si="555"/>
        <v>9.1663705141910318E-3</v>
      </c>
      <c r="JA131" s="8">
        <f t="shared" si="556"/>
        <v>4.5831852570955159E-3</v>
      </c>
      <c r="JB131" s="134">
        <f t="shared" si="557"/>
        <v>6.7699226414306354E-2</v>
      </c>
      <c r="JC131" s="170">
        <f t="shared" ref="JC131:JC139" si="561">MAX(JA$130:JA$139)</f>
        <v>4.9108767457898697E-3</v>
      </c>
      <c r="JD131" s="272">
        <f t="shared" ref="JD131:JD139" si="562">MAX(JB$130:JB$139)</f>
        <v>7.0077647975583982E-2</v>
      </c>
      <c r="JE131" s="8"/>
      <c r="JF131" s="8"/>
    </row>
    <row r="132" spans="1:266" x14ac:dyDescent="0.25">
      <c r="A132" s="186">
        <v>72</v>
      </c>
      <c r="B132" s="187">
        <f>A132/100*'Inputs-Imperial'!$E$5</f>
        <v>17.338583231999998</v>
      </c>
      <c r="C132" s="188">
        <f>'Inputs-Imperial'!$E$10+('Inputs-Imperial'!$E$9-'Inputs-Imperial'!$E$10)*(100-A132)/100</f>
        <v>3.8038058960000001</v>
      </c>
      <c r="D132" s="187">
        <f t="shared" si="558"/>
        <v>0.24081365600000026</v>
      </c>
      <c r="E132" s="188">
        <f t="shared" si="559"/>
        <v>0.9181514723214641</v>
      </c>
      <c r="F132" s="423">
        <f>Loads!P92</f>
        <v>197.62041269209189</v>
      </c>
      <c r="G132" s="423">
        <f>Loads!M92</f>
        <v>1976.2041269209185</v>
      </c>
      <c r="H132" s="423">
        <f>Loads!N92</f>
        <v>6277.3605673725779</v>
      </c>
      <c r="I132" s="423">
        <f>Loads!V92</f>
        <v>-3369.6406604758968</v>
      </c>
      <c r="J132" s="423">
        <f>Loads!Q92</f>
        <v>627.73605673725774</v>
      </c>
      <c r="K132" s="2">
        <v>72</v>
      </c>
      <c r="L132" s="12">
        <f t="shared" si="358"/>
        <v>208.06299878399997</v>
      </c>
      <c r="M132" s="11">
        <f t="shared" si="359"/>
        <v>45.645670752000001</v>
      </c>
      <c r="N132" s="11">
        <f t="shared" si="360"/>
        <v>2.8897638720000032</v>
      </c>
      <c r="O132" s="152">
        <f t="shared" si="361"/>
        <v>132.21381201429082</v>
      </c>
      <c r="P132" s="151">
        <f t="shared" si="362"/>
        <v>197.62041269209189</v>
      </c>
      <c r="Q132" s="12">
        <f t="shared" si="363"/>
        <v>1976.2041269209185</v>
      </c>
      <c r="R132" s="12">
        <f t="shared" si="364"/>
        <v>75328.326808470942</v>
      </c>
      <c r="S132" s="12">
        <f t="shared" si="365"/>
        <v>-40435.687925710765</v>
      </c>
      <c r="T132" s="152">
        <f t="shared" si="366"/>
        <v>7532.8326808470929</v>
      </c>
      <c r="U132" s="8">
        <f t="shared" si="313"/>
        <v>8.2162207353600003</v>
      </c>
      <c r="V132" s="8">
        <f t="shared" si="314"/>
        <v>8.2162207353600003</v>
      </c>
      <c r="W132" s="134">
        <f t="shared" si="315"/>
        <v>4.1081103676800002</v>
      </c>
      <c r="X132" s="311">
        <f t="shared" si="316"/>
        <v>11.411417688</v>
      </c>
      <c r="Y132" s="11">
        <f t="shared" si="317"/>
        <v>34.234253064000001</v>
      </c>
      <c r="Z132" s="11">
        <f t="shared" si="318"/>
        <v>22.822835376</v>
      </c>
      <c r="AA132" s="316">
        <f t="shared" si="367"/>
        <v>34.234253064000001</v>
      </c>
      <c r="AB132" s="170">
        <f t="shared" si="368"/>
        <v>6.1621655515200002</v>
      </c>
      <c r="AC132" s="11">
        <f t="shared" si="369"/>
        <v>34.234253064000001</v>
      </c>
      <c r="AD132" s="152">
        <f t="shared" si="370"/>
        <v>165.68534631625698</v>
      </c>
      <c r="AE132" s="151">
        <f t="shared" si="319"/>
        <v>5.7725930903953397</v>
      </c>
      <c r="AF132" s="12">
        <f t="shared" si="320"/>
        <v>122.02554065501938</v>
      </c>
      <c r="AG132" s="216">
        <f t="shared" si="321"/>
        <v>8.3728015928458167E-3</v>
      </c>
      <c r="AH132" s="2">
        <f t="shared" si="371"/>
        <v>2</v>
      </c>
      <c r="AI132" s="2">
        <f t="shared" si="372"/>
        <v>3</v>
      </c>
      <c r="AJ132" s="127">
        <f t="shared" si="373"/>
        <v>2</v>
      </c>
      <c r="AK132" s="2">
        <f t="shared" si="374"/>
        <v>1.5748031496062995E-2</v>
      </c>
      <c r="AL132" s="8">
        <f t="shared" si="322"/>
        <v>8.8113552134898937E-2</v>
      </c>
      <c r="AM132" s="138">
        <f t="shared" si="375"/>
        <v>0.25</v>
      </c>
      <c r="AN132" s="12">
        <f t="shared" si="323"/>
        <v>7303.66334355045</v>
      </c>
      <c r="AO132" s="138">
        <f t="shared" si="376"/>
        <v>0.25</v>
      </c>
      <c r="AP132" s="116">
        <f t="shared" si="377"/>
        <v>2175570</v>
      </c>
      <c r="AQ132" s="2">
        <f t="shared" si="378"/>
        <v>1.5748031496062995E-2</v>
      </c>
      <c r="AR132" s="8">
        <f t="shared" si="379"/>
        <v>22.822835376</v>
      </c>
      <c r="AS132" s="116">
        <f t="shared" si="380"/>
        <v>2610.6840000000002</v>
      </c>
      <c r="AT132" s="217">
        <f t="shared" si="381"/>
        <v>3.1082474910318424E-2</v>
      </c>
      <c r="AU132" s="207">
        <f t="shared" si="382"/>
        <v>4.7799160925766149</v>
      </c>
      <c r="AV132" s="144">
        <f t="shared" si="383"/>
        <v>3078.7463544339157</v>
      </c>
      <c r="AW132" s="138">
        <f t="shared" si="384"/>
        <v>0.75</v>
      </c>
      <c r="AX132" s="116">
        <f t="shared" si="385"/>
        <v>2175570</v>
      </c>
      <c r="AY132" s="2">
        <f t="shared" si="386"/>
        <v>1.5748031496062995E-2</v>
      </c>
      <c r="AZ132" s="8">
        <f t="shared" si="387"/>
        <v>22.822835376</v>
      </c>
      <c r="BA132" s="116">
        <f t="shared" si="388"/>
        <v>2610.6840000000002</v>
      </c>
      <c r="BB132" s="217">
        <f t="shared" si="389"/>
        <v>9.3247424730955264E-2</v>
      </c>
      <c r="BC132" s="207">
        <f t="shared" si="390"/>
        <v>3.9693234996750237</v>
      </c>
      <c r="BD132" s="144">
        <f t="shared" si="391"/>
        <v>23009.789326333717</v>
      </c>
      <c r="BE132" s="138">
        <f t="shared" si="392"/>
        <v>0.75</v>
      </c>
      <c r="BF132" s="116">
        <f t="shared" si="393"/>
        <v>2175570</v>
      </c>
      <c r="BG132" s="2">
        <f t="shared" si="394"/>
        <v>1.5748031496062995E-2</v>
      </c>
      <c r="BH132" s="8">
        <f t="shared" si="395"/>
        <v>22.822835376</v>
      </c>
      <c r="BI132" s="116">
        <f t="shared" si="396"/>
        <v>2610.6840000000002</v>
      </c>
      <c r="BJ132" s="217">
        <f t="shared" si="397"/>
        <v>9.3247424730955264E-2</v>
      </c>
      <c r="BK132" s="207">
        <f t="shared" si="398"/>
        <v>3.9693234996750237</v>
      </c>
      <c r="BL132" s="144">
        <f t="shared" si="399"/>
        <v>23009.789326333717</v>
      </c>
      <c r="BM132" s="216">
        <f t="shared" si="400"/>
        <v>0.75</v>
      </c>
      <c r="BN132" s="216">
        <f t="shared" si="401"/>
        <v>2.3622047244094495E-2</v>
      </c>
      <c r="BO132" s="238">
        <f t="shared" si="402"/>
        <v>1.5748031496062995E-2</v>
      </c>
      <c r="BP132" s="216">
        <f t="shared" si="403"/>
        <v>0</v>
      </c>
      <c r="BQ132" s="138">
        <f t="shared" si="404"/>
        <v>0</v>
      </c>
      <c r="BR132" s="138">
        <f t="shared" si="405"/>
        <v>0.75</v>
      </c>
      <c r="BS132" s="238">
        <f t="shared" si="406"/>
        <v>0</v>
      </c>
      <c r="BT132" s="138">
        <f t="shared" si="407"/>
        <v>0</v>
      </c>
      <c r="BU132" s="138">
        <f t="shared" si="408"/>
        <v>0</v>
      </c>
      <c r="BV132" s="138">
        <f t="shared" si="409"/>
        <v>1.5</v>
      </c>
      <c r="BW132" s="238">
        <f t="shared" si="410"/>
        <v>0</v>
      </c>
      <c r="BX132" s="216">
        <f t="shared" si="411"/>
        <v>0</v>
      </c>
      <c r="BY132" s="138">
        <f t="shared" si="412"/>
        <v>0</v>
      </c>
      <c r="BZ132" s="138">
        <f t="shared" si="413"/>
        <v>2.3622047244094495E-2</v>
      </c>
      <c r="CA132" s="238">
        <f t="shared" si="414"/>
        <v>0</v>
      </c>
      <c r="CB132" s="138">
        <f t="shared" si="415"/>
        <v>0</v>
      </c>
      <c r="CC132" s="138">
        <f t="shared" si="416"/>
        <v>0</v>
      </c>
      <c r="CD132" s="138">
        <f t="shared" si="417"/>
        <v>2.3622047244094495E-2</v>
      </c>
      <c r="CE132" s="238">
        <f t="shared" si="418"/>
        <v>0</v>
      </c>
      <c r="CF132" s="216">
        <f t="shared" si="419"/>
        <v>0</v>
      </c>
      <c r="CG132" s="138">
        <f t="shared" si="420"/>
        <v>0</v>
      </c>
      <c r="CH132" s="138">
        <f t="shared" si="421"/>
        <v>1.5748031496062995E-2</v>
      </c>
      <c r="CI132" s="238">
        <f t="shared" si="422"/>
        <v>0</v>
      </c>
      <c r="CJ132" s="138">
        <f t="shared" si="423"/>
        <v>0</v>
      </c>
      <c r="CK132" s="138">
        <f t="shared" si="424"/>
        <v>0</v>
      </c>
      <c r="CL132" s="138">
        <f t="shared" si="425"/>
        <v>1.5748031496062995E-2</v>
      </c>
      <c r="CM132" s="238">
        <f t="shared" si="426"/>
        <v>0</v>
      </c>
      <c r="CN132" s="17">
        <f t="shared" si="427"/>
        <v>1.5</v>
      </c>
      <c r="CO132" s="17">
        <f t="shared" si="428"/>
        <v>2.3622047244094495E-2</v>
      </c>
      <c r="CP132" s="17">
        <f t="shared" si="429"/>
        <v>1.5748031496062995E-2</v>
      </c>
      <c r="CQ132" s="17">
        <f>$U132-IF('Inputs-Imperial'!$E$13,0,2)*($CO132+$CN132+$CP132)</f>
        <v>8.2162207353600003</v>
      </c>
      <c r="CR132" s="116">
        <f t="shared" si="430"/>
        <v>9168.2452595609793</v>
      </c>
      <c r="CS132" s="8">
        <f t="shared" si="324"/>
        <v>0.23704766835831761</v>
      </c>
      <c r="CT132" s="8">
        <f t="shared" si="431"/>
        <v>0.48687541358988096</v>
      </c>
      <c r="CU132" s="8">
        <f t="shared" si="325"/>
        <v>0.23704766835831761</v>
      </c>
      <c r="CV132" s="8">
        <f t="shared" si="432"/>
        <v>0.48687541358988096</v>
      </c>
      <c r="CW132" s="216">
        <f t="shared" si="433"/>
        <v>7.7293453217701185</v>
      </c>
      <c r="CX132" s="116">
        <f t="shared" si="434"/>
        <v>9745.7577158966669</v>
      </c>
      <c r="CY132" s="8">
        <f t="shared" si="435"/>
        <v>0.25197942218323816</v>
      </c>
      <c r="CZ132" s="8">
        <f t="shared" si="436"/>
        <v>0.5019755195059199</v>
      </c>
      <c r="DA132" s="8">
        <f t="shared" si="437"/>
        <v>0.25197942218323816</v>
      </c>
      <c r="DB132" s="8">
        <f t="shared" si="438"/>
        <v>0.5019755195059199</v>
      </c>
      <c r="DC132" s="216">
        <f t="shared" si="439"/>
        <v>7.7142452158540813</v>
      </c>
      <c r="DD132" s="116">
        <f t="shared" si="440"/>
        <v>9764.8343681969636</v>
      </c>
      <c r="DE132" s="8">
        <f t="shared" si="441"/>
        <v>0.25247265461974522</v>
      </c>
      <c r="DF132" s="8">
        <f t="shared" si="442"/>
        <v>0.50246657064897882</v>
      </c>
      <c r="DG132" s="8">
        <f t="shared" si="443"/>
        <v>0.25247265461974522</v>
      </c>
      <c r="DH132" s="8">
        <f t="shared" si="444"/>
        <v>0.50246657064897882</v>
      </c>
      <c r="DI132" s="216">
        <f t="shared" si="445"/>
        <v>7.7137541647110215</v>
      </c>
      <c r="DJ132" s="116">
        <f t="shared" si="446"/>
        <v>9765.4559893915084</v>
      </c>
      <c r="DK132" s="8">
        <f t="shared" si="447"/>
        <v>0.25248872681792461</v>
      </c>
      <c r="DL132" s="8">
        <f t="shared" si="448"/>
        <v>0.50248256369542277</v>
      </c>
      <c r="DM132" s="8">
        <f t="shared" si="449"/>
        <v>0.25248872681792461</v>
      </c>
      <c r="DN132" s="8">
        <f t="shared" si="450"/>
        <v>0.50248256369542277</v>
      </c>
      <c r="DO132" s="216">
        <f t="shared" si="451"/>
        <v>7.713738171664577</v>
      </c>
      <c r="DP132" s="116">
        <f t="shared" si="452"/>
        <v>9765.476236305225</v>
      </c>
      <c r="DQ132" s="170">
        <f t="shared" si="453"/>
        <v>0.25248925030781305</v>
      </c>
      <c r="DR132" s="8">
        <f t="shared" si="454"/>
        <v>0.50248308459868885</v>
      </c>
      <c r="DS132" s="8">
        <f t="shared" si="455"/>
        <v>0.25248925030781305</v>
      </c>
      <c r="DT132" s="134">
        <f t="shared" si="456"/>
        <v>0.50248308459868885</v>
      </c>
      <c r="DU132" s="170">
        <f t="shared" si="560"/>
        <v>0.29183693344119632</v>
      </c>
      <c r="DV132" s="170">
        <f t="shared" si="560"/>
        <v>0.54021933827029589</v>
      </c>
      <c r="DW132" s="170">
        <f t="shared" si="560"/>
        <v>0.29183693344119632</v>
      </c>
      <c r="DX132" s="272">
        <f t="shared" si="560"/>
        <v>0.54021933827029589</v>
      </c>
      <c r="DY132" s="272">
        <f t="shared" si="457"/>
        <v>7.1357820588194087</v>
      </c>
      <c r="DZ132" s="22">
        <f t="shared" si="326"/>
        <v>240.52471209980575</v>
      </c>
      <c r="EA132" s="216">
        <f t="shared" si="327"/>
        <v>1.5758177631919376E-2</v>
      </c>
      <c r="EB132" s="12">
        <f t="shared" si="458"/>
        <v>3</v>
      </c>
      <c r="EC132" s="7">
        <f>ROUND(MAX(DV132,DX132)/'Inputs-Imperial'!$E$21,0)</f>
        <v>5</v>
      </c>
      <c r="ED132" s="12">
        <f t="shared" si="459"/>
        <v>5</v>
      </c>
      <c r="EE132" s="2">
        <f t="shared" si="460"/>
        <v>3</v>
      </c>
      <c r="EF132" s="127">
        <f t="shared" si="461"/>
        <v>3</v>
      </c>
      <c r="EG132" s="2">
        <f t="shared" si="462"/>
        <v>2.3622047244094495E-2</v>
      </c>
      <c r="EH132" s="8">
        <f t="shared" si="328"/>
        <v>0.16583565141535717</v>
      </c>
      <c r="EI132" s="138">
        <f t="shared" si="463"/>
        <v>0.25</v>
      </c>
      <c r="EJ132" s="12">
        <f t="shared" si="329"/>
        <v>9163.9915310025972</v>
      </c>
      <c r="EK132" s="138">
        <f t="shared" si="464"/>
        <v>0.25</v>
      </c>
      <c r="EL132" s="116">
        <f t="shared" si="465"/>
        <v>2175570</v>
      </c>
      <c r="EM132" s="2">
        <f t="shared" si="330"/>
        <v>2.3622047244094495E-2</v>
      </c>
      <c r="EN132" s="8">
        <f t="shared" si="466"/>
        <v>8.2162207353600003</v>
      </c>
      <c r="EO132" s="116">
        <f t="shared" si="467"/>
        <v>2610.6840000000002</v>
      </c>
      <c r="EP132" s="217">
        <f t="shared" si="468"/>
        <v>0.35975086701757425</v>
      </c>
      <c r="EQ132" s="207">
        <f t="shared" si="469"/>
        <v>2.3231272965879812</v>
      </c>
      <c r="ER132" s="144">
        <f t="shared" si="470"/>
        <v>11545.736557024007</v>
      </c>
      <c r="ES132" s="138">
        <f t="shared" si="331"/>
        <v>0.25</v>
      </c>
      <c r="ET132" s="116">
        <f t="shared" si="471"/>
        <v>2175570</v>
      </c>
      <c r="EU132" s="2">
        <f t="shared" si="332"/>
        <v>2.3622047244094495E-2</v>
      </c>
      <c r="EV132" s="8">
        <f t="shared" si="472"/>
        <v>8.2162207353600003</v>
      </c>
      <c r="EW132" s="116">
        <f t="shared" si="473"/>
        <v>2610.6840000000002</v>
      </c>
      <c r="EX132" s="217">
        <f t="shared" si="474"/>
        <v>0.35975086701757425</v>
      </c>
      <c r="EY132" s="207">
        <f t="shared" si="475"/>
        <v>2.3231272965879812</v>
      </c>
      <c r="EZ132" s="144">
        <f t="shared" si="476"/>
        <v>11545.736557024007</v>
      </c>
      <c r="FA132" s="138">
        <f t="shared" si="333"/>
        <v>0.25</v>
      </c>
      <c r="FB132" s="116">
        <f t="shared" si="477"/>
        <v>2175570</v>
      </c>
      <c r="FC132" s="2">
        <f t="shared" si="334"/>
        <v>2.3622047244094495E-2</v>
      </c>
      <c r="FD132" s="8">
        <f t="shared" si="478"/>
        <v>8.2162207353600003</v>
      </c>
      <c r="FE132" s="116">
        <f t="shared" si="479"/>
        <v>2610.6840000000002</v>
      </c>
      <c r="FF132" s="217">
        <f t="shared" si="480"/>
        <v>0.35975086701757425</v>
      </c>
      <c r="FG132" s="207">
        <f t="shared" si="481"/>
        <v>2.3231272965879812</v>
      </c>
      <c r="FH132" s="144">
        <f t="shared" si="482"/>
        <v>11545.736557024007</v>
      </c>
      <c r="FI132" s="128">
        <f t="shared" si="483"/>
        <v>0.25</v>
      </c>
      <c r="FJ132" s="2">
        <f t="shared" si="484"/>
        <v>2.3622047244094495E-2</v>
      </c>
      <c r="FK132" s="127">
        <f t="shared" si="485"/>
        <v>2.3622047244094495E-2</v>
      </c>
      <c r="FL132" s="216">
        <f t="shared" si="486"/>
        <v>0</v>
      </c>
      <c r="FM132" s="138">
        <f t="shared" si="487"/>
        <v>0</v>
      </c>
      <c r="FN132" s="138">
        <f t="shared" si="488"/>
        <v>0.25</v>
      </c>
      <c r="FO132" s="238">
        <f t="shared" si="489"/>
        <v>0</v>
      </c>
      <c r="FP132" s="216">
        <f t="shared" si="335"/>
        <v>0</v>
      </c>
      <c r="FQ132" s="138">
        <f t="shared" si="336"/>
        <v>0</v>
      </c>
      <c r="FR132" s="138">
        <f t="shared" si="337"/>
        <v>0.5</v>
      </c>
      <c r="FS132" s="238">
        <f t="shared" si="338"/>
        <v>0</v>
      </c>
      <c r="FT132" s="216">
        <f t="shared" si="490"/>
        <v>0</v>
      </c>
      <c r="FU132" s="138">
        <f t="shared" si="491"/>
        <v>0</v>
      </c>
      <c r="FV132" s="138">
        <f t="shared" si="492"/>
        <v>2.3622047244094495E-2</v>
      </c>
      <c r="FW132" s="238">
        <f t="shared" si="493"/>
        <v>0</v>
      </c>
      <c r="FX132" s="216">
        <f t="shared" si="339"/>
        <v>0</v>
      </c>
      <c r="FY132" s="138">
        <f t="shared" si="340"/>
        <v>0</v>
      </c>
      <c r="FZ132" s="138">
        <f t="shared" si="341"/>
        <v>3.1496062992125991E-2</v>
      </c>
      <c r="GA132" s="238">
        <f t="shared" si="342"/>
        <v>0</v>
      </c>
      <c r="GB132" s="216">
        <f t="shared" si="494"/>
        <v>0</v>
      </c>
      <c r="GC132" s="138">
        <f t="shared" si="495"/>
        <v>0</v>
      </c>
      <c r="GD132" s="138">
        <f t="shared" si="496"/>
        <v>2.3622047244094495E-2</v>
      </c>
      <c r="GE132" s="238">
        <f t="shared" si="497"/>
        <v>0</v>
      </c>
      <c r="GF132" s="216">
        <f t="shared" si="343"/>
        <v>0</v>
      </c>
      <c r="GG132" s="138">
        <f t="shared" si="344"/>
        <v>0</v>
      </c>
      <c r="GH132" s="138">
        <f t="shared" si="345"/>
        <v>3.1496062992125991E-2</v>
      </c>
      <c r="GI132" s="238">
        <f t="shared" si="346"/>
        <v>0</v>
      </c>
      <c r="GJ132" s="216">
        <f t="shared" si="498"/>
        <v>0.5</v>
      </c>
      <c r="GK132" s="216">
        <f t="shared" si="499"/>
        <v>3.1496062992125991E-2</v>
      </c>
      <c r="GL132" s="17">
        <f t="shared" si="500"/>
        <v>3.1496062992125991E-2</v>
      </c>
      <c r="GM132" s="216">
        <f t="shared" si="347"/>
        <v>7.9946053296797524E-3</v>
      </c>
      <c r="GN132" s="2">
        <f t="shared" si="501"/>
        <v>2</v>
      </c>
      <c r="GO132" s="2">
        <f t="shared" si="502"/>
        <v>2</v>
      </c>
      <c r="GP132" s="142">
        <f t="shared" si="503"/>
        <v>2</v>
      </c>
      <c r="GQ132" s="2">
        <f t="shared" si="504"/>
        <v>1.5748031496062995E-2</v>
      </c>
      <c r="GR132" s="8">
        <f t="shared" si="348"/>
        <v>8.4133496500930355E-2</v>
      </c>
      <c r="GS132" s="138">
        <f t="shared" si="505"/>
        <v>0.25</v>
      </c>
      <c r="GT132" s="12">
        <f t="shared" si="349"/>
        <v>6973.7596484343558</v>
      </c>
      <c r="GU132" s="138">
        <f t="shared" si="506"/>
        <v>0.25</v>
      </c>
      <c r="GV132" s="116">
        <f t="shared" si="507"/>
        <v>2175570</v>
      </c>
      <c r="GW132" s="2">
        <f t="shared" si="350"/>
        <v>2.3622047244094495E-2</v>
      </c>
      <c r="GX132" s="8">
        <f t="shared" si="351"/>
        <v>4.1081103676800002</v>
      </c>
      <c r="GY132" s="116">
        <f t="shared" si="508"/>
        <v>2610.6840000000002</v>
      </c>
      <c r="GZ132" s="217">
        <f t="shared" si="509"/>
        <v>1.439003468070297</v>
      </c>
      <c r="HA132" s="207">
        <f t="shared" si="510"/>
        <v>2</v>
      </c>
      <c r="HB132" s="144">
        <f t="shared" si="511"/>
        <v>39759.290242877134</v>
      </c>
      <c r="HC132" s="138">
        <f t="shared" si="352"/>
        <v>0.25</v>
      </c>
      <c r="HD132" s="116">
        <f t="shared" si="512"/>
        <v>2175570</v>
      </c>
      <c r="HE132" s="2">
        <f t="shared" si="353"/>
        <v>2.3622047244094495E-2</v>
      </c>
      <c r="HF132" s="8">
        <f t="shared" si="513"/>
        <v>4.1081103676800002</v>
      </c>
      <c r="HG132" s="116">
        <f t="shared" si="514"/>
        <v>2610.6840000000002</v>
      </c>
      <c r="HH132" s="217">
        <f t="shared" si="515"/>
        <v>1.439003468070297</v>
      </c>
      <c r="HI132" s="207">
        <f t="shared" si="516"/>
        <v>2</v>
      </c>
      <c r="HJ132" s="144">
        <f t="shared" si="517"/>
        <v>39759.290242877134</v>
      </c>
      <c r="HK132" s="138">
        <f t="shared" si="354"/>
        <v>0.25</v>
      </c>
      <c r="HL132" s="116">
        <f t="shared" si="518"/>
        <v>2175570</v>
      </c>
      <c r="HM132" s="2">
        <f t="shared" si="355"/>
        <v>2.3622047244094495E-2</v>
      </c>
      <c r="HN132" s="8">
        <f t="shared" si="519"/>
        <v>4.1081103676800002</v>
      </c>
      <c r="HO132" s="116">
        <f t="shared" si="520"/>
        <v>2610.6840000000002</v>
      </c>
      <c r="HP132" s="217">
        <f t="shared" si="521"/>
        <v>1.439003468070297</v>
      </c>
      <c r="HQ132" s="207">
        <f t="shared" si="522"/>
        <v>2</v>
      </c>
      <c r="HR132" s="144">
        <f t="shared" si="523"/>
        <v>39759.290242877134</v>
      </c>
      <c r="HS132" s="128">
        <f t="shared" si="524"/>
        <v>0.25</v>
      </c>
      <c r="HT132" s="2">
        <f t="shared" si="525"/>
        <v>1.5748031496062995E-2</v>
      </c>
      <c r="HU132" s="127">
        <f t="shared" si="526"/>
        <v>1.5748031496062995E-2</v>
      </c>
      <c r="HV132" s="216">
        <f t="shared" si="527"/>
        <v>0</v>
      </c>
      <c r="HW132" s="138">
        <f t="shared" si="528"/>
        <v>0</v>
      </c>
      <c r="HX132" s="138">
        <f t="shared" si="529"/>
        <v>0.25</v>
      </c>
      <c r="HY132" s="238">
        <f t="shared" si="530"/>
        <v>0</v>
      </c>
      <c r="HZ132" s="138">
        <f t="shared" si="531"/>
        <v>0</v>
      </c>
      <c r="IA132" s="138">
        <f t="shared" si="532"/>
        <v>0</v>
      </c>
      <c r="IB132" s="138">
        <f t="shared" si="533"/>
        <v>0.25</v>
      </c>
      <c r="IC132" s="138">
        <f t="shared" si="534"/>
        <v>0</v>
      </c>
      <c r="ID132" s="216">
        <f t="shared" si="535"/>
        <v>0</v>
      </c>
      <c r="IE132" s="138">
        <f t="shared" si="536"/>
        <v>0</v>
      </c>
      <c r="IF132" s="138">
        <f t="shared" si="537"/>
        <v>1.5748031496062995E-2</v>
      </c>
      <c r="IG132" s="238">
        <f t="shared" si="538"/>
        <v>0</v>
      </c>
      <c r="IH132" s="138">
        <f t="shared" si="539"/>
        <v>0</v>
      </c>
      <c r="II132" s="138">
        <f t="shared" si="540"/>
        <v>0</v>
      </c>
      <c r="IJ132" s="138">
        <f t="shared" si="541"/>
        <v>1.5748031496062995E-2</v>
      </c>
      <c r="IK132" s="138">
        <f t="shared" si="542"/>
        <v>0</v>
      </c>
      <c r="IL132" s="216">
        <f t="shared" si="543"/>
        <v>0</v>
      </c>
      <c r="IM132" s="138">
        <f t="shared" si="544"/>
        <v>0</v>
      </c>
      <c r="IN132" s="138">
        <f t="shared" si="545"/>
        <v>1.5748031496062995E-2</v>
      </c>
      <c r="IO132" s="238">
        <f t="shared" si="546"/>
        <v>0</v>
      </c>
      <c r="IP132" s="138">
        <f t="shared" si="547"/>
        <v>0</v>
      </c>
      <c r="IQ132" s="138">
        <f t="shared" si="548"/>
        <v>0</v>
      </c>
      <c r="IR132" s="138">
        <f t="shared" si="549"/>
        <v>1.5748031496062995E-2</v>
      </c>
      <c r="IS132" s="138">
        <f t="shared" si="550"/>
        <v>0</v>
      </c>
      <c r="IT132" s="17">
        <f t="shared" si="551"/>
        <v>0.25</v>
      </c>
      <c r="IU132" s="17">
        <f t="shared" si="552"/>
        <v>1.5748031496062995E-2</v>
      </c>
      <c r="IV132" s="17">
        <f t="shared" si="553"/>
        <v>1.5748031496062995E-2</v>
      </c>
      <c r="IW132" s="253">
        <f t="shared" si="554"/>
        <v>22.822835376</v>
      </c>
      <c r="IX132" s="116">
        <f t="shared" si="356"/>
        <v>330.05682934419519</v>
      </c>
      <c r="IY132" s="8">
        <f t="shared" si="357"/>
        <v>8.5337160608994333E-3</v>
      </c>
      <c r="IZ132" s="8">
        <f t="shared" si="555"/>
        <v>8.5337160608994333E-3</v>
      </c>
      <c r="JA132" s="8">
        <f t="shared" si="556"/>
        <v>4.2668580304497166E-3</v>
      </c>
      <c r="JB132" s="134">
        <f t="shared" si="557"/>
        <v>6.5321191281617924E-2</v>
      </c>
      <c r="JC132" s="170">
        <f t="shared" si="561"/>
        <v>4.9108767457898697E-3</v>
      </c>
      <c r="JD132" s="272">
        <f t="shared" si="562"/>
        <v>7.0077647975583982E-2</v>
      </c>
      <c r="JE132" s="8"/>
      <c r="JF132" s="8"/>
    </row>
    <row r="133" spans="1:266" x14ac:dyDescent="0.25">
      <c r="A133" s="186">
        <v>73</v>
      </c>
      <c r="B133" s="187">
        <f>A133/100*'Inputs-Imperial'!$E$5</f>
        <v>17.579396887999998</v>
      </c>
      <c r="C133" s="188">
        <f>'Inputs-Imperial'!$E$10+('Inputs-Imperial'!$E$9-'Inputs-Imperial'!$E$10)*(100-A133)/100</f>
        <v>3.7860073390000002</v>
      </c>
      <c r="D133" s="187">
        <f t="shared" si="558"/>
        <v>0.24081365600000026</v>
      </c>
      <c r="E133" s="188">
        <f t="shared" si="559"/>
        <v>0.91386533673876957</v>
      </c>
      <c r="F133" s="423">
        <f>Loads!P93</f>
        <v>188.97189370691032</v>
      </c>
      <c r="G133" s="423">
        <f>Loads!M93</f>
        <v>1889.7189370691028</v>
      </c>
      <c r="H133" s="423">
        <f>Loads!N93</f>
        <v>5801.4636265664631</v>
      </c>
      <c r="I133" s="423">
        <f>Loads!V93</f>
        <v>-3192.7683526242304</v>
      </c>
      <c r="J133" s="423">
        <f>Loads!Q93</f>
        <v>580.14636265664626</v>
      </c>
      <c r="K133" s="2">
        <v>73</v>
      </c>
      <c r="L133" s="12">
        <f t="shared" si="358"/>
        <v>210.95276265599998</v>
      </c>
      <c r="M133" s="11">
        <f t="shared" si="359"/>
        <v>45.432088067999999</v>
      </c>
      <c r="N133" s="11">
        <f t="shared" si="360"/>
        <v>2.8897638720000032</v>
      </c>
      <c r="O133" s="152">
        <f t="shared" si="361"/>
        <v>131.59660849038281</v>
      </c>
      <c r="P133" s="151">
        <f t="shared" si="362"/>
        <v>188.97189370691032</v>
      </c>
      <c r="Q133" s="12">
        <f t="shared" si="363"/>
        <v>1889.7189370691028</v>
      </c>
      <c r="R133" s="12">
        <f t="shared" si="364"/>
        <v>69617.563518797557</v>
      </c>
      <c r="S133" s="12">
        <f t="shared" si="365"/>
        <v>-38313.220231490763</v>
      </c>
      <c r="T133" s="152">
        <f t="shared" si="366"/>
        <v>6961.7563518797551</v>
      </c>
      <c r="U133" s="8">
        <f t="shared" si="313"/>
        <v>8.1777758522399999</v>
      </c>
      <c r="V133" s="8">
        <f t="shared" si="314"/>
        <v>8.1777758522399999</v>
      </c>
      <c r="W133" s="134">
        <f t="shared" si="315"/>
        <v>4.08888792612</v>
      </c>
      <c r="X133" s="311">
        <f t="shared" si="316"/>
        <v>11.358022017</v>
      </c>
      <c r="Y133" s="11">
        <f t="shared" si="317"/>
        <v>34.074066051000003</v>
      </c>
      <c r="Z133" s="11">
        <f t="shared" si="318"/>
        <v>22.716044034000003</v>
      </c>
      <c r="AA133" s="316">
        <f t="shared" si="367"/>
        <v>34.074066051000003</v>
      </c>
      <c r="AB133" s="170">
        <f t="shared" si="368"/>
        <v>6.1333318891799999</v>
      </c>
      <c r="AC133" s="11">
        <f t="shared" si="369"/>
        <v>34.074066051000003</v>
      </c>
      <c r="AD133" s="152">
        <f t="shared" si="370"/>
        <v>164.13844258041317</v>
      </c>
      <c r="AE133" s="151">
        <f t="shared" si="319"/>
        <v>5.5459155776733136</v>
      </c>
      <c r="AF133" s="12">
        <f t="shared" si="320"/>
        <v>116.71007604669062</v>
      </c>
      <c r="AG133" s="216">
        <f t="shared" si="321"/>
        <v>8.0097035176317343E-3</v>
      </c>
      <c r="AH133" s="2">
        <f t="shared" si="371"/>
        <v>2</v>
      </c>
      <c r="AI133" s="2">
        <f t="shared" si="372"/>
        <v>3</v>
      </c>
      <c r="AJ133" s="127">
        <f t="shared" si="373"/>
        <v>2</v>
      </c>
      <c r="AK133" s="2">
        <f t="shared" si="374"/>
        <v>1.5748031496062995E-2</v>
      </c>
      <c r="AL133" s="8">
        <f t="shared" si="322"/>
        <v>8.4292386563772193E-2</v>
      </c>
      <c r="AM133" s="138">
        <f t="shared" si="375"/>
        <v>0.25</v>
      </c>
      <c r="AN133" s="12">
        <f t="shared" si="323"/>
        <v>6986.9299213323966</v>
      </c>
      <c r="AO133" s="138">
        <f t="shared" si="376"/>
        <v>0.25</v>
      </c>
      <c r="AP133" s="116">
        <f t="shared" si="377"/>
        <v>2175570</v>
      </c>
      <c r="AQ133" s="2">
        <f t="shared" si="378"/>
        <v>1.5748031496062995E-2</v>
      </c>
      <c r="AR133" s="8">
        <f t="shared" si="379"/>
        <v>22.716044034000003</v>
      </c>
      <c r="AS133" s="116">
        <f t="shared" si="380"/>
        <v>2610.6840000000002</v>
      </c>
      <c r="AT133" s="217">
        <f t="shared" si="381"/>
        <v>3.137540809405133E-2</v>
      </c>
      <c r="AU133" s="207">
        <f t="shared" si="382"/>
        <v>4.7754144987677236</v>
      </c>
      <c r="AV133" s="144">
        <f t="shared" si="383"/>
        <v>3104.8348381290484</v>
      </c>
      <c r="AW133" s="138">
        <f t="shared" si="384"/>
        <v>0.75</v>
      </c>
      <c r="AX133" s="116">
        <f t="shared" si="385"/>
        <v>2175570</v>
      </c>
      <c r="AY133" s="2">
        <f t="shared" si="386"/>
        <v>1.5748031496062995E-2</v>
      </c>
      <c r="AZ133" s="8">
        <f t="shared" si="387"/>
        <v>22.716044034000003</v>
      </c>
      <c r="BA133" s="116">
        <f t="shared" si="388"/>
        <v>2610.6840000000002</v>
      </c>
      <c r="BB133" s="217">
        <f t="shared" si="389"/>
        <v>9.4126224282153975E-2</v>
      </c>
      <c r="BC133" s="207">
        <f t="shared" si="390"/>
        <v>3.9597717283155935</v>
      </c>
      <c r="BD133" s="144">
        <f t="shared" si="391"/>
        <v>23170.749878689552</v>
      </c>
      <c r="BE133" s="138">
        <f t="shared" si="392"/>
        <v>0.75</v>
      </c>
      <c r="BF133" s="116">
        <f t="shared" si="393"/>
        <v>2175570</v>
      </c>
      <c r="BG133" s="2">
        <f t="shared" si="394"/>
        <v>1.5748031496062995E-2</v>
      </c>
      <c r="BH133" s="8">
        <f t="shared" si="395"/>
        <v>22.716044034000003</v>
      </c>
      <c r="BI133" s="116">
        <f t="shared" si="396"/>
        <v>2610.6840000000002</v>
      </c>
      <c r="BJ133" s="217">
        <f t="shared" si="397"/>
        <v>9.4126224282153975E-2</v>
      </c>
      <c r="BK133" s="207">
        <f t="shared" si="398"/>
        <v>3.9597717283155935</v>
      </c>
      <c r="BL133" s="144">
        <f t="shared" si="399"/>
        <v>23170.749878689552</v>
      </c>
      <c r="BM133" s="216">
        <f t="shared" si="400"/>
        <v>0.75</v>
      </c>
      <c r="BN133" s="216">
        <f t="shared" si="401"/>
        <v>2.3622047244094495E-2</v>
      </c>
      <c r="BO133" s="238">
        <f t="shared" si="402"/>
        <v>1.5748031496062995E-2</v>
      </c>
      <c r="BP133" s="216">
        <f t="shared" si="403"/>
        <v>0</v>
      </c>
      <c r="BQ133" s="138">
        <f t="shared" si="404"/>
        <v>0</v>
      </c>
      <c r="BR133" s="138">
        <f t="shared" si="405"/>
        <v>0.75</v>
      </c>
      <c r="BS133" s="238">
        <f t="shared" si="406"/>
        <v>0</v>
      </c>
      <c r="BT133" s="138">
        <f t="shared" si="407"/>
        <v>0</v>
      </c>
      <c r="BU133" s="138">
        <f t="shared" si="408"/>
        <v>0</v>
      </c>
      <c r="BV133" s="138">
        <f t="shared" si="409"/>
        <v>1.5</v>
      </c>
      <c r="BW133" s="238">
        <f t="shared" si="410"/>
        <v>0</v>
      </c>
      <c r="BX133" s="216">
        <f t="shared" si="411"/>
        <v>0</v>
      </c>
      <c r="BY133" s="138">
        <f t="shared" si="412"/>
        <v>0</v>
      </c>
      <c r="BZ133" s="138">
        <f t="shared" si="413"/>
        <v>2.3622047244094495E-2</v>
      </c>
      <c r="CA133" s="238">
        <f t="shared" si="414"/>
        <v>0</v>
      </c>
      <c r="CB133" s="138">
        <f t="shared" si="415"/>
        <v>0</v>
      </c>
      <c r="CC133" s="138">
        <f t="shared" si="416"/>
        <v>0</v>
      </c>
      <c r="CD133" s="138">
        <f t="shared" si="417"/>
        <v>2.3622047244094495E-2</v>
      </c>
      <c r="CE133" s="238">
        <f t="shared" si="418"/>
        <v>0</v>
      </c>
      <c r="CF133" s="216">
        <f t="shared" si="419"/>
        <v>0</v>
      </c>
      <c r="CG133" s="138">
        <f t="shared" si="420"/>
        <v>0</v>
      </c>
      <c r="CH133" s="138">
        <f t="shared" si="421"/>
        <v>1.5748031496062995E-2</v>
      </c>
      <c r="CI133" s="238">
        <f t="shared" si="422"/>
        <v>0</v>
      </c>
      <c r="CJ133" s="138">
        <f t="shared" si="423"/>
        <v>0</v>
      </c>
      <c r="CK133" s="138">
        <f t="shared" si="424"/>
        <v>0</v>
      </c>
      <c r="CL133" s="138">
        <f t="shared" si="425"/>
        <v>1.5748031496062995E-2</v>
      </c>
      <c r="CM133" s="238">
        <f t="shared" si="426"/>
        <v>0</v>
      </c>
      <c r="CN133" s="17">
        <f t="shared" si="427"/>
        <v>1.5</v>
      </c>
      <c r="CO133" s="17">
        <f t="shared" si="428"/>
        <v>2.3622047244094495E-2</v>
      </c>
      <c r="CP133" s="17">
        <f t="shared" si="429"/>
        <v>1.5748031496062995E-2</v>
      </c>
      <c r="CQ133" s="17">
        <f>$U133-IF('Inputs-Imperial'!$E$13,0,2)*($CO133+$CN133+$CP133)</f>
        <v>8.1777758522399999</v>
      </c>
      <c r="CR133" s="116">
        <f t="shared" si="430"/>
        <v>8513.0192825875019</v>
      </c>
      <c r="CS133" s="8">
        <f t="shared" si="324"/>
        <v>0.22010660867981585</v>
      </c>
      <c r="CT133" s="8">
        <f t="shared" si="431"/>
        <v>0.46915520745251871</v>
      </c>
      <c r="CU133" s="8">
        <f t="shared" si="325"/>
        <v>0.22010660867981585</v>
      </c>
      <c r="CV133" s="8">
        <f t="shared" si="432"/>
        <v>0.46915520745251871</v>
      </c>
      <c r="CW133" s="216">
        <f t="shared" si="433"/>
        <v>7.7086206447874819</v>
      </c>
      <c r="CX133" s="116">
        <f t="shared" si="434"/>
        <v>9031.1310838564204</v>
      </c>
      <c r="CY133" s="8">
        <f t="shared" si="435"/>
        <v>0.2335025411579143</v>
      </c>
      <c r="CZ133" s="8">
        <f t="shared" si="436"/>
        <v>0.48322100653625799</v>
      </c>
      <c r="DA133" s="8">
        <f t="shared" si="437"/>
        <v>0.2335025411579143</v>
      </c>
      <c r="DB133" s="8">
        <f t="shared" si="438"/>
        <v>0.48322100653625799</v>
      </c>
      <c r="DC133" s="216">
        <f t="shared" si="439"/>
        <v>7.6945548457037418</v>
      </c>
      <c r="DD133" s="116">
        <f t="shared" si="440"/>
        <v>9047.6401708499816</v>
      </c>
      <c r="DE133" s="8">
        <f t="shared" si="441"/>
        <v>0.23392938844087363</v>
      </c>
      <c r="DF133" s="8">
        <f t="shared" si="442"/>
        <v>0.4836624736744351</v>
      </c>
      <c r="DG133" s="8">
        <f t="shared" si="443"/>
        <v>0.23392938844087363</v>
      </c>
      <c r="DH133" s="8">
        <f t="shared" si="444"/>
        <v>0.4836624736744351</v>
      </c>
      <c r="DI133" s="216">
        <f t="shared" si="445"/>
        <v>7.6941133785655644</v>
      </c>
      <c r="DJ133" s="116">
        <f t="shared" si="446"/>
        <v>9048.1592996458494</v>
      </c>
      <c r="DK133" s="8">
        <f t="shared" si="447"/>
        <v>0.23394281066804515</v>
      </c>
      <c r="DL133" s="8">
        <f t="shared" si="448"/>
        <v>0.48367634908898033</v>
      </c>
      <c r="DM133" s="8">
        <f t="shared" si="449"/>
        <v>0.23394281066804515</v>
      </c>
      <c r="DN133" s="8">
        <f t="shared" si="450"/>
        <v>0.48367634908898033</v>
      </c>
      <c r="DO133" s="216">
        <f t="shared" si="451"/>
        <v>7.6940995031510191</v>
      </c>
      <c r="DP133" s="116">
        <f t="shared" si="452"/>
        <v>9048.1756169499222</v>
      </c>
      <c r="DQ133" s="170">
        <f t="shared" si="453"/>
        <v>0.23394323255672447</v>
      </c>
      <c r="DR133" s="8">
        <f t="shared" si="454"/>
        <v>0.48367678521583446</v>
      </c>
      <c r="DS133" s="8">
        <f t="shared" si="455"/>
        <v>0.23394323255672447</v>
      </c>
      <c r="DT133" s="134">
        <f t="shared" si="456"/>
        <v>0.48367678521583446</v>
      </c>
      <c r="DU133" s="170">
        <f t="shared" si="560"/>
        <v>0.29183693344119632</v>
      </c>
      <c r="DV133" s="170">
        <f t="shared" si="560"/>
        <v>0.54021933827029589</v>
      </c>
      <c r="DW133" s="170">
        <f t="shared" si="560"/>
        <v>0.29183693344119632</v>
      </c>
      <c r="DX133" s="272">
        <f t="shared" si="560"/>
        <v>0.54021933827029589</v>
      </c>
      <c r="DY133" s="272">
        <f t="shared" si="457"/>
        <v>7.0973371756994084</v>
      </c>
      <c r="DZ133" s="22">
        <f t="shared" si="326"/>
        <v>231.07981573638804</v>
      </c>
      <c r="EA133" s="216">
        <f t="shared" si="327"/>
        <v>1.5139387349164368E-2</v>
      </c>
      <c r="EB133" s="12">
        <f t="shared" si="458"/>
        <v>2</v>
      </c>
      <c r="EC133" s="7">
        <f>ROUND(MAX(DV133,DX133)/'Inputs-Imperial'!$E$21,0)</f>
        <v>5</v>
      </c>
      <c r="ED133" s="12">
        <f t="shared" si="459"/>
        <v>5</v>
      </c>
      <c r="EE133" s="2">
        <f t="shared" si="460"/>
        <v>3</v>
      </c>
      <c r="EF133" s="127">
        <f t="shared" si="461"/>
        <v>3</v>
      </c>
      <c r="EG133" s="2">
        <f t="shared" si="462"/>
        <v>2.3622047244094495E-2</v>
      </c>
      <c r="EH133" s="8">
        <f t="shared" si="328"/>
        <v>0.15932363638245703</v>
      </c>
      <c r="EI133" s="138">
        <f t="shared" si="463"/>
        <v>0.25</v>
      </c>
      <c r="EJ133" s="12">
        <f t="shared" si="329"/>
        <v>8804.1409795563832</v>
      </c>
      <c r="EK133" s="138">
        <f t="shared" si="464"/>
        <v>0.25</v>
      </c>
      <c r="EL133" s="116">
        <f t="shared" si="465"/>
        <v>2175570</v>
      </c>
      <c r="EM133" s="2">
        <f t="shared" si="330"/>
        <v>2.3622047244094495E-2</v>
      </c>
      <c r="EN133" s="8">
        <f t="shared" si="466"/>
        <v>8.1777758522399999</v>
      </c>
      <c r="EO133" s="116">
        <f t="shared" si="467"/>
        <v>2610.6840000000002</v>
      </c>
      <c r="EP133" s="217">
        <f t="shared" si="468"/>
        <v>0.36314129738485335</v>
      </c>
      <c r="EQ133" s="207">
        <f t="shared" si="469"/>
        <v>2.3057953291150937</v>
      </c>
      <c r="ER133" s="144">
        <f t="shared" si="470"/>
        <v>11567.597872108379</v>
      </c>
      <c r="ES133" s="138">
        <f t="shared" si="331"/>
        <v>0.25</v>
      </c>
      <c r="ET133" s="116">
        <f t="shared" si="471"/>
        <v>2175570</v>
      </c>
      <c r="EU133" s="2">
        <f t="shared" si="332"/>
        <v>2.3622047244094495E-2</v>
      </c>
      <c r="EV133" s="8">
        <f t="shared" si="472"/>
        <v>8.1777758522399999</v>
      </c>
      <c r="EW133" s="116">
        <f t="shared" si="473"/>
        <v>2610.6840000000002</v>
      </c>
      <c r="EX133" s="217">
        <f t="shared" si="474"/>
        <v>0.36314129738485335</v>
      </c>
      <c r="EY133" s="207">
        <f t="shared" si="475"/>
        <v>2.3057953291150937</v>
      </c>
      <c r="EZ133" s="144">
        <f t="shared" si="476"/>
        <v>11567.597872108379</v>
      </c>
      <c r="FA133" s="138">
        <f t="shared" si="333"/>
        <v>0.25</v>
      </c>
      <c r="FB133" s="116">
        <f t="shared" si="477"/>
        <v>2175570</v>
      </c>
      <c r="FC133" s="2">
        <f t="shared" si="334"/>
        <v>2.3622047244094495E-2</v>
      </c>
      <c r="FD133" s="8">
        <f t="shared" si="478"/>
        <v>8.1777758522399999</v>
      </c>
      <c r="FE133" s="116">
        <f t="shared" si="479"/>
        <v>2610.6840000000002</v>
      </c>
      <c r="FF133" s="217">
        <f t="shared" si="480"/>
        <v>0.36314129738485335</v>
      </c>
      <c r="FG133" s="207">
        <f t="shared" si="481"/>
        <v>2.3057953291150937</v>
      </c>
      <c r="FH133" s="144">
        <f t="shared" si="482"/>
        <v>11567.597872108379</v>
      </c>
      <c r="FI133" s="128">
        <f t="shared" si="483"/>
        <v>0.25</v>
      </c>
      <c r="FJ133" s="2">
        <f t="shared" si="484"/>
        <v>2.3622047244094495E-2</v>
      </c>
      <c r="FK133" s="127">
        <f t="shared" si="485"/>
        <v>2.3622047244094495E-2</v>
      </c>
      <c r="FL133" s="216">
        <f t="shared" si="486"/>
        <v>0</v>
      </c>
      <c r="FM133" s="138">
        <f t="shared" si="487"/>
        <v>0</v>
      </c>
      <c r="FN133" s="138">
        <f t="shared" si="488"/>
        <v>0.25</v>
      </c>
      <c r="FO133" s="238">
        <f t="shared" si="489"/>
        <v>0</v>
      </c>
      <c r="FP133" s="216">
        <f t="shared" si="335"/>
        <v>0</v>
      </c>
      <c r="FQ133" s="138">
        <f t="shared" si="336"/>
        <v>0</v>
      </c>
      <c r="FR133" s="138">
        <f t="shared" si="337"/>
        <v>0.5</v>
      </c>
      <c r="FS133" s="238">
        <f t="shared" si="338"/>
        <v>0</v>
      </c>
      <c r="FT133" s="216">
        <f t="shared" si="490"/>
        <v>0</v>
      </c>
      <c r="FU133" s="138">
        <f t="shared" si="491"/>
        <v>0</v>
      </c>
      <c r="FV133" s="138">
        <f t="shared" si="492"/>
        <v>2.3622047244094495E-2</v>
      </c>
      <c r="FW133" s="238">
        <f t="shared" si="493"/>
        <v>0</v>
      </c>
      <c r="FX133" s="216">
        <f t="shared" si="339"/>
        <v>0</v>
      </c>
      <c r="FY133" s="138">
        <f t="shared" si="340"/>
        <v>0</v>
      </c>
      <c r="FZ133" s="138">
        <f t="shared" si="341"/>
        <v>3.1496062992125991E-2</v>
      </c>
      <c r="GA133" s="238">
        <f t="shared" si="342"/>
        <v>0</v>
      </c>
      <c r="GB133" s="216">
        <f t="shared" si="494"/>
        <v>0</v>
      </c>
      <c r="GC133" s="138">
        <f t="shared" si="495"/>
        <v>0</v>
      </c>
      <c r="GD133" s="138">
        <f t="shared" si="496"/>
        <v>2.3622047244094495E-2</v>
      </c>
      <c r="GE133" s="238">
        <f t="shared" si="497"/>
        <v>0</v>
      </c>
      <c r="GF133" s="216">
        <f t="shared" si="343"/>
        <v>0</v>
      </c>
      <c r="GG133" s="138">
        <f t="shared" si="344"/>
        <v>0</v>
      </c>
      <c r="GH133" s="138">
        <f t="shared" si="345"/>
        <v>3.1496062992125991E-2</v>
      </c>
      <c r="GI133" s="238">
        <f t="shared" si="346"/>
        <v>0</v>
      </c>
      <c r="GJ133" s="216">
        <f t="shared" si="498"/>
        <v>0.5</v>
      </c>
      <c r="GK133" s="216">
        <f t="shared" si="499"/>
        <v>3.1496062992125991E-2</v>
      </c>
      <c r="GL133" s="17">
        <f t="shared" si="500"/>
        <v>3.1496062992125991E-2</v>
      </c>
      <c r="GM133" s="216">
        <f t="shared" si="347"/>
        <v>7.6463582212517893E-3</v>
      </c>
      <c r="GN133" s="2">
        <f t="shared" si="501"/>
        <v>1</v>
      </c>
      <c r="GO133" s="2">
        <f t="shared" si="502"/>
        <v>2</v>
      </c>
      <c r="GP133" s="142">
        <f t="shared" si="503"/>
        <v>2</v>
      </c>
      <c r="GQ133" s="2">
        <f t="shared" si="504"/>
        <v>1.5748031496062995E-2</v>
      </c>
      <c r="GR133" s="8">
        <f t="shared" si="348"/>
        <v>8.0468619290593235E-2</v>
      </c>
      <c r="GS133" s="138">
        <f t="shared" si="505"/>
        <v>0.25</v>
      </c>
      <c r="GT133" s="12">
        <f t="shared" si="349"/>
        <v>6669.980846068368</v>
      </c>
      <c r="GU133" s="138">
        <f t="shared" si="506"/>
        <v>0.25</v>
      </c>
      <c r="GV133" s="116">
        <f t="shared" si="507"/>
        <v>2175570</v>
      </c>
      <c r="GW133" s="2">
        <f t="shared" si="350"/>
        <v>2.3622047244094495E-2</v>
      </c>
      <c r="GX133" s="8">
        <f t="shared" si="351"/>
        <v>4.08888792612</v>
      </c>
      <c r="GY133" s="116">
        <f t="shared" si="508"/>
        <v>2610.6840000000002</v>
      </c>
      <c r="GZ133" s="217">
        <f t="shared" si="509"/>
        <v>1.4525651895394134</v>
      </c>
      <c r="HA133" s="207">
        <f t="shared" si="510"/>
        <v>2</v>
      </c>
      <c r="HB133" s="144">
        <f t="shared" si="511"/>
        <v>40133.997067459524</v>
      </c>
      <c r="HC133" s="138">
        <f t="shared" si="352"/>
        <v>0.25</v>
      </c>
      <c r="HD133" s="116">
        <f t="shared" si="512"/>
        <v>2175570</v>
      </c>
      <c r="HE133" s="2">
        <f t="shared" si="353"/>
        <v>2.3622047244094495E-2</v>
      </c>
      <c r="HF133" s="8">
        <f t="shared" si="513"/>
        <v>4.08888792612</v>
      </c>
      <c r="HG133" s="116">
        <f t="shared" si="514"/>
        <v>2610.6840000000002</v>
      </c>
      <c r="HH133" s="217">
        <f t="shared" si="515"/>
        <v>1.4525651895394134</v>
      </c>
      <c r="HI133" s="207">
        <f t="shared" si="516"/>
        <v>2</v>
      </c>
      <c r="HJ133" s="144">
        <f t="shared" si="517"/>
        <v>40133.997067459524</v>
      </c>
      <c r="HK133" s="138">
        <f t="shared" si="354"/>
        <v>0.25</v>
      </c>
      <c r="HL133" s="116">
        <f t="shared" si="518"/>
        <v>2175570</v>
      </c>
      <c r="HM133" s="2">
        <f t="shared" si="355"/>
        <v>2.3622047244094495E-2</v>
      </c>
      <c r="HN133" s="8">
        <f t="shared" si="519"/>
        <v>4.08888792612</v>
      </c>
      <c r="HO133" s="116">
        <f t="shared" si="520"/>
        <v>2610.6840000000002</v>
      </c>
      <c r="HP133" s="217">
        <f t="shared" si="521"/>
        <v>1.4525651895394134</v>
      </c>
      <c r="HQ133" s="207">
        <f t="shared" si="522"/>
        <v>2</v>
      </c>
      <c r="HR133" s="144">
        <f t="shared" si="523"/>
        <v>40133.997067459524</v>
      </c>
      <c r="HS133" s="128">
        <f t="shared" si="524"/>
        <v>0.25</v>
      </c>
      <c r="HT133" s="2">
        <f t="shared" si="525"/>
        <v>1.5748031496062995E-2</v>
      </c>
      <c r="HU133" s="127">
        <f t="shared" si="526"/>
        <v>1.5748031496062995E-2</v>
      </c>
      <c r="HV133" s="216">
        <f t="shared" si="527"/>
        <v>0</v>
      </c>
      <c r="HW133" s="138">
        <f t="shared" si="528"/>
        <v>0</v>
      </c>
      <c r="HX133" s="138">
        <f t="shared" si="529"/>
        <v>0.25</v>
      </c>
      <c r="HY133" s="238">
        <f t="shared" si="530"/>
        <v>0</v>
      </c>
      <c r="HZ133" s="138">
        <f t="shared" si="531"/>
        <v>0</v>
      </c>
      <c r="IA133" s="138">
        <f t="shared" si="532"/>
        <v>0</v>
      </c>
      <c r="IB133" s="138">
        <f t="shared" si="533"/>
        <v>0.25</v>
      </c>
      <c r="IC133" s="138">
        <f t="shared" si="534"/>
        <v>0</v>
      </c>
      <c r="ID133" s="216">
        <f t="shared" si="535"/>
        <v>0</v>
      </c>
      <c r="IE133" s="138">
        <f t="shared" si="536"/>
        <v>0</v>
      </c>
      <c r="IF133" s="138">
        <f t="shared" si="537"/>
        <v>1.5748031496062995E-2</v>
      </c>
      <c r="IG133" s="238">
        <f t="shared" si="538"/>
        <v>0</v>
      </c>
      <c r="IH133" s="138">
        <f t="shared" si="539"/>
        <v>0</v>
      </c>
      <c r="II133" s="138">
        <f t="shared" si="540"/>
        <v>0</v>
      </c>
      <c r="IJ133" s="138">
        <f t="shared" si="541"/>
        <v>1.5748031496062995E-2</v>
      </c>
      <c r="IK133" s="138">
        <f t="shared" si="542"/>
        <v>0</v>
      </c>
      <c r="IL133" s="216">
        <f t="shared" si="543"/>
        <v>0</v>
      </c>
      <c r="IM133" s="138">
        <f t="shared" si="544"/>
        <v>0</v>
      </c>
      <c r="IN133" s="138">
        <f t="shared" si="545"/>
        <v>1.5748031496062995E-2</v>
      </c>
      <c r="IO133" s="238">
        <f t="shared" si="546"/>
        <v>0</v>
      </c>
      <c r="IP133" s="138">
        <f t="shared" si="547"/>
        <v>0</v>
      </c>
      <c r="IQ133" s="138">
        <f t="shared" si="548"/>
        <v>0</v>
      </c>
      <c r="IR133" s="138">
        <f t="shared" si="549"/>
        <v>1.5748031496062995E-2</v>
      </c>
      <c r="IS133" s="138">
        <f t="shared" si="550"/>
        <v>0</v>
      </c>
      <c r="IT133" s="17">
        <f t="shared" si="551"/>
        <v>0.25</v>
      </c>
      <c r="IU133" s="17">
        <f t="shared" si="552"/>
        <v>1.5748031496062995E-2</v>
      </c>
      <c r="IV133" s="17">
        <f t="shared" si="553"/>
        <v>1.5748031496062995E-2</v>
      </c>
      <c r="IW133" s="253">
        <f t="shared" si="554"/>
        <v>22.716044034000003</v>
      </c>
      <c r="IX133" s="116">
        <f t="shared" si="356"/>
        <v>306.46869417314997</v>
      </c>
      <c r="IY133" s="8">
        <f t="shared" si="357"/>
        <v>7.9238379124733672E-3</v>
      </c>
      <c r="IZ133" s="8">
        <f t="shared" si="555"/>
        <v>7.9238379124733672E-3</v>
      </c>
      <c r="JA133" s="8">
        <f t="shared" si="556"/>
        <v>3.9619189562366836E-3</v>
      </c>
      <c r="JB133" s="134">
        <f t="shared" si="557"/>
        <v>6.2943776151710845E-2</v>
      </c>
      <c r="JC133" s="170">
        <f t="shared" si="561"/>
        <v>4.9108767457898697E-3</v>
      </c>
      <c r="JD133" s="272">
        <f t="shared" si="562"/>
        <v>7.0077647975583982E-2</v>
      </c>
      <c r="JE133" s="8"/>
      <c r="JF133" s="8"/>
    </row>
    <row r="134" spans="1:266" x14ac:dyDescent="0.25">
      <c r="A134" s="186">
        <v>74</v>
      </c>
      <c r="B134" s="187">
        <f>A134/100*'Inputs-Imperial'!$E$5</f>
        <v>17.820210543999998</v>
      </c>
      <c r="C134" s="188">
        <f>'Inputs-Imperial'!$E$10+('Inputs-Imperial'!$E$9-'Inputs-Imperial'!$E$10)*(100-A134)/100</f>
        <v>3.7682087820000003</v>
      </c>
      <c r="D134" s="187">
        <f t="shared" si="558"/>
        <v>0.24081365600000026</v>
      </c>
      <c r="E134" s="188">
        <f t="shared" si="559"/>
        <v>0.90957920115607527</v>
      </c>
      <c r="F134" s="423">
        <f>Loads!P94</f>
        <v>180.41000949832133</v>
      </c>
      <c r="G134" s="423">
        <f>Loads!M94</f>
        <v>1804.100094983213</v>
      </c>
      <c r="H134" s="423">
        <f>Loads!N94</f>
        <v>5346.3935005184176</v>
      </c>
      <c r="I134" s="423">
        <f>Loads!V94</f>
        <v>-3019.4502970705489</v>
      </c>
      <c r="J134" s="423">
        <f>Loads!Q94</f>
        <v>534.6393500518418</v>
      </c>
      <c r="K134" s="2">
        <v>74</v>
      </c>
      <c r="L134" s="12">
        <f t="shared" si="358"/>
        <v>213.84252652799998</v>
      </c>
      <c r="M134" s="11">
        <f t="shared" si="359"/>
        <v>45.218505384000004</v>
      </c>
      <c r="N134" s="11">
        <f t="shared" si="360"/>
        <v>2.8897638720000032</v>
      </c>
      <c r="O134" s="152">
        <f t="shared" si="361"/>
        <v>130.97940496647485</v>
      </c>
      <c r="P134" s="151">
        <f t="shared" si="362"/>
        <v>180.41000949832133</v>
      </c>
      <c r="Q134" s="12">
        <f t="shared" si="363"/>
        <v>1804.100094983213</v>
      </c>
      <c r="R134" s="12">
        <f t="shared" si="364"/>
        <v>64156.722006221011</v>
      </c>
      <c r="S134" s="12">
        <f t="shared" si="365"/>
        <v>-36233.403564846587</v>
      </c>
      <c r="T134" s="152">
        <f t="shared" si="366"/>
        <v>6415.6722006221016</v>
      </c>
      <c r="U134" s="8">
        <f t="shared" si="313"/>
        <v>8.1393309691199995</v>
      </c>
      <c r="V134" s="8">
        <f t="shared" si="314"/>
        <v>8.1393309691199995</v>
      </c>
      <c r="W134" s="134">
        <f t="shared" si="315"/>
        <v>4.0696654845599998</v>
      </c>
      <c r="X134" s="311">
        <f t="shared" si="316"/>
        <v>11.304626346000001</v>
      </c>
      <c r="Y134" s="11">
        <f t="shared" si="317"/>
        <v>33.913879038000005</v>
      </c>
      <c r="Z134" s="11">
        <f t="shared" si="318"/>
        <v>22.609252692000005</v>
      </c>
      <c r="AA134" s="316">
        <f t="shared" si="367"/>
        <v>33.913879038000005</v>
      </c>
      <c r="AB134" s="170">
        <f t="shared" si="368"/>
        <v>6.1044982268399997</v>
      </c>
      <c r="AC134" s="11">
        <f t="shared" si="369"/>
        <v>33.913879038000005</v>
      </c>
      <c r="AD134" s="152">
        <f t="shared" si="370"/>
        <v>162.59879400446951</v>
      </c>
      <c r="AE134" s="151">
        <f t="shared" si="319"/>
        <v>5.319651264197014</v>
      </c>
      <c r="AF134" s="12">
        <f t="shared" si="320"/>
        <v>111.41965654385666</v>
      </c>
      <c r="AG134" s="216">
        <f t="shared" si="321"/>
        <v>7.6482733645401096E-3</v>
      </c>
      <c r="AH134" s="2">
        <f t="shared" si="371"/>
        <v>1</v>
      </c>
      <c r="AI134" s="2">
        <f t="shared" si="372"/>
        <v>3</v>
      </c>
      <c r="AJ134" s="127">
        <f t="shared" si="373"/>
        <v>2</v>
      </c>
      <c r="AK134" s="2">
        <f t="shared" si="374"/>
        <v>1.5748031496062995E-2</v>
      </c>
      <c r="AL134" s="8">
        <f t="shared" si="322"/>
        <v>8.0488773844133041E-2</v>
      </c>
      <c r="AM134" s="138">
        <f t="shared" si="375"/>
        <v>0.25</v>
      </c>
      <c r="AN134" s="12">
        <f t="shared" si="323"/>
        <v>6671.6514412302668</v>
      </c>
      <c r="AO134" s="138">
        <f t="shared" si="376"/>
        <v>0.25</v>
      </c>
      <c r="AP134" s="116">
        <f t="shared" si="377"/>
        <v>2175570</v>
      </c>
      <c r="AQ134" s="2">
        <f t="shared" si="378"/>
        <v>1.5748031496062995E-2</v>
      </c>
      <c r="AR134" s="8">
        <f t="shared" si="379"/>
        <v>22.609252692000005</v>
      </c>
      <c r="AS134" s="116">
        <f t="shared" si="380"/>
        <v>2610.6840000000002</v>
      </c>
      <c r="AT134" s="217">
        <f t="shared" si="381"/>
        <v>3.1672501948205804E-2</v>
      </c>
      <c r="AU134" s="207">
        <f t="shared" si="382"/>
        <v>4.7708561124685476</v>
      </c>
      <c r="AV134" s="144">
        <f t="shared" si="383"/>
        <v>3131.2427375673897</v>
      </c>
      <c r="AW134" s="138">
        <f t="shared" si="384"/>
        <v>0.75</v>
      </c>
      <c r="AX134" s="116">
        <f t="shared" si="385"/>
        <v>2175570</v>
      </c>
      <c r="AY134" s="2">
        <f t="shared" si="386"/>
        <v>1.5748031496062995E-2</v>
      </c>
      <c r="AZ134" s="8">
        <f t="shared" si="387"/>
        <v>22.609252692000005</v>
      </c>
      <c r="BA134" s="116">
        <f t="shared" si="388"/>
        <v>2610.6840000000002</v>
      </c>
      <c r="BB134" s="217">
        <f t="shared" si="389"/>
        <v>9.5017505844617392E-2</v>
      </c>
      <c r="BC134" s="207">
        <f t="shared" si="390"/>
        <v>3.9501334548931384</v>
      </c>
      <c r="BD134" s="144">
        <f t="shared" si="391"/>
        <v>23333.221043194684</v>
      </c>
      <c r="BE134" s="138">
        <f t="shared" si="392"/>
        <v>0.75</v>
      </c>
      <c r="BF134" s="116">
        <f t="shared" si="393"/>
        <v>2175570</v>
      </c>
      <c r="BG134" s="2">
        <f t="shared" si="394"/>
        <v>1.5748031496062995E-2</v>
      </c>
      <c r="BH134" s="8">
        <f t="shared" si="395"/>
        <v>22.609252692000005</v>
      </c>
      <c r="BI134" s="116">
        <f t="shared" si="396"/>
        <v>2610.6840000000002</v>
      </c>
      <c r="BJ134" s="217">
        <f t="shared" si="397"/>
        <v>9.5017505844617392E-2</v>
      </c>
      <c r="BK134" s="207">
        <f t="shared" si="398"/>
        <v>3.9501334548931384</v>
      </c>
      <c r="BL134" s="144">
        <f t="shared" si="399"/>
        <v>23333.221043194684</v>
      </c>
      <c r="BM134" s="216">
        <f t="shared" si="400"/>
        <v>0.75</v>
      </c>
      <c r="BN134" s="216">
        <f t="shared" si="401"/>
        <v>2.3622047244094495E-2</v>
      </c>
      <c r="BO134" s="238">
        <f t="shared" si="402"/>
        <v>1.5748031496062995E-2</v>
      </c>
      <c r="BP134" s="216">
        <f t="shared" si="403"/>
        <v>0</v>
      </c>
      <c r="BQ134" s="138">
        <f t="shared" si="404"/>
        <v>0</v>
      </c>
      <c r="BR134" s="138">
        <f t="shared" si="405"/>
        <v>0.75</v>
      </c>
      <c r="BS134" s="238">
        <f t="shared" si="406"/>
        <v>0</v>
      </c>
      <c r="BT134" s="138">
        <f t="shared" si="407"/>
        <v>0</v>
      </c>
      <c r="BU134" s="138">
        <f t="shared" si="408"/>
        <v>0</v>
      </c>
      <c r="BV134" s="138">
        <f t="shared" si="409"/>
        <v>1.5</v>
      </c>
      <c r="BW134" s="238">
        <f t="shared" si="410"/>
        <v>0</v>
      </c>
      <c r="BX134" s="216">
        <f t="shared" si="411"/>
        <v>0</v>
      </c>
      <c r="BY134" s="138">
        <f t="shared" si="412"/>
        <v>0</v>
      </c>
      <c r="BZ134" s="138">
        <f t="shared" si="413"/>
        <v>2.3622047244094495E-2</v>
      </c>
      <c r="CA134" s="238">
        <f t="shared" si="414"/>
        <v>0</v>
      </c>
      <c r="CB134" s="138">
        <f t="shared" si="415"/>
        <v>0</v>
      </c>
      <c r="CC134" s="138">
        <f t="shared" si="416"/>
        <v>0</v>
      </c>
      <c r="CD134" s="138">
        <f t="shared" si="417"/>
        <v>2.3622047244094495E-2</v>
      </c>
      <c r="CE134" s="238">
        <f t="shared" si="418"/>
        <v>0</v>
      </c>
      <c r="CF134" s="216">
        <f t="shared" si="419"/>
        <v>0</v>
      </c>
      <c r="CG134" s="138">
        <f t="shared" si="420"/>
        <v>0</v>
      </c>
      <c r="CH134" s="138">
        <f t="shared" si="421"/>
        <v>1.5748031496062995E-2</v>
      </c>
      <c r="CI134" s="238">
        <f t="shared" si="422"/>
        <v>0</v>
      </c>
      <c r="CJ134" s="138">
        <f t="shared" si="423"/>
        <v>0</v>
      </c>
      <c r="CK134" s="138">
        <f t="shared" si="424"/>
        <v>0</v>
      </c>
      <c r="CL134" s="138">
        <f t="shared" si="425"/>
        <v>1.5748031496062995E-2</v>
      </c>
      <c r="CM134" s="238">
        <f t="shared" si="426"/>
        <v>0</v>
      </c>
      <c r="CN134" s="17">
        <f t="shared" si="427"/>
        <v>1.5</v>
      </c>
      <c r="CO134" s="17">
        <f t="shared" si="428"/>
        <v>2.3622047244094495E-2</v>
      </c>
      <c r="CP134" s="17">
        <f t="shared" si="429"/>
        <v>1.5748031496062995E-2</v>
      </c>
      <c r="CQ134" s="17">
        <f>$U134-IF('Inputs-Imperial'!$E$13,0,2)*($CO134+$CN134+$CP134)</f>
        <v>8.1393309691199995</v>
      </c>
      <c r="CR134" s="116">
        <f t="shared" si="430"/>
        <v>7882.3090312492168</v>
      </c>
      <c r="CS134" s="8">
        <f t="shared" si="324"/>
        <v>0.20379941027306334</v>
      </c>
      <c r="CT134" s="8">
        <f t="shared" si="431"/>
        <v>0.45144148045240962</v>
      </c>
      <c r="CU134" s="8">
        <f t="shared" si="325"/>
        <v>0.20379941027306334</v>
      </c>
      <c r="CV134" s="8">
        <f t="shared" si="432"/>
        <v>0.45144148045240962</v>
      </c>
      <c r="CW134" s="216">
        <f t="shared" si="433"/>
        <v>7.6878894886675901</v>
      </c>
      <c r="CX134" s="116">
        <f t="shared" si="434"/>
        <v>8345.167044972728</v>
      </c>
      <c r="CY134" s="8">
        <f t="shared" si="435"/>
        <v>0.21576673987953315</v>
      </c>
      <c r="CZ134" s="8">
        <f t="shared" si="436"/>
        <v>0.46450698582425343</v>
      </c>
      <c r="DA134" s="8">
        <f t="shared" si="437"/>
        <v>0.21576673987953315</v>
      </c>
      <c r="DB134" s="8">
        <f t="shared" si="438"/>
        <v>0.46450698582425343</v>
      </c>
      <c r="DC134" s="216">
        <f t="shared" si="439"/>
        <v>7.6748239832957452</v>
      </c>
      <c r="DD134" s="116">
        <f t="shared" si="440"/>
        <v>8359.3737323302939</v>
      </c>
      <c r="DE134" s="8">
        <f t="shared" si="441"/>
        <v>0.21613405794508059</v>
      </c>
      <c r="DF134" s="8">
        <f t="shared" si="442"/>
        <v>0.46490220255993686</v>
      </c>
      <c r="DG134" s="8">
        <f t="shared" si="443"/>
        <v>0.21613405794508059</v>
      </c>
      <c r="DH134" s="8">
        <f t="shared" si="444"/>
        <v>0.46490220255993686</v>
      </c>
      <c r="DI134" s="216">
        <f t="shared" si="445"/>
        <v>7.6744287665600623</v>
      </c>
      <c r="DJ134" s="116">
        <f t="shared" si="446"/>
        <v>8359.8042222728473</v>
      </c>
      <c r="DK134" s="8">
        <f t="shared" si="447"/>
        <v>0.21614518838872002</v>
      </c>
      <c r="DL134" s="8">
        <f t="shared" si="448"/>
        <v>0.46491417314244143</v>
      </c>
      <c r="DM134" s="8">
        <f t="shared" si="449"/>
        <v>0.21614518838872002</v>
      </c>
      <c r="DN134" s="8">
        <f t="shared" si="450"/>
        <v>0.46491417314244143</v>
      </c>
      <c r="DO134" s="216">
        <f t="shared" si="451"/>
        <v>7.6744167959775584</v>
      </c>
      <c r="DP134" s="116">
        <f t="shared" si="452"/>
        <v>8359.8172619250872</v>
      </c>
      <c r="DQ134" s="170">
        <f t="shared" si="453"/>
        <v>0.21614552553275054</v>
      </c>
      <c r="DR134" s="8">
        <f t="shared" si="454"/>
        <v>0.46491453572968716</v>
      </c>
      <c r="DS134" s="8">
        <f t="shared" si="455"/>
        <v>0.21614552553275054</v>
      </c>
      <c r="DT134" s="134">
        <f t="shared" si="456"/>
        <v>0.46491453572968716</v>
      </c>
      <c r="DU134" s="170">
        <f t="shared" si="560"/>
        <v>0.29183693344119632</v>
      </c>
      <c r="DV134" s="170">
        <f t="shared" si="560"/>
        <v>0.54021933827029589</v>
      </c>
      <c r="DW134" s="170">
        <f t="shared" si="560"/>
        <v>0.29183693344119632</v>
      </c>
      <c r="DX134" s="272">
        <f t="shared" si="560"/>
        <v>0.54021933827029589</v>
      </c>
      <c r="DY134" s="272">
        <f t="shared" si="457"/>
        <v>7.058892292579408</v>
      </c>
      <c r="DZ134" s="22">
        <f t="shared" si="326"/>
        <v>221.65213600820891</v>
      </c>
      <c r="EA134" s="216">
        <f t="shared" si="327"/>
        <v>1.452172502866299E-2</v>
      </c>
      <c r="EB134" s="12">
        <f t="shared" si="458"/>
        <v>2</v>
      </c>
      <c r="EC134" s="7">
        <f>ROUND(MAX(DV134,DX134)/'Inputs-Imperial'!$E$21,0)</f>
        <v>5</v>
      </c>
      <c r="ED134" s="12">
        <f t="shared" si="459"/>
        <v>5</v>
      </c>
      <c r="EE134" s="2">
        <f t="shared" si="460"/>
        <v>3</v>
      </c>
      <c r="EF134" s="127">
        <f t="shared" si="461"/>
        <v>3</v>
      </c>
      <c r="EG134" s="2">
        <f t="shared" si="462"/>
        <v>2.3622047244094495E-2</v>
      </c>
      <c r="EH134" s="8">
        <f t="shared" si="328"/>
        <v>0.15282349178022925</v>
      </c>
      <c r="EI134" s="138">
        <f t="shared" si="463"/>
        <v>0.25</v>
      </c>
      <c r="EJ134" s="12">
        <f t="shared" si="329"/>
        <v>8444.9463819127577</v>
      </c>
      <c r="EK134" s="138">
        <f t="shared" si="464"/>
        <v>0.25</v>
      </c>
      <c r="EL134" s="116">
        <f t="shared" si="465"/>
        <v>2175570</v>
      </c>
      <c r="EM134" s="2">
        <f t="shared" si="330"/>
        <v>2.3622047244094495E-2</v>
      </c>
      <c r="EN134" s="8">
        <f t="shared" si="466"/>
        <v>8.1393309691199995</v>
      </c>
      <c r="EO134" s="116">
        <f t="shared" si="467"/>
        <v>2610.6840000000002</v>
      </c>
      <c r="EP134" s="217">
        <f t="shared" si="468"/>
        <v>0.36657988365978955</v>
      </c>
      <c r="EQ134" s="207">
        <f t="shared" si="469"/>
        <v>2.2879825389032553</v>
      </c>
      <c r="ER134" s="144">
        <f t="shared" si="470"/>
        <v>11586.923017930867</v>
      </c>
      <c r="ES134" s="138">
        <f t="shared" si="331"/>
        <v>0.25</v>
      </c>
      <c r="ET134" s="116">
        <f t="shared" si="471"/>
        <v>2175570</v>
      </c>
      <c r="EU134" s="2">
        <f t="shared" si="332"/>
        <v>2.3622047244094495E-2</v>
      </c>
      <c r="EV134" s="8">
        <f t="shared" si="472"/>
        <v>8.1393309691199995</v>
      </c>
      <c r="EW134" s="116">
        <f t="shared" si="473"/>
        <v>2610.6840000000002</v>
      </c>
      <c r="EX134" s="217">
        <f t="shared" si="474"/>
        <v>0.36657988365978955</v>
      </c>
      <c r="EY134" s="207">
        <f t="shared" si="475"/>
        <v>2.2879825389032553</v>
      </c>
      <c r="EZ134" s="144">
        <f t="shared" si="476"/>
        <v>11586.923017930867</v>
      </c>
      <c r="FA134" s="138">
        <f t="shared" si="333"/>
        <v>0.25</v>
      </c>
      <c r="FB134" s="116">
        <f t="shared" si="477"/>
        <v>2175570</v>
      </c>
      <c r="FC134" s="2">
        <f t="shared" si="334"/>
        <v>2.3622047244094495E-2</v>
      </c>
      <c r="FD134" s="8">
        <f t="shared" si="478"/>
        <v>8.1393309691199995</v>
      </c>
      <c r="FE134" s="116">
        <f t="shared" si="479"/>
        <v>2610.6840000000002</v>
      </c>
      <c r="FF134" s="217">
        <f t="shared" si="480"/>
        <v>0.36657988365978955</v>
      </c>
      <c r="FG134" s="207">
        <f t="shared" si="481"/>
        <v>2.2879825389032553</v>
      </c>
      <c r="FH134" s="144">
        <f t="shared" si="482"/>
        <v>11586.923017930867</v>
      </c>
      <c r="FI134" s="128">
        <f t="shared" si="483"/>
        <v>0.25</v>
      </c>
      <c r="FJ134" s="2">
        <f t="shared" si="484"/>
        <v>2.3622047244094495E-2</v>
      </c>
      <c r="FK134" s="127">
        <f t="shared" si="485"/>
        <v>2.3622047244094495E-2</v>
      </c>
      <c r="FL134" s="216">
        <f t="shared" si="486"/>
        <v>0</v>
      </c>
      <c r="FM134" s="138">
        <f t="shared" si="487"/>
        <v>0</v>
      </c>
      <c r="FN134" s="138">
        <f t="shared" si="488"/>
        <v>0.25</v>
      </c>
      <c r="FO134" s="238">
        <f t="shared" si="489"/>
        <v>0</v>
      </c>
      <c r="FP134" s="216">
        <f t="shared" si="335"/>
        <v>0</v>
      </c>
      <c r="FQ134" s="138">
        <f t="shared" si="336"/>
        <v>0</v>
      </c>
      <c r="FR134" s="138">
        <f t="shared" si="337"/>
        <v>0.5</v>
      </c>
      <c r="FS134" s="238">
        <f t="shared" si="338"/>
        <v>0</v>
      </c>
      <c r="FT134" s="216">
        <f t="shared" si="490"/>
        <v>0</v>
      </c>
      <c r="FU134" s="138">
        <f t="shared" si="491"/>
        <v>0</v>
      </c>
      <c r="FV134" s="138">
        <f t="shared" si="492"/>
        <v>2.3622047244094495E-2</v>
      </c>
      <c r="FW134" s="238">
        <f t="shared" si="493"/>
        <v>0</v>
      </c>
      <c r="FX134" s="216">
        <f t="shared" si="339"/>
        <v>0</v>
      </c>
      <c r="FY134" s="138">
        <f t="shared" si="340"/>
        <v>0</v>
      </c>
      <c r="FZ134" s="138">
        <f t="shared" si="341"/>
        <v>3.1496062992125991E-2</v>
      </c>
      <c r="GA134" s="238">
        <f t="shared" si="342"/>
        <v>0</v>
      </c>
      <c r="GB134" s="216">
        <f t="shared" si="494"/>
        <v>0</v>
      </c>
      <c r="GC134" s="138">
        <f t="shared" si="495"/>
        <v>0</v>
      </c>
      <c r="GD134" s="138">
        <f t="shared" si="496"/>
        <v>2.3622047244094495E-2</v>
      </c>
      <c r="GE134" s="238">
        <f t="shared" si="497"/>
        <v>0</v>
      </c>
      <c r="GF134" s="216">
        <f t="shared" si="343"/>
        <v>0</v>
      </c>
      <c r="GG134" s="138">
        <f t="shared" si="344"/>
        <v>0</v>
      </c>
      <c r="GH134" s="138">
        <f t="shared" si="345"/>
        <v>3.1496062992125991E-2</v>
      </c>
      <c r="GI134" s="238">
        <f t="shared" si="346"/>
        <v>0</v>
      </c>
      <c r="GJ134" s="216">
        <f t="shared" si="498"/>
        <v>0.5</v>
      </c>
      <c r="GK134" s="216">
        <f t="shared" si="499"/>
        <v>3.1496062992125991E-2</v>
      </c>
      <c r="GL134" s="17">
        <f t="shared" si="500"/>
        <v>3.1496062992125991E-2</v>
      </c>
      <c r="GM134" s="216">
        <f t="shared" si="347"/>
        <v>7.299751963852197E-3</v>
      </c>
      <c r="GN134" s="2">
        <f t="shared" si="501"/>
        <v>1</v>
      </c>
      <c r="GO134" s="2">
        <f t="shared" si="502"/>
        <v>2</v>
      </c>
      <c r="GP134" s="142">
        <f t="shared" si="503"/>
        <v>2</v>
      </c>
      <c r="GQ134" s="2">
        <f t="shared" si="504"/>
        <v>1.5748031496062995E-2</v>
      </c>
      <c r="GR134" s="8">
        <f t="shared" si="348"/>
        <v>7.6821010041407539E-2</v>
      </c>
      <c r="GS134" s="138">
        <f t="shared" si="505"/>
        <v>0.25</v>
      </c>
      <c r="GT134" s="12">
        <f t="shared" si="349"/>
        <v>6367.6333714814073</v>
      </c>
      <c r="GU134" s="138">
        <f t="shared" si="506"/>
        <v>0.25</v>
      </c>
      <c r="GV134" s="116">
        <f t="shared" si="507"/>
        <v>2175570</v>
      </c>
      <c r="GW134" s="2">
        <f t="shared" si="350"/>
        <v>2.3622047244094495E-2</v>
      </c>
      <c r="GX134" s="8">
        <f t="shared" si="351"/>
        <v>4.0696654845599998</v>
      </c>
      <c r="GY134" s="116">
        <f t="shared" si="508"/>
        <v>2610.6840000000002</v>
      </c>
      <c r="GZ134" s="217">
        <f t="shared" si="509"/>
        <v>1.4663195346391582</v>
      </c>
      <c r="HA134" s="207">
        <f t="shared" si="510"/>
        <v>2</v>
      </c>
      <c r="HB134" s="144">
        <f t="shared" si="511"/>
        <v>40514.026032681388</v>
      </c>
      <c r="HC134" s="138">
        <f t="shared" si="352"/>
        <v>0.25</v>
      </c>
      <c r="HD134" s="116">
        <f t="shared" si="512"/>
        <v>2175570</v>
      </c>
      <c r="HE134" s="2">
        <f t="shared" si="353"/>
        <v>2.3622047244094495E-2</v>
      </c>
      <c r="HF134" s="8">
        <f t="shared" si="513"/>
        <v>4.0696654845599998</v>
      </c>
      <c r="HG134" s="116">
        <f t="shared" si="514"/>
        <v>2610.6840000000002</v>
      </c>
      <c r="HH134" s="217">
        <f t="shared" si="515"/>
        <v>1.4663195346391582</v>
      </c>
      <c r="HI134" s="207">
        <f t="shared" si="516"/>
        <v>2</v>
      </c>
      <c r="HJ134" s="144">
        <f t="shared" si="517"/>
        <v>40514.026032681388</v>
      </c>
      <c r="HK134" s="138">
        <f t="shared" si="354"/>
        <v>0.25</v>
      </c>
      <c r="HL134" s="116">
        <f t="shared" si="518"/>
        <v>2175570</v>
      </c>
      <c r="HM134" s="2">
        <f t="shared" si="355"/>
        <v>2.3622047244094495E-2</v>
      </c>
      <c r="HN134" s="8">
        <f t="shared" si="519"/>
        <v>4.0696654845599998</v>
      </c>
      <c r="HO134" s="116">
        <f t="shared" si="520"/>
        <v>2610.6840000000002</v>
      </c>
      <c r="HP134" s="217">
        <f t="shared" si="521"/>
        <v>1.4663195346391582</v>
      </c>
      <c r="HQ134" s="207">
        <f t="shared" si="522"/>
        <v>2</v>
      </c>
      <c r="HR134" s="144">
        <f t="shared" si="523"/>
        <v>40514.026032681388</v>
      </c>
      <c r="HS134" s="128">
        <f t="shared" si="524"/>
        <v>0.25</v>
      </c>
      <c r="HT134" s="2">
        <f t="shared" si="525"/>
        <v>1.5748031496062995E-2</v>
      </c>
      <c r="HU134" s="127">
        <f t="shared" si="526"/>
        <v>1.5748031496062995E-2</v>
      </c>
      <c r="HV134" s="216">
        <f t="shared" si="527"/>
        <v>0</v>
      </c>
      <c r="HW134" s="138">
        <f t="shared" si="528"/>
        <v>0</v>
      </c>
      <c r="HX134" s="138">
        <f t="shared" si="529"/>
        <v>0.25</v>
      </c>
      <c r="HY134" s="238">
        <f t="shared" si="530"/>
        <v>0</v>
      </c>
      <c r="HZ134" s="138">
        <f t="shared" si="531"/>
        <v>0</v>
      </c>
      <c r="IA134" s="138">
        <f t="shared" si="532"/>
        <v>0</v>
      </c>
      <c r="IB134" s="138">
        <f t="shared" si="533"/>
        <v>0.25</v>
      </c>
      <c r="IC134" s="138">
        <f t="shared" si="534"/>
        <v>0</v>
      </c>
      <c r="ID134" s="216">
        <f t="shared" si="535"/>
        <v>0</v>
      </c>
      <c r="IE134" s="138">
        <f t="shared" si="536"/>
        <v>0</v>
      </c>
      <c r="IF134" s="138">
        <f t="shared" si="537"/>
        <v>1.5748031496062995E-2</v>
      </c>
      <c r="IG134" s="238">
        <f t="shared" si="538"/>
        <v>0</v>
      </c>
      <c r="IH134" s="138">
        <f t="shared" si="539"/>
        <v>0</v>
      </c>
      <c r="II134" s="138">
        <f t="shared" si="540"/>
        <v>0</v>
      </c>
      <c r="IJ134" s="138">
        <f t="shared" si="541"/>
        <v>1.5748031496062995E-2</v>
      </c>
      <c r="IK134" s="138">
        <f t="shared" si="542"/>
        <v>0</v>
      </c>
      <c r="IL134" s="216">
        <f t="shared" si="543"/>
        <v>0</v>
      </c>
      <c r="IM134" s="138">
        <f t="shared" si="544"/>
        <v>0</v>
      </c>
      <c r="IN134" s="138">
        <f t="shared" si="545"/>
        <v>1.5748031496062995E-2</v>
      </c>
      <c r="IO134" s="238">
        <f t="shared" si="546"/>
        <v>0</v>
      </c>
      <c r="IP134" s="138">
        <f t="shared" si="547"/>
        <v>0</v>
      </c>
      <c r="IQ134" s="138">
        <f t="shared" si="548"/>
        <v>0</v>
      </c>
      <c r="IR134" s="138">
        <f t="shared" si="549"/>
        <v>1.5748031496062995E-2</v>
      </c>
      <c r="IS134" s="138">
        <f t="shared" si="550"/>
        <v>0</v>
      </c>
      <c r="IT134" s="17">
        <f t="shared" si="551"/>
        <v>0.25</v>
      </c>
      <c r="IU134" s="17">
        <f t="shared" si="552"/>
        <v>1.5748031496062995E-2</v>
      </c>
      <c r="IV134" s="17">
        <f t="shared" si="553"/>
        <v>1.5748031496062995E-2</v>
      </c>
      <c r="IW134" s="253">
        <f t="shared" si="554"/>
        <v>22.609252692000005</v>
      </c>
      <c r="IX134" s="116">
        <f t="shared" si="356"/>
        <v>283.76312512497174</v>
      </c>
      <c r="IY134" s="8">
        <f t="shared" si="357"/>
        <v>7.3367787698302789E-3</v>
      </c>
      <c r="IZ134" s="8">
        <f t="shared" si="555"/>
        <v>7.3367787698302789E-3</v>
      </c>
      <c r="JA134" s="8">
        <f t="shared" si="556"/>
        <v>3.6683893849151395E-3</v>
      </c>
      <c r="JB134" s="134">
        <f t="shared" si="557"/>
        <v>6.0567230289283819E-2</v>
      </c>
      <c r="JC134" s="170">
        <f t="shared" si="561"/>
        <v>4.9108767457898697E-3</v>
      </c>
      <c r="JD134" s="272">
        <f t="shared" si="562"/>
        <v>7.0077647975583982E-2</v>
      </c>
      <c r="JE134" s="8"/>
      <c r="JF134" s="8"/>
    </row>
    <row r="135" spans="1:266" x14ac:dyDescent="0.25">
      <c r="A135" s="186">
        <v>75</v>
      </c>
      <c r="B135" s="187">
        <f>A135/100*'Inputs-Imperial'!$E$5</f>
        <v>18.061024199999999</v>
      </c>
      <c r="C135" s="188">
        <f>'Inputs-Imperial'!$E$10+('Inputs-Imperial'!$E$9-'Inputs-Imperial'!$E$10)*(100-A135)/100</f>
        <v>3.7504102250000004</v>
      </c>
      <c r="D135" s="187">
        <f t="shared" si="558"/>
        <v>0.24081365600000026</v>
      </c>
      <c r="E135" s="188">
        <f t="shared" si="559"/>
        <v>0.90529306557338085</v>
      </c>
      <c r="F135" s="423">
        <f>Loads!P95</f>
        <v>171.9367446491384</v>
      </c>
      <c r="G135" s="423">
        <f>Loads!M95</f>
        <v>1719.3674464913838</v>
      </c>
      <c r="H135" s="423">
        <f>Loads!N95</f>
        <v>4911.9415608555628</v>
      </c>
      <c r="I135" s="423">
        <f>Loads!V95</f>
        <v>-2849.7311034447307</v>
      </c>
      <c r="J135" s="423">
        <f>Loads!Q95</f>
        <v>491.1941560855563</v>
      </c>
      <c r="K135" s="2">
        <v>75</v>
      </c>
      <c r="L135" s="12">
        <f t="shared" si="358"/>
        <v>216.73229039999998</v>
      </c>
      <c r="M135" s="11">
        <f t="shared" si="359"/>
        <v>45.004922700000009</v>
      </c>
      <c r="N135" s="11">
        <f t="shared" si="360"/>
        <v>2.8897638720000032</v>
      </c>
      <c r="O135" s="152">
        <f t="shared" si="361"/>
        <v>130.36220144256686</v>
      </c>
      <c r="P135" s="151">
        <f t="shared" si="362"/>
        <v>171.9367446491384</v>
      </c>
      <c r="Q135" s="12">
        <f t="shared" si="363"/>
        <v>1719.3674464913838</v>
      </c>
      <c r="R135" s="12">
        <f t="shared" si="364"/>
        <v>58943.298730266753</v>
      </c>
      <c r="S135" s="12">
        <f t="shared" si="365"/>
        <v>-34196.77324133677</v>
      </c>
      <c r="T135" s="152">
        <f t="shared" si="366"/>
        <v>5894.3298730266761</v>
      </c>
      <c r="U135" s="8">
        <f t="shared" si="313"/>
        <v>8.1008860860000009</v>
      </c>
      <c r="V135" s="8">
        <f t="shared" si="314"/>
        <v>8.1008860860000009</v>
      </c>
      <c r="W135" s="134">
        <f t="shared" si="315"/>
        <v>4.0504430430000005</v>
      </c>
      <c r="X135" s="311">
        <f t="shared" si="316"/>
        <v>11.251230675000002</v>
      </c>
      <c r="Y135" s="11">
        <f t="shared" si="317"/>
        <v>33.753692025000007</v>
      </c>
      <c r="Z135" s="11">
        <f t="shared" si="318"/>
        <v>22.502461350000004</v>
      </c>
      <c r="AA135" s="316">
        <f t="shared" si="367"/>
        <v>33.753692025000007</v>
      </c>
      <c r="AB135" s="170">
        <f t="shared" si="368"/>
        <v>6.0756645645000003</v>
      </c>
      <c r="AC135" s="11">
        <f t="shared" si="369"/>
        <v>33.753692025000007</v>
      </c>
      <c r="AD135" s="152">
        <f t="shared" si="370"/>
        <v>161.06640058842595</v>
      </c>
      <c r="AE135" s="151">
        <f t="shared" si="319"/>
        <v>5.0938648288249997</v>
      </c>
      <c r="AF135" s="12">
        <f t="shared" si="320"/>
        <v>106.15737707059095</v>
      </c>
      <c r="AG135" s="216">
        <f t="shared" si="321"/>
        <v>7.2887181375989856E-3</v>
      </c>
      <c r="AH135" s="2">
        <f t="shared" si="371"/>
        <v>1</v>
      </c>
      <c r="AI135" s="2">
        <f t="shared" si="372"/>
        <v>3</v>
      </c>
      <c r="AJ135" s="127">
        <f t="shared" si="373"/>
        <v>2</v>
      </c>
      <c r="AK135" s="2">
        <f t="shared" si="374"/>
        <v>1.5748031496062995E-2</v>
      </c>
      <c r="AL135" s="8">
        <f t="shared" si="322"/>
        <v>7.6704892441578035E-2</v>
      </c>
      <c r="AM135" s="138">
        <f t="shared" si="375"/>
        <v>0.25</v>
      </c>
      <c r="AN135" s="12">
        <f t="shared" si="323"/>
        <v>6358.0084745516215</v>
      </c>
      <c r="AO135" s="138">
        <f t="shared" si="376"/>
        <v>0.25</v>
      </c>
      <c r="AP135" s="116">
        <f t="shared" si="377"/>
        <v>2175570</v>
      </c>
      <c r="AQ135" s="2">
        <f t="shared" si="378"/>
        <v>1.5748031496062995E-2</v>
      </c>
      <c r="AR135" s="8">
        <f t="shared" si="379"/>
        <v>22.502461350000004</v>
      </c>
      <c r="AS135" s="116">
        <f t="shared" si="380"/>
        <v>2610.6840000000002</v>
      </c>
      <c r="AT135" s="217">
        <f t="shared" si="381"/>
        <v>3.1973835642121765E-2</v>
      </c>
      <c r="AU135" s="207">
        <f t="shared" si="382"/>
        <v>4.7662400160094016</v>
      </c>
      <c r="AV135" s="144">
        <f t="shared" si="383"/>
        <v>3157.9750361066949</v>
      </c>
      <c r="AW135" s="138">
        <f t="shared" si="384"/>
        <v>0.75</v>
      </c>
      <c r="AX135" s="116">
        <f t="shared" si="385"/>
        <v>2175570</v>
      </c>
      <c r="AY135" s="2">
        <f t="shared" si="386"/>
        <v>1.5748031496062995E-2</v>
      </c>
      <c r="AZ135" s="8">
        <f t="shared" si="387"/>
        <v>22.502461350000004</v>
      </c>
      <c r="BA135" s="116">
        <f t="shared" si="388"/>
        <v>2610.6840000000002</v>
      </c>
      <c r="BB135" s="217">
        <f t="shared" si="389"/>
        <v>9.592150692636528E-2</v>
      </c>
      <c r="BC135" s="207">
        <f t="shared" si="390"/>
        <v>3.9404079898996667</v>
      </c>
      <c r="BD135" s="144">
        <f t="shared" si="391"/>
        <v>23497.220073145741</v>
      </c>
      <c r="BE135" s="138">
        <f t="shared" si="392"/>
        <v>0.75</v>
      </c>
      <c r="BF135" s="116">
        <f t="shared" si="393"/>
        <v>2175570</v>
      </c>
      <c r="BG135" s="2">
        <f t="shared" si="394"/>
        <v>1.5748031496062995E-2</v>
      </c>
      <c r="BH135" s="8">
        <f t="shared" si="395"/>
        <v>22.502461350000004</v>
      </c>
      <c r="BI135" s="116">
        <f t="shared" si="396"/>
        <v>2610.6840000000002</v>
      </c>
      <c r="BJ135" s="217">
        <f t="shared" si="397"/>
        <v>9.592150692636528E-2</v>
      </c>
      <c r="BK135" s="207">
        <f t="shared" si="398"/>
        <v>3.9404079898996667</v>
      </c>
      <c r="BL135" s="144">
        <f t="shared" si="399"/>
        <v>23497.220073145741</v>
      </c>
      <c r="BM135" s="216">
        <f t="shared" si="400"/>
        <v>0.75</v>
      </c>
      <c r="BN135" s="216">
        <f t="shared" si="401"/>
        <v>2.3622047244094495E-2</v>
      </c>
      <c r="BO135" s="238">
        <f t="shared" si="402"/>
        <v>1.5748031496062995E-2</v>
      </c>
      <c r="BP135" s="216">
        <f t="shared" si="403"/>
        <v>0</v>
      </c>
      <c r="BQ135" s="138">
        <f t="shared" si="404"/>
        <v>0</v>
      </c>
      <c r="BR135" s="138">
        <f t="shared" si="405"/>
        <v>0</v>
      </c>
      <c r="BS135" s="238">
        <f t="shared" si="406"/>
        <v>0.75</v>
      </c>
      <c r="BT135" s="138">
        <f t="shared" si="407"/>
        <v>0</v>
      </c>
      <c r="BU135" s="138">
        <f t="shared" si="408"/>
        <v>0</v>
      </c>
      <c r="BV135" s="138">
        <f t="shared" si="409"/>
        <v>0</v>
      </c>
      <c r="BW135" s="238">
        <f t="shared" si="410"/>
        <v>0.75</v>
      </c>
      <c r="BX135" s="216">
        <f t="shared" si="411"/>
        <v>0</v>
      </c>
      <c r="BY135" s="138">
        <f t="shared" si="412"/>
        <v>0</v>
      </c>
      <c r="BZ135" s="138">
        <f t="shared" si="413"/>
        <v>0</v>
      </c>
      <c r="CA135" s="238">
        <f t="shared" si="414"/>
        <v>2.3622047244094495E-2</v>
      </c>
      <c r="CB135" s="138">
        <f t="shared" si="415"/>
        <v>0</v>
      </c>
      <c r="CC135" s="138">
        <f t="shared" si="416"/>
        <v>0</v>
      </c>
      <c r="CD135" s="138">
        <f t="shared" si="417"/>
        <v>0</v>
      </c>
      <c r="CE135" s="238">
        <f t="shared" si="418"/>
        <v>2.3622047244094495E-2</v>
      </c>
      <c r="CF135" s="216">
        <f t="shared" si="419"/>
        <v>0</v>
      </c>
      <c r="CG135" s="138">
        <f t="shared" si="420"/>
        <v>0</v>
      </c>
      <c r="CH135" s="138">
        <f t="shared" si="421"/>
        <v>0</v>
      </c>
      <c r="CI135" s="238">
        <f t="shared" si="422"/>
        <v>1.5748031496062995E-2</v>
      </c>
      <c r="CJ135" s="138">
        <f t="shared" si="423"/>
        <v>0</v>
      </c>
      <c r="CK135" s="138">
        <f t="shared" si="424"/>
        <v>0</v>
      </c>
      <c r="CL135" s="138">
        <f t="shared" si="425"/>
        <v>0</v>
      </c>
      <c r="CM135" s="238">
        <f t="shared" si="426"/>
        <v>1.5748031496062995E-2</v>
      </c>
      <c r="CN135" s="17">
        <f t="shared" si="427"/>
        <v>0.75</v>
      </c>
      <c r="CO135" s="17">
        <f t="shared" si="428"/>
        <v>2.3622047244094495E-2</v>
      </c>
      <c r="CP135" s="17">
        <f t="shared" si="429"/>
        <v>1.5748031496062995E-2</v>
      </c>
      <c r="CQ135" s="17">
        <f>$U135-IF('Inputs-Imperial'!$E$13,0,2)*($CO135+$CN135+$CP135)</f>
        <v>8.1008860860000009</v>
      </c>
      <c r="CR135" s="116">
        <f t="shared" si="430"/>
        <v>7276.1544977324038</v>
      </c>
      <c r="CS135" s="8">
        <f t="shared" si="324"/>
        <v>0.1881271071477579</v>
      </c>
      <c r="CT135" s="8">
        <f t="shared" si="431"/>
        <v>0.43373621839518761</v>
      </c>
      <c r="CU135" s="8">
        <f t="shared" si="325"/>
        <v>0.1881271071477579</v>
      </c>
      <c r="CV135" s="8">
        <f t="shared" si="432"/>
        <v>0.43373621839518761</v>
      </c>
      <c r="CW135" s="216">
        <f t="shared" si="433"/>
        <v>7.6671498676048131</v>
      </c>
      <c r="CX135" s="116">
        <f t="shared" si="434"/>
        <v>7687.7718250054768</v>
      </c>
      <c r="CY135" s="8">
        <f t="shared" si="435"/>
        <v>0.19876959378763176</v>
      </c>
      <c r="CZ135" s="8">
        <f t="shared" si="436"/>
        <v>0.4458358372625868</v>
      </c>
      <c r="DA135" s="8">
        <f t="shared" si="437"/>
        <v>0.19876959378763176</v>
      </c>
      <c r="DB135" s="8">
        <f t="shared" si="438"/>
        <v>0.4458358372625868</v>
      </c>
      <c r="DC135" s="216">
        <f t="shared" si="439"/>
        <v>7.6550502487374139</v>
      </c>
      <c r="DD135" s="116">
        <f t="shared" si="440"/>
        <v>7699.9231637948515</v>
      </c>
      <c r="DE135" s="8">
        <f t="shared" si="441"/>
        <v>0.19908377021353502</v>
      </c>
      <c r="DF135" s="8">
        <f t="shared" si="442"/>
        <v>0.44618804355734926</v>
      </c>
      <c r="DG135" s="8">
        <f t="shared" si="443"/>
        <v>0.19908377021353502</v>
      </c>
      <c r="DH135" s="8">
        <f t="shared" si="444"/>
        <v>0.44618804355734926</v>
      </c>
      <c r="DI135" s="216">
        <f t="shared" si="445"/>
        <v>7.6546980424426518</v>
      </c>
      <c r="DJ135" s="116">
        <f t="shared" si="446"/>
        <v>7700.2774509780211</v>
      </c>
      <c r="DK135" s="8">
        <f t="shared" si="447"/>
        <v>0.19909293041249587</v>
      </c>
      <c r="DL135" s="8">
        <f t="shared" si="448"/>
        <v>0.44619830839268754</v>
      </c>
      <c r="DM135" s="8">
        <f t="shared" si="449"/>
        <v>0.19909293041249587</v>
      </c>
      <c r="DN135" s="8">
        <f t="shared" si="450"/>
        <v>0.44619830839268754</v>
      </c>
      <c r="DO135" s="216">
        <f t="shared" si="451"/>
        <v>7.6546877776073128</v>
      </c>
      <c r="DP135" s="116">
        <f t="shared" si="452"/>
        <v>7700.2877769485112</v>
      </c>
      <c r="DQ135" s="170">
        <f t="shared" si="453"/>
        <v>0.19909319739348941</v>
      </c>
      <c r="DR135" s="8">
        <f t="shared" si="454"/>
        <v>0.44619860756561019</v>
      </c>
      <c r="DS135" s="8">
        <f t="shared" si="455"/>
        <v>0.19909319739348941</v>
      </c>
      <c r="DT135" s="134">
        <f t="shared" si="456"/>
        <v>0.44619860756561019</v>
      </c>
      <c r="DU135" s="170">
        <f t="shared" si="560"/>
        <v>0.29183693344119632</v>
      </c>
      <c r="DV135" s="170">
        <f t="shared" si="560"/>
        <v>0.54021933827029589</v>
      </c>
      <c r="DW135" s="170">
        <f t="shared" si="560"/>
        <v>0.29183693344119632</v>
      </c>
      <c r="DX135" s="272">
        <f t="shared" si="560"/>
        <v>0.54021933827029589</v>
      </c>
      <c r="DY135" s="272">
        <f t="shared" si="457"/>
        <v>7.0204474094594094</v>
      </c>
      <c r="DZ135" s="22">
        <f t="shared" si="326"/>
        <v>212.24436786770829</v>
      </c>
      <c r="EA135" s="216">
        <f t="shared" si="327"/>
        <v>1.3905367232477771E-2</v>
      </c>
      <c r="EB135" s="12">
        <f t="shared" si="458"/>
        <v>2</v>
      </c>
      <c r="EC135" s="7">
        <f>ROUND(MAX(DV135,DX135)/'Inputs-Imperial'!$E$21,0)</f>
        <v>5</v>
      </c>
      <c r="ED135" s="12">
        <f t="shared" si="459"/>
        <v>5</v>
      </c>
      <c r="EE135" s="2">
        <f t="shared" si="460"/>
        <v>3</v>
      </c>
      <c r="EF135" s="127">
        <f t="shared" si="461"/>
        <v>3</v>
      </c>
      <c r="EG135" s="2">
        <f t="shared" si="462"/>
        <v>2.3622047244094495E-2</v>
      </c>
      <c r="EH135" s="8">
        <f t="shared" si="328"/>
        <v>0.14633707570961282</v>
      </c>
      <c r="EI135" s="138">
        <f t="shared" si="463"/>
        <v>0.25</v>
      </c>
      <c r="EJ135" s="12">
        <f t="shared" si="329"/>
        <v>8086.5104157596834</v>
      </c>
      <c r="EK135" s="138">
        <f t="shared" si="464"/>
        <v>0.25</v>
      </c>
      <c r="EL135" s="116">
        <f t="shared" si="465"/>
        <v>2175570</v>
      </c>
      <c r="EM135" s="2">
        <f t="shared" si="330"/>
        <v>2.3622047244094495E-2</v>
      </c>
      <c r="EN135" s="8">
        <f t="shared" si="466"/>
        <v>8.1008860860000009</v>
      </c>
      <c r="EO135" s="116">
        <f t="shared" si="467"/>
        <v>2610.6840000000002</v>
      </c>
      <c r="EP135" s="217">
        <f t="shared" si="468"/>
        <v>0.37006754215418713</v>
      </c>
      <c r="EQ135" s="207">
        <f t="shared" si="469"/>
        <v>2.2696614472576666</v>
      </c>
      <c r="ER135" s="144">
        <f t="shared" si="470"/>
        <v>11603.496169552169</v>
      </c>
      <c r="ES135" s="138">
        <f t="shared" si="331"/>
        <v>0.25</v>
      </c>
      <c r="ET135" s="116">
        <f t="shared" si="471"/>
        <v>2175570</v>
      </c>
      <c r="EU135" s="2">
        <f t="shared" si="332"/>
        <v>2.3622047244094495E-2</v>
      </c>
      <c r="EV135" s="8">
        <f t="shared" si="472"/>
        <v>8.1008860860000009</v>
      </c>
      <c r="EW135" s="116">
        <f t="shared" si="473"/>
        <v>2610.6840000000002</v>
      </c>
      <c r="EX135" s="217">
        <f t="shared" si="474"/>
        <v>0.37006754215418713</v>
      </c>
      <c r="EY135" s="207">
        <f t="shared" si="475"/>
        <v>2.2696614472576666</v>
      </c>
      <c r="EZ135" s="144">
        <f t="shared" si="476"/>
        <v>11603.496169552169</v>
      </c>
      <c r="FA135" s="138">
        <f t="shared" si="333"/>
        <v>0.25</v>
      </c>
      <c r="FB135" s="116">
        <f t="shared" si="477"/>
        <v>2175570</v>
      </c>
      <c r="FC135" s="2">
        <f t="shared" si="334"/>
        <v>2.3622047244094495E-2</v>
      </c>
      <c r="FD135" s="8">
        <f t="shared" si="478"/>
        <v>8.1008860860000009</v>
      </c>
      <c r="FE135" s="116">
        <f t="shared" si="479"/>
        <v>2610.6840000000002</v>
      </c>
      <c r="FF135" s="217">
        <f t="shared" si="480"/>
        <v>0.37006754215418713</v>
      </c>
      <c r="FG135" s="207">
        <f t="shared" si="481"/>
        <v>2.2696614472576666</v>
      </c>
      <c r="FH135" s="144">
        <f t="shared" si="482"/>
        <v>11603.496169552169</v>
      </c>
      <c r="FI135" s="128">
        <f t="shared" si="483"/>
        <v>0.25</v>
      </c>
      <c r="FJ135" s="2">
        <f t="shared" si="484"/>
        <v>2.3622047244094495E-2</v>
      </c>
      <c r="FK135" s="127">
        <f t="shared" si="485"/>
        <v>2.3622047244094495E-2</v>
      </c>
      <c r="FL135" s="216">
        <f t="shared" si="486"/>
        <v>0</v>
      </c>
      <c r="FM135" s="138">
        <f t="shared" si="487"/>
        <v>0</v>
      </c>
      <c r="FN135" s="138">
        <f t="shared" si="488"/>
        <v>0</v>
      </c>
      <c r="FO135" s="238">
        <f t="shared" si="489"/>
        <v>0.25</v>
      </c>
      <c r="FP135" s="216">
        <f t="shared" si="335"/>
        <v>0</v>
      </c>
      <c r="FQ135" s="138">
        <f t="shared" si="336"/>
        <v>0</v>
      </c>
      <c r="FR135" s="138">
        <f t="shared" si="337"/>
        <v>0</v>
      </c>
      <c r="FS135" s="238">
        <f t="shared" si="338"/>
        <v>0.25</v>
      </c>
      <c r="FT135" s="216">
        <f t="shared" si="490"/>
        <v>0</v>
      </c>
      <c r="FU135" s="138">
        <f t="shared" si="491"/>
        <v>0</v>
      </c>
      <c r="FV135" s="138">
        <f t="shared" si="492"/>
        <v>0</v>
      </c>
      <c r="FW135" s="238">
        <f t="shared" si="493"/>
        <v>2.3622047244094495E-2</v>
      </c>
      <c r="FX135" s="216">
        <f t="shared" si="339"/>
        <v>0</v>
      </c>
      <c r="FY135" s="138">
        <f t="shared" si="340"/>
        <v>0</v>
      </c>
      <c r="FZ135" s="138">
        <f t="shared" si="341"/>
        <v>0</v>
      </c>
      <c r="GA135" s="238">
        <f t="shared" si="342"/>
        <v>2.3622047244094495E-2</v>
      </c>
      <c r="GB135" s="216">
        <f t="shared" si="494"/>
        <v>0</v>
      </c>
      <c r="GC135" s="138">
        <f t="shared" si="495"/>
        <v>0</v>
      </c>
      <c r="GD135" s="138">
        <f t="shared" si="496"/>
        <v>0</v>
      </c>
      <c r="GE135" s="238">
        <f t="shared" si="497"/>
        <v>2.3622047244094495E-2</v>
      </c>
      <c r="GF135" s="216">
        <f t="shared" si="343"/>
        <v>0</v>
      </c>
      <c r="GG135" s="138">
        <f t="shared" si="344"/>
        <v>0</v>
      </c>
      <c r="GH135" s="138">
        <f t="shared" si="345"/>
        <v>0</v>
      </c>
      <c r="GI135" s="238">
        <f t="shared" si="346"/>
        <v>2.3622047244094495E-2</v>
      </c>
      <c r="GJ135" s="216">
        <f t="shared" si="498"/>
        <v>0.25</v>
      </c>
      <c r="GK135" s="216">
        <f t="shared" si="499"/>
        <v>2.3622047244094495E-2</v>
      </c>
      <c r="GL135" s="17">
        <f t="shared" si="500"/>
        <v>2.3622047244094495E-2</v>
      </c>
      <c r="GM135" s="216">
        <f t="shared" si="347"/>
        <v>6.9549893240195186E-3</v>
      </c>
      <c r="GN135" s="2">
        <f t="shared" si="501"/>
        <v>1</v>
      </c>
      <c r="GO135" s="2">
        <f t="shared" si="502"/>
        <v>2</v>
      </c>
      <c r="GP135" s="142">
        <f t="shared" si="503"/>
        <v>2</v>
      </c>
      <c r="GQ135" s="2">
        <f t="shared" si="504"/>
        <v>1.5748031496062995E-2</v>
      </c>
      <c r="GR135" s="8">
        <f t="shared" si="348"/>
        <v>7.3192802624547318E-2</v>
      </c>
      <c r="GS135" s="138">
        <f t="shared" si="505"/>
        <v>0.25</v>
      </c>
      <c r="GT135" s="12">
        <f t="shared" si="349"/>
        <v>6066.8940995842713</v>
      </c>
      <c r="GU135" s="138">
        <f t="shared" si="506"/>
        <v>0.25</v>
      </c>
      <c r="GV135" s="116">
        <f t="shared" si="507"/>
        <v>2175570</v>
      </c>
      <c r="GW135" s="2">
        <f t="shared" si="350"/>
        <v>2.3622047244094495E-2</v>
      </c>
      <c r="GX135" s="8">
        <f t="shared" si="351"/>
        <v>4.0504430430000005</v>
      </c>
      <c r="GY135" s="116">
        <f t="shared" si="508"/>
        <v>2610.6840000000002</v>
      </c>
      <c r="GZ135" s="217">
        <f t="shared" si="509"/>
        <v>1.4802701686167485</v>
      </c>
      <c r="HA135" s="207">
        <f t="shared" si="510"/>
        <v>2</v>
      </c>
      <c r="HB135" s="144">
        <f t="shared" si="511"/>
        <v>40899.478408366747</v>
      </c>
      <c r="HC135" s="138">
        <f t="shared" si="352"/>
        <v>0.25</v>
      </c>
      <c r="HD135" s="116">
        <f t="shared" si="512"/>
        <v>2175570</v>
      </c>
      <c r="HE135" s="2">
        <f t="shared" si="353"/>
        <v>2.3622047244094495E-2</v>
      </c>
      <c r="HF135" s="8">
        <f t="shared" si="513"/>
        <v>4.0504430430000005</v>
      </c>
      <c r="HG135" s="116">
        <f t="shared" si="514"/>
        <v>2610.6840000000002</v>
      </c>
      <c r="HH135" s="217">
        <f t="shared" si="515"/>
        <v>1.4802701686167485</v>
      </c>
      <c r="HI135" s="207">
        <f t="shared" si="516"/>
        <v>2</v>
      </c>
      <c r="HJ135" s="144">
        <f t="shared" si="517"/>
        <v>40899.478408366747</v>
      </c>
      <c r="HK135" s="138">
        <f t="shared" si="354"/>
        <v>0.25</v>
      </c>
      <c r="HL135" s="116">
        <f t="shared" si="518"/>
        <v>2175570</v>
      </c>
      <c r="HM135" s="2">
        <f t="shared" si="355"/>
        <v>2.3622047244094495E-2</v>
      </c>
      <c r="HN135" s="8">
        <f t="shared" si="519"/>
        <v>4.0504430430000005</v>
      </c>
      <c r="HO135" s="116">
        <f t="shared" si="520"/>
        <v>2610.6840000000002</v>
      </c>
      <c r="HP135" s="217">
        <f t="shared" si="521"/>
        <v>1.4802701686167485</v>
      </c>
      <c r="HQ135" s="207">
        <f t="shared" si="522"/>
        <v>2</v>
      </c>
      <c r="HR135" s="144">
        <f t="shared" si="523"/>
        <v>40899.478408366747</v>
      </c>
      <c r="HS135" s="128">
        <f t="shared" si="524"/>
        <v>0.25</v>
      </c>
      <c r="HT135" s="2">
        <f t="shared" si="525"/>
        <v>1.5748031496062995E-2</v>
      </c>
      <c r="HU135" s="127">
        <f t="shared" si="526"/>
        <v>1.5748031496062995E-2</v>
      </c>
      <c r="HV135" s="216">
        <f t="shared" si="527"/>
        <v>0</v>
      </c>
      <c r="HW135" s="138">
        <f t="shared" si="528"/>
        <v>0</v>
      </c>
      <c r="HX135" s="138">
        <f t="shared" si="529"/>
        <v>0</v>
      </c>
      <c r="HY135" s="238">
        <f t="shared" si="530"/>
        <v>0.25</v>
      </c>
      <c r="HZ135" s="138">
        <f t="shared" si="531"/>
        <v>0</v>
      </c>
      <c r="IA135" s="138">
        <f t="shared" si="532"/>
        <v>0</v>
      </c>
      <c r="IB135" s="138">
        <f t="shared" si="533"/>
        <v>0</v>
      </c>
      <c r="IC135" s="138">
        <f t="shared" si="534"/>
        <v>0.25</v>
      </c>
      <c r="ID135" s="216">
        <f t="shared" si="535"/>
        <v>0</v>
      </c>
      <c r="IE135" s="138">
        <f t="shared" si="536"/>
        <v>0</v>
      </c>
      <c r="IF135" s="138">
        <f t="shared" si="537"/>
        <v>0</v>
      </c>
      <c r="IG135" s="238">
        <f t="shared" si="538"/>
        <v>1.5748031496062995E-2</v>
      </c>
      <c r="IH135" s="138">
        <f t="shared" si="539"/>
        <v>0</v>
      </c>
      <c r="II135" s="138">
        <f t="shared" si="540"/>
        <v>0</v>
      </c>
      <c r="IJ135" s="138">
        <f t="shared" si="541"/>
        <v>0</v>
      </c>
      <c r="IK135" s="138">
        <f t="shared" si="542"/>
        <v>1.5748031496062995E-2</v>
      </c>
      <c r="IL135" s="216">
        <f t="shared" si="543"/>
        <v>0</v>
      </c>
      <c r="IM135" s="138">
        <f t="shared" si="544"/>
        <v>0</v>
      </c>
      <c r="IN135" s="138">
        <f t="shared" si="545"/>
        <v>0</v>
      </c>
      <c r="IO135" s="238">
        <f t="shared" si="546"/>
        <v>1.5748031496062995E-2</v>
      </c>
      <c r="IP135" s="138">
        <f t="shared" si="547"/>
        <v>0</v>
      </c>
      <c r="IQ135" s="138">
        <f t="shared" si="548"/>
        <v>0</v>
      </c>
      <c r="IR135" s="138">
        <f t="shared" si="549"/>
        <v>0</v>
      </c>
      <c r="IS135" s="138">
        <f t="shared" si="550"/>
        <v>1.5748031496062995E-2</v>
      </c>
      <c r="IT135" s="17">
        <f t="shared" si="551"/>
        <v>0.25</v>
      </c>
      <c r="IU135" s="17">
        <f t="shared" si="552"/>
        <v>1.5748031496062995E-2</v>
      </c>
      <c r="IV135" s="17">
        <f t="shared" si="553"/>
        <v>1.5748031496062995E-2</v>
      </c>
      <c r="IW135" s="253">
        <f t="shared" si="554"/>
        <v>22.502461350000004</v>
      </c>
      <c r="IX135" s="116">
        <f t="shared" si="356"/>
        <v>261.94156191836652</v>
      </c>
      <c r="IY135" s="8">
        <f t="shared" si="357"/>
        <v>6.7725758573192844E-3</v>
      </c>
      <c r="IZ135" s="8">
        <f t="shared" si="555"/>
        <v>6.7725758573192844E-3</v>
      </c>
      <c r="JA135" s="8">
        <f t="shared" si="556"/>
        <v>3.3862879286596422E-3</v>
      </c>
      <c r="JB135" s="134">
        <f t="shared" si="557"/>
        <v>5.8191820118120054E-2</v>
      </c>
      <c r="JC135" s="170">
        <f t="shared" si="561"/>
        <v>4.9108767457898697E-3</v>
      </c>
      <c r="JD135" s="272">
        <f t="shared" si="562"/>
        <v>7.0077647975583982E-2</v>
      </c>
      <c r="JE135" s="8"/>
      <c r="JF135" s="8"/>
    </row>
    <row r="136" spans="1:266" x14ac:dyDescent="0.25">
      <c r="A136" s="186">
        <v>76</v>
      </c>
      <c r="B136" s="187">
        <f>A136/100*'Inputs-Imperial'!$E$5</f>
        <v>18.301837855999999</v>
      </c>
      <c r="C136" s="188">
        <f>'Inputs-Imperial'!$E$10+('Inputs-Imperial'!$E$9-'Inputs-Imperial'!$E$10)*(100-A136)/100</f>
        <v>3.7326116680000001</v>
      </c>
      <c r="D136" s="187">
        <f t="shared" si="558"/>
        <v>0.24081365600000026</v>
      </c>
      <c r="E136" s="188">
        <f t="shared" si="559"/>
        <v>0.90100692999068643</v>
      </c>
      <c r="F136" s="423">
        <f>Loads!P96</f>
        <v>163.55418374377237</v>
      </c>
      <c r="G136" s="423">
        <f>Loads!M96</f>
        <v>1635.5418374377236</v>
      </c>
      <c r="H136" s="423">
        <f>Loads!N96</f>
        <v>4497.894400058588</v>
      </c>
      <c r="I136" s="423">
        <f>Loads!V96</f>
        <v>-2683.656897533072</v>
      </c>
      <c r="J136" s="423">
        <f>Loads!Q96</f>
        <v>449.78944000585881</v>
      </c>
      <c r="K136" s="2">
        <v>76</v>
      </c>
      <c r="L136" s="12">
        <f t="shared" si="358"/>
        <v>219.62205427199999</v>
      </c>
      <c r="M136" s="11">
        <f t="shared" si="359"/>
        <v>44.791340015999999</v>
      </c>
      <c r="N136" s="11">
        <f t="shared" si="360"/>
        <v>2.8897638720000032</v>
      </c>
      <c r="O136" s="152">
        <f t="shared" si="361"/>
        <v>129.74499791865884</v>
      </c>
      <c r="P136" s="151">
        <f t="shared" si="362"/>
        <v>163.55418374377237</v>
      </c>
      <c r="Q136" s="12">
        <f t="shared" si="363"/>
        <v>1635.5418374377236</v>
      </c>
      <c r="R136" s="12">
        <f t="shared" si="364"/>
        <v>53974.732800703059</v>
      </c>
      <c r="S136" s="12">
        <f t="shared" si="365"/>
        <v>-32203.882770396864</v>
      </c>
      <c r="T136" s="152">
        <f t="shared" si="366"/>
        <v>5397.4732800703059</v>
      </c>
      <c r="U136" s="8">
        <f t="shared" si="313"/>
        <v>8.0624412028799988</v>
      </c>
      <c r="V136" s="8">
        <f t="shared" si="314"/>
        <v>8.0624412028799988</v>
      </c>
      <c r="W136" s="134">
        <f t="shared" si="315"/>
        <v>4.0312206014399994</v>
      </c>
      <c r="X136" s="311">
        <f t="shared" si="316"/>
        <v>11.197835004</v>
      </c>
      <c r="Y136" s="11">
        <f t="shared" si="317"/>
        <v>33.593505012000001</v>
      </c>
      <c r="Z136" s="11">
        <f t="shared" si="318"/>
        <v>22.395670008000003</v>
      </c>
      <c r="AA136" s="316">
        <f t="shared" si="367"/>
        <v>33.593505012000001</v>
      </c>
      <c r="AB136" s="170">
        <f t="shared" si="368"/>
        <v>6.0468309021599991</v>
      </c>
      <c r="AC136" s="11">
        <f t="shared" si="369"/>
        <v>33.593505012000001</v>
      </c>
      <c r="AD136" s="152">
        <f t="shared" si="370"/>
        <v>159.5412623322824</v>
      </c>
      <c r="AE136" s="151">
        <f t="shared" si="319"/>
        <v>4.8686251608859763</v>
      </c>
      <c r="AF136" s="12">
        <f t="shared" si="320"/>
        <v>100.92650108071936</v>
      </c>
      <c r="AG136" s="216">
        <f t="shared" si="321"/>
        <v>6.9312561580565273E-3</v>
      </c>
      <c r="AH136" s="2">
        <f t="shared" si="371"/>
        <v>1</v>
      </c>
      <c r="AI136" s="2">
        <f t="shared" si="372"/>
        <v>3</v>
      </c>
      <c r="AJ136" s="127">
        <f t="shared" si="373"/>
        <v>2</v>
      </c>
      <c r="AK136" s="2">
        <f t="shared" si="374"/>
        <v>1.5748031496062995E-2</v>
      </c>
      <c r="AL136" s="8">
        <f t="shared" si="322"/>
        <v>7.2943039921679387E-2</v>
      </c>
      <c r="AM136" s="138">
        <f t="shared" si="375"/>
        <v>0.25</v>
      </c>
      <c r="AN136" s="12">
        <f t="shared" si="323"/>
        <v>6046.1914647077447</v>
      </c>
      <c r="AO136" s="138">
        <f t="shared" si="376"/>
        <v>0.25</v>
      </c>
      <c r="AP136" s="116">
        <f t="shared" si="377"/>
        <v>2175570</v>
      </c>
      <c r="AQ136" s="2">
        <f t="shared" si="378"/>
        <v>1.5748031496062995E-2</v>
      </c>
      <c r="AR136" s="8">
        <f t="shared" si="379"/>
        <v>22.395670008000003</v>
      </c>
      <c r="AS136" s="116">
        <f t="shared" si="380"/>
        <v>2610.6840000000002</v>
      </c>
      <c r="AT136" s="217">
        <f t="shared" si="381"/>
        <v>3.2279490237181199E-2</v>
      </c>
      <c r="AU136" s="207">
        <f t="shared" si="382"/>
        <v>4.7615652742188068</v>
      </c>
      <c r="AV136" s="144">
        <f t="shared" si="383"/>
        <v>3185.0368087989132</v>
      </c>
      <c r="AW136" s="138">
        <f t="shared" si="384"/>
        <v>0.5</v>
      </c>
      <c r="AX136" s="116">
        <f t="shared" si="385"/>
        <v>2175570</v>
      </c>
      <c r="AY136" s="2">
        <f t="shared" si="386"/>
        <v>1.5748031496062995E-2</v>
      </c>
      <c r="AZ136" s="8">
        <f t="shared" si="387"/>
        <v>22.395670008000003</v>
      </c>
      <c r="BA136" s="116">
        <f t="shared" si="388"/>
        <v>2610.6840000000002</v>
      </c>
      <c r="BB136" s="217">
        <f t="shared" si="389"/>
        <v>6.4558980474362399E-2</v>
      </c>
      <c r="BC136" s="207">
        <f t="shared" si="390"/>
        <v>4.3088938334147544</v>
      </c>
      <c r="BD136" s="144">
        <f t="shared" si="391"/>
        <v>11528.969718374161</v>
      </c>
      <c r="BE136" s="138">
        <f t="shared" si="392"/>
        <v>0.5</v>
      </c>
      <c r="BF136" s="116">
        <f t="shared" si="393"/>
        <v>2175570</v>
      </c>
      <c r="BG136" s="2">
        <f t="shared" si="394"/>
        <v>1.5748031496062995E-2</v>
      </c>
      <c r="BH136" s="8">
        <f t="shared" si="395"/>
        <v>22.395670008000003</v>
      </c>
      <c r="BI136" s="116">
        <f t="shared" si="396"/>
        <v>2610.6840000000002</v>
      </c>
      <c r="BJ136" s="217">
        <f t="shared" si="397"/>
        <v>6.4558980474362399E-2</v>
      </c>
      <c r="BK136" s="207">
        <f t="shared" si="398"/>
        <v>4.3088938334147544</v>
      </c>
      <c r="BL136" s="144">
        <f t="shared" si="399"/>
        <v>11528.969718374161</v>
      </c>
      <c r="BM136" s="216">
        <f t="shared" si="400"/>
        <v>0.5</v>
      </c>
      <c r="BN136" s="216">
        <f t="shared" si="401"/>
        <v>2.3622047244094495E-2</v>
      </c>
      <c r="BO136" s="238">
        <f t="shared" si="402"/>
        <v>1.5748031496062995E-2</v>
      </c>
      <c r="BP136" s="216">
        <f t="shared" si="403"/>
        <v>0</v>
      </c>
      <c r="BQ136" s="138">
        <f t="shared" si="404"/>
        <v>0</v>
      </c>
      <c r="BR136" s="138">
        <f t="shared" si="405"/>
        <v>0</v>
      </c>
      <c r="BS136" s="238">
        <f t="shared" si="406"/>
        <v>0.5</v>
      </c>
      <c r="BT136" s="138">
        <f t="shared" si="407"/>
        <v>0</v>
      </c>
      <c r="BU136" s="138">
        <f t="shared" si="408"/>
        <v>0</v>
      </c>
      <c r="BV136" s="138">
        <f t="shared" si="409"/>
        <v>0</v>
      </c>
      <c r="BW136" s="238">
        <f t="shared" si="410"/>
        <v>0.75</v>
      </c>
      <c r="BX136" s="216">
        <f t="shared" si="411"/>
        <v>0</v>
      </c>
      <c r="BY136" s="138">
        <f t="shared" si="412"/>
        <v>0</v>
      </c>
      <c r="BZ136" s="138">
        <f t="shared" si="413"/>
        <v>0</v>
      </c>
      <c r="CA136" s="238">
        <f t="shared" si="414"/>
        <v>2.3622047244094495E-2</v>
      </c>
      <c r="CB136" s="138">
        <f t="shared" si="415"/>
        <v>0</v>
      </c>
      <c r="CC136" s="138">
        <f t="shared" si="416"/>
        <v>0</v>
      </c>
      <c r="CD136" s="138">
        <f t="shared" si="417"/>
        <v>0</v>
      </c>
      <c r="CE136" s="238">
        <f t="shared" si="418"/>
        <v>2.3622047244094495E-2</v>
      </c>
      <c r="CF136" s="216">
        <f t="shared" si="419"/>
        <v>0</v>
      </c>
      <c r="CG136" s="138">
        <f t="shared" si="420"/>
        <v>0</v>
      </c>
      <c r="CH136" s="138">
        <f t="shared" si="421"/>
        <v>0</v>
      </c>
      <c r="CI136" s="238">
        <f t="shared" si="422"/>
        <v>1.5748031496062995E-2</v>
      </c>
      <c r="CJ136" s="138">
        <f t="shared" si="423"/>
        <v>0</v>
      </c>
      <c r="CK136" s="138">
        <f t="shared" si="424"/>
        <v>0</v>
      </c>
      <c r="CL136" s="138">
        <f t="shared" si="425"/>
        <v>0</v>
      </c>
      <c r="CM136" s="238">
        <f t="shared" si="426"/>
        <v>1.5748031496062995E-2</v>
      </c>
      <c r="CN136" s="17">
        <f t="shared" si="427"/>
        <v>0.75</v>
      </c>
      <c r="CO136" s="17">
        <f t="shared" si="428"/>
        <v>2.3622047244094495E-2</v>
      </c>
      <c r="CP136" s="17">
        <f t="shared" si="429"/>
        <v>1.5748031496062995E-2</v>
      </c>
      <c r="CQ136" s="17">
        <f>$U136-IF('Inputs-Imperial'!$E$13,0,2)*($CO136+$CN136+$CP136)</f>
        <v>8.0624412028799988</v>
      </c>
      <c r="CR136" s="116">
        <f t="shared" si="430"/>
        <v>6694.5893238170411</v>
      </c>
      <c r="CS136" s="8">
        <f t="shared" si="324"/>
        <v>0.17309056912198115</v>
      </c>
      <c r="CT136" s="8">
        <f t="shared" si="431"/>
        <v>0.41604154735071969</v>
      </c>
      <c r="CU136" s="8">
        <f t="shared" si="325"/>
        <v>0.17309056912198115</v>
      </c>
      <c r="CV136" s="8">
        <f t="shared" si="432"/>
        <v>0.41604154735071969</v>
      </c>
      <c r="CW136" s="216">
        <f t="shared" si="433"/>
        <v>7.6463996555292795</v>
      </c>
      <c r="CX136" s="116">
        <f t="shared" si="434"/>
        <v>7058.8427537491771</v>
      </c>
      <c r="CY136" s="8">
        <f t="shared" si="435"/>
        <v>0.18250844831395505</v>
      </c>
      <c r="CZ136" s="8">
        <f t="shared" si="436"/>
        <v>0.42721007515501674</v>
      </c>
      <c r="DA136" s="8">
        <f t="shared" si="437"/>
        <v>0.18250844831395505</v>
      </c>
      <c r="DB136" s="8">
        <f t="shared" si="438"/>
        <v>0.42721007515501674</v>
      </c>
      <c r="DC136" s="216">
        <f t="shared" si="439"/>
        <v>7.6352311277249818</v>
      </c>
      <c r="DD136" s="116">
        <f t="shared" si="440"/>
        <v>7069.1681624031653</v>
      </c>
      <c r="DE136" s="8">
        <f t="shared" si="441"/>
        <v>0.18277541478103579</v>
      </c>
      <c r="DF136" s="8">
        <f t="shared" si="442"/>
        <v>0.42752241436097332</v>
      </c>
      <c r="DG136" s="8">
        <f t="shared" si="443"/>
        <v>0.18277541478103579</v>
      </c>
      <c r="DH136" s="8">
        <f t="shared" si="444"/>
        <v>0.42752241436097332</v>
      </c>
      <c r="DI136" s="216">
        <f t="shared" si="445"/>
        <v>7.6349187885190251</v>
      </c>
      <c r="DJ136" s="116">
        <f t="shared" si="446"/>
        <v>7069.4573571453466</v>
      </c>
      <c r="DK136" s="8">
        <f t="shared" si="447"/>
        <v>0.18278289199585659</v>
      </c>
      <c r="DL136" s="8">
        <f t="shared" si="448"/>
        <v>0.42753115909352923</v>
      </c>
      <c r="DM136" s="8">
        <f t="shared" si="449"/>
        <v>0.18278289199585659</v>
      </c>
      <c r="DN136" s="8">
        <f t="shared" si="450"/>
        <v>0.42753115909352923</v>
      </c>
      <c r="DO136" s="216">
        <f t="shared" si="451"/>
        <v>7.6349100437864692</v>
      </c>
      <c r="DP136" s="116">
        <f t="shared" si="452"/>
        <v>7069.4654542301259</v>
      </c>
      <c r="DQ136" s="170">
        <f t="shared" si="453"/>
        <v>0.18278310134835679</v>
      </c>
      <c r="DR136" s="8">
        <f t="shared" si="454"/>
        <v>0.42753140393233896</v>
      </c>
      <c r="DS136" s="8">
        <f t="shared" si="455"/>
        <v>0.18278310134835679</v>
      </c>
      <c r="DT136" s="134">
        <f t="shared" si="456"/>
        <v>0.42753140393233896</v>
      </c>
      <c r="DU136" s="170">
        <f t="shared" si="560"/>
        <v>0.29183693344119632</v>
      </c>
      <c r="DV136" s="170">
        <f t="shared" si="560"/>
        <v>0.54021933827029589</v>
      </c>
      <c r="DW136" s="170">
        <f t="shared" si="560"/>
        <v>0.29183693344119632</v>
      </c>
      <c r="DX136" s="272">
        <f t="shared" si="560"/>
        <v>0.54021933827029589</v>
      </c>
      <c r="DY136" s="272">
        <f t="shared" si="457"/>
        <v>6.9820025263394072</v>
      </c>
      <c r="DZ136" s="22">
        <f t="shared" si="326"/>
        <v>202.85938170358239</v>
      </c>
      <c r="EA136" s="216">
        <f t="shared" si="327"/>
        <v>1.3290502016524266E-2</v>
      </c>
      <c r="EB136" s="12">
        <f t="shared" si="458"/>
        <v>2</v>
      </c>
      <c r="EC136" s="7">
        <f>ROUND(MAX(DV136,DX136)/'Inputs-Imperial'!$E$21,0)</f>
        <v>5</v>
      </c>
      <c r="ED136" s="12">
        <f t="shared" si="459"/>
        <v>5</v>
      </c>
      <c r="EE136" s="2">
        <f t="shared" si="460"/>
        <v>3</v>
      </c>
      <c r="EF136" s="127">
        <f t="shared" si="461"/>
        <v>3</v>
      </c>
      <c r="EG136" s="2">
        <f t="shared" si="462"/>
        <v>2.3622047244094495E-2</v>
      </c>
      <c r="EH136" s="8">
        <f t="shared" si="328"/>
        <v>0.13986636723036885</v>
      </c>
      <c r="EI136" s="138">
        <f t="shared" si="463"/>
        <v>0.25</v>
      </c>
      <c r="EJ136" s="12">
        <f t="shared" si="329"/>
        <v>7728.9424429064866</v>
      </c>
      <c r="EK136" s="138">
        <f t="shared" si="464"/>
        <v>0.25</v>
      </c>
      <c r="EL136" s="116">
        <f t="shared" si="465"/>
        <v>2175570</v>
      </c>
      <c r="EM136" s="2">
        <f t="shared" si="330"/>
        <v>2.3622047244094495E-2</v>
      </c>
      <c r="EN136" s="8">
        <f t="shared" si="466"/>
        <v>8.0624412028799988</v>
      </c>
      <c r="EO136" s="116">
        <f t="shared" si="467"/>
        <v>2610.6840000000002</v>
      </c>
      <c r="EP136" s="217">
        <f t="shared" si="468"/>
        <v>0.37360521107848621</v>
      </c>
      <c r="EQ136" s="207">
        <f t="shared" si="469"/>
        <v>2.2508029580190678</v>
      </c>
      <c r="ER136" s="144">
        <f t="shared" si="470"/>
        <v>11617.085593064465</v>
      </c>
      <c r="ES136" s="138">
        <f t="shared" si="331"/>
        <v>0.25</v>
      </c>
      <c r="ET136" s="116">
        <f t="shared" si="471"/>
        <v>2175570</v>
      </c>
      <c r="EU136" s="2">
        <f t="shared" si="332"/>
        <v>2.3622047244094495E-2</v>
      </c>
      <c r="EV136" s="8">
        <f t="shared" si="472"/>
        <v>8.0624412028799988</v>
      </c>
      <c r="EW136" s="116">
        <f t="shared" si="473"/>
        <v>2610.6840000000002</v>
      </c>
      <c r="EX136" s="217">
        <f t="shared" si="474"/>
        <v>0.37360521107848621</v>
      </c>
      <c r="EY136" s="207">
        <f t="shared" si="475"/>
        <v>2.2508029580190678</v>
      </c>
      <c r="EZ136" s="144">
        <f t="shared" si="476"/>
        <v>11617.085593064465</v>
      </c>
      <c r="FA136" s="138">
        <f t="shared" si="333"/>
        <v>0.25</v>
      </c>
      <c r="FB136" s="116">
        <f t="shared" si="477"/>
        <v>2175570</v>
      </c>
      <c r="FC136" s="2">
        <f t="shared" si="334"/>
        <v>2.3622047244094495E-2</v>
      </c>
      <c r="FD136" s="8">
        <f t="shared" si="478"/>
        <v>8.0624412028799988</v>
      </c>
      <c r="FE136" s="116">
        <f t="shared" si="479"/>
        <v>2610.6840000000002</v>
      </c>
      <c r="FF136" s="217">
        <f t="shared" si="480"/>
        <v>0.37360521107848621</v>
      </c>
      <c r="FG136" s="207">
        <f t="shared" si="481"/>
        <v>2.2508029580190678</v>
      </c>
      <c r="FH136" s="144">
        <f t="shared" si="482"/>
        <v>11617.085593064465</v>
      </c>
      <c r="FI136" s="128">
        <f t="shared" si="483"/>
        <v>0.25</v>
      </c>
      <c r="FJ136" s="2">
        <f t="shared" si="484"/>
        <v>2.3622047244094495E-2</v>
      </c>
      <c r="FK136" s="127">
        <f t="shared" si="485"/>
        <v>2.3622047244094495E-2</v>
      </c>
      <c r="FL136" s="216">
        <f t="shared" si="486"/>
        <v>0</v>
      </c>
      <c r="FM136" s="138">
        <f t="shared" si="487"/>
        <v>0</v>
      </c>
      <c r="FN136" s="138">
        <f t="shared" si="488"/>
        <v>0</v>
      </c>
      <c r="FO136" s="238">
        <f t="shared" si="489"/>
        <v>0.25</v>
      </c>
      <c r="FP136" s="216">
        <f t="shared" si="335"/>
        <v>0</v>
      </c>
      <c r="FQ136" s="138">
        <f t="shared" si="336"/>
        <v>0</v>
      </c>
      <c r="FR136" s="138">
        <f t="shared" si="337"/>
        <v>0</v>
      </c>
      <c r="FS136" s="238">
        <f t="shared" si="338"/>
        <v>0.25</v>
      </c>
      <c r="FT136" s="216">
        <f t="shared" si="490"/>
        <v>0</v>
      </c>
      <c r="FU136" s="138">
        <f t="shared" si="491"/>
        <v>0</v>
      </c>
      <c r="FV136" s="138">
        <f t="shared" si="492"/>
        <v>0</v>
      </c>
      <c r="FW136" s="238">
        <f t="shared" si="493"/>
        <v>2.3622047244094495E-2</v>
      </c>
      <c r="FX136" s="216">
        <f t="shared" si="339"/>
        <v>0</v>
      </c>
      <c r="FY136" s="138">
        <f t="shared" si="340"/>
        <v>0</v>
      </c>
      <c r="FZ136" s="138">
        <f t="shared" si="341"/>
        <v>0</v>
      </c>
      <c r="GA136" s="238">
        <f t="shared" si="342"/>
        <v>2.3622047244094495E-2</v>
      </c>
      <c r="GB136" s="216">
        <f t="shared" si="494"/>
        <v>0</v>
      </c>
      <c r="GC136" s="138">
        <f t="shared" si="495"/>
        <v>0</v>
      </c>
      <c r="GD136" s="138">
        <f t="shared" si="496"/>
        <v>0</v>
      </c>
      <c r="GE136" s="238">
        <f t="shared" si="497"/>
        <v>2.3622047244094495E-2</v>
      </c>
      <c r="GF136" s="216">
        <f t="shared" si="343"/>
        <v>0</v>
      </c>
      <c r="GG136" s="138">
        <f t="shared" si="344"/>
        <v>0</v>
      </c>
      <c r="GH136" s="138">
        <f t="shared" si="345"/>
        <v>0</v>
      </c>
      <c r="GI136" s="238">
        <f t="shared" si="346"/>
        <v>2.3622047244094495E-2</v>
      </c>
      <c r="GJ136" s="216">
        <f t="shared" si="498"/>
        <v>0.25</v>
      </c>
      <c r="GK136" s="216">
        <f t="shared" si="499"/>
        <v>2.3622047244094495E-2</v>
      </c>
      <c r="GL136" s="17">
        <f t="shared" si="500"/>
        <v>2.3622047244094495E-2</v>
      </c>
      <c r="GM136" s="216">
        <f t="shared" si="347"/>
        <v>6.6122841096599447E-3</v>
      </c>
      <c r="GN136" s="2">
        <f t="shared" si="501"/>
        <v>1</v>
      </c>
      <c r="GO136" s="2">
        <f t="shared" si="502"/>
        <v>2</v>
      </c>
      <c r="GP136" s="142">
        <f t="shared" si="503"/>
        <v>2</v>
      </c>
      <c r="GQ136" s="2">
        <f t="shared" si="504"/>
        <v>1.5748031496062995E-2</v>
      </c>
      <c r="GR136" s="8">
        <f t="shared" si="348"/>
        <v>6.958624710815052E-2</v>
      </c>
      <c r="GS136" s="138">
        <f t="shared" si="505"/>
        <v>0.25</v>
      </c>
      <c r="GT136" s="12">
        <f t="shared" si="349"/>
        <v>5767.9495367631107</v>
      </c>
      <c r="GU136" s="138">
        <f t="shared" si="506"/>
        <v>0.25</v>
      </c>
      <c r="GV136" s="116">
        <f t="shared" si="507"/>
        <v>2175570</v>
      </c>
      <c r="GW136" s="2">
        <f t="shared" si="350"/>
        <v>2.3622047244094495E-2</v>
      </c>
      <c r="GX136" s="8">
        <f t="shared" si="351"/>
        <v>4.0312206014399994</v>
      </c>
      <c r="GY136" s="116">
        <f t="shared" si="508"/>
        <v>2610.6840000000002</v>
      </c>
      <c r="GZ136" s="217">
        <f t="shared" si="509"/>
        <v>1.4944208443139448</v>
      </c>
      <c r="HA136" s="207">
        <f t="shared" si="510"/>
        <v>2</v>
      </c>
      <c r="HB136" s="144">
        <f t="shared" si="511"/>
        <v>41290.457884553929</v>
      </c>
      <c r="HC136" s="138">
        <f t="shared" si="352"/>
        <v>0.25</v>
      </c>
      <c r="HD136" s="116">
        <f t="shared" si="512"/>
        <v>2175570</v>
      </c>
      <c r="HE136" s="2">
        <f t="shared" si="353"/>
        <v>2.3622047244094495E-2</v>
      </c>
      <c r="HF136" s="8">
        <f t="shared" si="513"/>
        <v>4.0312206014399994</v>
      </c>
      <c r="HG136" s="116">
        <f t="shared" si="514"/>
        <v>2610.6840000000002</v>
      </c>
      <c r="HH136" s="217">
        <f t="shared" si="515"/>
        <v>1.4944208443139448</v>
      </c>
      <c r="HI136" s="207">
        <f t="shared" si="516"/>
        <v>2</v>
      </c>
      <c r="HJ136" s="144">
        <f t="shared" si="517"/>
        <v>41290.457884553929</v>
      </c>
      <c r="HK136" s="138">
        <f t="shared" si="354"/>
        <v>0.25</v>
      </c>
      <c r="HL136" s="116">
        <f t="shared" si="518"/>
        <v>2175570</v>
      </c>
      <c r="HM136" s="2">
        <f t="shared" si="355"/>
        <v>2.3622047244094495E-2</v>
      </c>
      <c r="HN136" s="8">
        <f t="shared" si="519"/>
        <v>4.0312206014399994</v>
      </c>
      <c r="HO136" s="116">
        <f t="shared" si="520"/>
        <v>2610.6840000000002</v>
      </c>
      <c r="HP136" s="217">
        <f t="shared" si="521"/>
        <v>1.4944208443139448</v>
      </c>
      <c r="HQ136" s="207">
        <f t="shared" si="522"/>
        <v>2</v>
      </c>
      <c r="HR136" s="144">
        <f t="shared" si="523"/>
        <v>41290.457884553929</v>
      </c>
      <c r="HS136" s="128">
        <f t="shared" si="524"/>
        <v>0.25</v>
      </c>
      <c r="HT136" s="2">
        <f t="shared" si="525"/>
        <v>1.5748031496062995E-2</v>
      </c>
      <c r="HU136" s="127">
        <f t="shared" si="526"/>
        <v>1.5748031496062995E-2</v>
      </c>
      <c r="HV136" s="216">
        <f t="shared" si="527"/>
        <v>0</v>
      </c>
      <c r="HW136" s="138">
        <f t="shared" si="528"/>
        <v>0</v>
      </c>
      <c r="HX136" s="138">
        <f t="shared" si="529"/>
        <v>0</v>
      </c>
      <c r="HY136" s="238">
        <f t="shared" si="530"/>
        <v>0.25</v>
      </c>
      <c r="HZ136" s="138">
        <f t="shared" si="531"/>
        <v>0</v>
      </c>
      <c r="IA136" s="138">
        <f t="shared" si="532"/>
        <v>0</v>
      </c>
      <c r="IB136" s="138">
        <f t="shared" si="533"/>
        <v>0</v>
      </c>
      <c r="IC136" s="138">
        <f t="shared" si="534"/>
        <v>0.25</v>
      </c>
      <c r="ID136" s="216">
        <f t="shared" si="535"/>
        <v>0</v>
      </c>
      <c r="IE136" s="138">
        <f t="shared" si="536"/>
        <v>0</v>
      </c>
      <c r="IF136" s="138">
        <f t="shared" si="537"/>
        <v>0</v>
      </c>
      <c r="IG136" s="238">
        <f t="shared" si="538"/>
        <v>1.5748031496062995E-2</v>
      </c>
      <c r="IH136" s="138">
        <f t="shared" si="539"/>
        <v>0</v>
      </c>
      <c r="II136" s="138">
        <f t="shared" si="540"/>
        <v>0</v>
      </c>
      <c r="IJ136" s="138">
        <f t="shared" si="541"/>
        <v>0</v>
      </c>
      <c r="IK136" s="138">
        <f t="shared" si="542"/>
        <v>1.5748031496062995E-2</v>
      </c>
      <c r="IL136" s="216">
        <f t="shared" si="543"/>
        <v>0</v>
      </c>
      <c r="IM136" s="138">
        <f t="shared" si="544"/>
        <v>0</v>
      </c>
      <c r="IN136" s="138">
        <f t="shared" si="545"/>
        <v>0</v>
      </c>
      <c r="IO136" s="238">
        <f t="shared" si="546"/>
        <v>1.5748031496062995E-2</v>
      </c>
      <c r="IP136" s="138">
        <f t="shared" si="547"/>
        <v>0</v>
      </c>
      <c r="IQ136" s="138">
        <f t="shared" si="548"/>
        <v>0</v>
      </c>
      <c r="IR136" s="138">
        <f t="shared" si="549"/>
        <v>0</v>
      </c>
      <c r="IS136" s="138">
        <f t="shared" si="550"/>
        <v>1.5748031496062995E-2</v>
      </c>
      <c r="IT136" s="17">
        <f t="shared" si="551"/>
        <v>0.25</v>
      </c>
      <c r="IU136" s="17">
        <f t="shared" si="552"/>
        <v>1.5748031496062995E-2</v>
      </c>
      <c r="IV136" s="17">
        <f t="shared" si="553"/>
        <v>1.5748031496062995E-2</v>
      </c>
      <c r="IW136" s="253">
        <f t="shared" si="554"/>
        <v>22.395670008000003</v>
      </c>
      <c r="IX136" s="116">
        <f t="shared" si="356"/>
        <v>241.0052156574134</v>
      </c>
      <c r="IY136" s="8">
        <f t="shared" si="357"/>
        <v>6.2312604883913193E-3</v>
      </c>
      <c r="IZ136" s="8">
        <f t="shared" si="555"/>
        <v>6.2312604883913193E-3</v>
      </c>
      <c r="JA136" s="8">
        <f t="shared" si="556"/>
        <v>3.1156302441956597E-3</v>
      </c>
      <c r="JB136" s="134">
        <f t="shared" si="557"/>
        <v>5.5817830880424399E-2</v>
      </c>
      <c r="JC136" s="170">
        <f t="shared" si="561"/>
        <v>4.9108767457898697E-3</v>
      </c>
      <c r="JD136" s="272">
        <f t="shared" si="562"/>
        <v>7.0077647975583982E-2</v>
      </c>
      <c r="JE136" s="8"/>
      <c r="JF136" s="8"/>
    </row>
    <row r="137" spans="1:266" x14ac:dyDescent="0.25">
      <c r="A137" s="186">
        <v>77</v>
      </c>
      <c r="B137" s="187">
        <f>A137/100*'Inputs-Imperial'!$E$5</f>
        <v>18.542651511999999</v>
      </c>
      <c r="C137" s="188">
        <f>'Inputs-Imperial'!$E$10+('Inputs-Imperial'!$E$9-'Inputs-Imperial'!$E$10)*(100-A137)/100</f>
        <v>3.7148131110000002</v>
      </c>
      <c r="D137" s="187">
        <f t="shared" si="558"/>
        <v>0.24081365600000026</v>
      </c>
      <c r="E137" s="188">
        <f t="shared" si="559"/>
        <v>0.89672079440799202</v>
      </c>
      <c r="F137" s="423">
        <f>Loads!P97</f>
        <v>155.26452159936986</v>
      </c>
      <c r="G137" s="423">
        <f>Loads!M97</f>
        <v>1552.6452159936985</v>
      </c>
      <c r="H137" s="423">
        <f>Loads!N97</f>
        <v>4104.0335906442515</v>
      </c>
      <c r="I137" s="423">
        <f>Loads!V97</f>
        <v>-2521.2754978452945</v>
      </c>
      <c r="J137" s="423">
        <f>Loads!Q97</f>
        <v>410.40335906442516</v>
      </c>
      <c r="K137" s="2">
        <v>77</v>
      </c>
      <c r="L137" s="12">
        <f t="shared" si="358"/>
        <v>222.51181814399999</v>
      </c>
      <c r="M137" s="11">
        <f t="shared" si="359"/>
        <v>44.577757332000004</v>
      </c>
      <c r="N137" s="11">
        <f t="shared" si="360"/>
        <v>2.8897638720000032</v>
      </c>
      <c r="O137" s="152">
        <f t="shared" si="361"/>
        <v>129.12779439475085</v>
      </c>
      <c r="P137" s="151">
        <f t="shared" si="362"/>
        <v>155.26452159936986</v>
      </c>
      <c r="Q137" s="12">
        <f t="shared" si="363"/>
        <v>1552.6452159936985</v>
      </c>
      <c r="R137" s="12">
        <f t="shared" si="364"/>
        <v>49248.403087731014</v>
      </c>
      <c r="S137" s="12">
        <f t="shared" si="365"/>
        <v>-30255.305974143535</v>
      </c>
      <c r="T137" s="152">
        <f t="shared" si="366"/>
        <v>4924.8403087731022</v>
      </c>
      <c r="U137" s="8">
        <f t="shared" si="313"/>
        <v>8.0239963197600002</v>
      </c>
      <c r="V137" s="8">
        <f t="shared" si="314"/>
        <v>8.0239963197600002</v>
      </c>
      <c r="W137" s="134">
        <f t="shared" si="315"/>
        <v>4.0119981598800001</v>
      </c>
      <c r="X137" s="311">
        <f t="shared" si="316"/>
        <v>11.144439333000001</v>
      </c>
      <c r="Y137" s="11">
        <f t="shared" si="317"/>
        <v>33.433317999000003</v>
      </c>
      <c r="Z137" s="11">
        <f t="shared" si="318"/>
        <v>22.288878666000002</v>
      </c>
      <c r="AA137" s="316">
        <f t="shared" si="367"/>
        <v>33.433317999000003</v>
      </c>
      <c r="AB137" s="170">
        <f t="shared" si="368"/>
        <v>6.0179972398199997</v>
      </c>
      <c r="AC137" s="11">
        <f t="shared" si="369"/>
        <v>33.433317999000003</v>
      </c>
      <c r="AD137" s="152">
        <f t="shared" si="370"/>
        <v>158.02337923603906</v>
      </c>
      <c r="AE137" s="151">
        <f t="shared" si="319"/>
        <v>4.6440057670618824</v>
      </c>
      <c r="AF137" s="12">
        <f t="shared" si="320"/>
        <v>95.730473934971585</v>
      </c>
      <c r="AG137" s="216">
        <f t="shared" si="321"/>
        <v>6.576117967453568E-3</v>
      </c>
      <c r="AH137" s="2">
        <f t="shared" si="371"/>
        <v>1</v>
      </c>
      <c r="AI137" s="2">
        <f t="shared" si="372"/>
        <v>3</v>
      </c>
      <c r="AJ137" s="127">
        <f t="shared" si="373"/>
        <v>2</v>
      </c>
      <c r="AK137" s="2">
        <f t="shared" si="374"/>
        <v>1.5748031496062995E-2</v>
      </c>
      <c r="AL137" s="8">
        <f t="shared" si="322"/>
        <v>6.9205642453724861E-2</v>
      </c>
      <c r="AM137" s="138">
        <f t="shared" si="375"/>
        <v>0.25</v>
      </c>
      <c r="AN137" s="12">
        <f t="shared" si="323"/>
        <v>5736.4015149712113</v>
      </c>
      <c r="AO137" s="138">
        <f t="shared" si="376"/>
        <v>0.25</v>
      </c>
      <c r="AP137" s="116">
        <f t="shared" si="377"/>
        <v>2175570</v>
      </c>
      <c r="AQ137" s="2">
        <f t="shared" si="378"/>
        <v>1.5748031496062995E-2</v>
      </c>
      <c r="AR137" s="8">
        <f t="shared" si="379"/>
        <v>22.288878666000002</v>
      </c>
      <c r="AS137" s="116">
        <f t="shared" si="380"/>
        <v>2610.6840000000002</v>
      </c>
      <c r="AT137" s="217">
        <f t="shared" si="381"/>
        <v>3.2589548741329397E-2</v>
      </c>
      <c r="AU137" s="207">
        <f t="shared" si="382"/>
        <v>4.756830934058291</v>
      </c>
      <c r="AV137" s="144">
        <f t="shared" si="383"/>
        <v>3212.4332242594173</v>
      </c>
      <c r="AW137" s="138">
        <f t="shared" si="384"/>
        <v>0.5</v>
      </c>
      <c r="AX137" s="116">
        <f t="shared" si="385"/>
        <v>2175570</v>
      </c>
      <c r="AY137" s="2">
        <f t="shared" si="386"/>
        <v>1.5748031496062995E-2</v>
      </c>
      <c r="AZ137" s="8">
        <f t="shared" si="387"/>
        <v>22.288878666000002</v>
      </c>
      <c r="BA137" s="116">
        <f t="shared" si="388"/>
        <v>2610.6840000000002</v>
      </c>
      <c r="BB137" s="217">
        <f t="shared" si="389"/>
        <v>6.5179097482658793E-2</v>
      </c>
      <c r="BC137" s="207">
        <f t="shared" si="390"/>
        <v>4.3009586617241577</v>
      </c>
      <c r="BD137" s="144">
        <f t="shared" si="391"/>
        <v>11618.275017650392</v>
      </c>
      <c r="BE137" s="138">
        <f t="shared" si="392"/>
        <v>0.5</v>
      </c>
      <c r="BF137" s="116">
        <f t="shared" si="393"/>
        <v>2175570</v>
      </c>
      <c r="BG137" s="2">
        <f t="shared" si="394"/>
        <v>1.5748031496062995E-2</v>
      </c>
      <c r="BH137" s="8">
        <f t="shared" si="395"/>
        <v>22.288878666000002</v>
      </c>
      <c r="BI137" s="116">
        <f t="shared" si="396"/>
        <v>2610.6840000000002</v>
      </c>
      <c r="BJ137" s="217">
        <f t="shared" si="397"/>
        <v>6.5179097482658793E-2</v>
      </c>
      <c r="BK137" s="207">
        <f t="shared" si="398"/>
        <v>4.3009586617241577</v>
      </c>
      <c r="BL137" s="144">
        <f t="shared" si="399"/>
        <v>11618.275017650392</v>
      </c>
      <c r="BM137" s="216">
        <f t="shared" si="400"/>
        <v>0.5</v>
      </c>
      <c r="BN137" s="216">
        <f t="shared" si="401"/>
        <v>2.3622047244094495E-2</v>
      </c>
      <c r="BO137" s="238">
        <f t="shared" si="402"/>
        <v>1.5748031496062995E-2</v>
      </c>
      <c r="BP137" s="216">
        <f t="shared" si="403"/>
        <v>0</v>
      </c>
      <c r="BQ137" s="138">
        <f t="shared" si="404"/>
        <v>0</v>
      </c>
      <c r="BR137" s="138">
        <f t="shared" si="405"/>
        <v>0</v>
      </c>
      <c r="BS137" s="238">
        <f t="shared" si="406"/>
        <v>0.5</v>
      </c>
      <c r="BT137" s="138">
        <f t="shared" si="407"/>
        <v>0</v>
      </c>
      <c r="BU137" s="138">
        <f t="shared" si="408"/>
        <v>0</v>
      </c>
      <c r="BV137" s="138">
        <f t="shared" si="409"/>
        <v>0</v>
      </c>
      <c r="BW137" s="238">
        <f t="shared" si="410"/>
        <v>0.75</v>
      </c>
      <c r="BX137" s="216">
        <f t="shared" si="411"/>
        <v>0</v>
      </c>
      <c r="BY137" s="138">
        <f t="shared" si="412"/>
        <v>0</v>
      </c>
      <c r="BZ137" s="138">
        <f t="shared" si="413"/>
        <v>0</v>
      </c>
      <c r="CA137" s="238">
        <f t="shared" si="414"/>
        <v>2.3622047244094495E-2</v>
      </c>
      <c r="CB137" s="138">
        <f t="shared" si="415"/>
        <v>0</v>
      </c>
      <c r="CC137" s="138">
        <f t="shared" si="416"/>
        <v>0</v>
      </c>
      <c r="CD137" s="138">
        <f t="shared" si="417"/>
        <v>0</v>
      </c>
      <c r="CE137" s="238">
        <f t="shared" si="418"/>
        <v>2.3622047244094495E-2</v>
      </c>
      <c r="CF137" s="216">
        <f t="shared" si="419"/>
        <v>0</v>
      </c>
      <c r="CG137" s="138">
        <f t="shared" si="420"/>
        <v>0</v>
      </c>
      <c r="CH137" s="138">
        <f t="shared" si="421"/>
        <v>0</v>
      </c>
      <c r="CI137" s="238">
        <f t="shared" si="422"/>
        <v>1.5748031496062995E-2</v>
      </c>
      <c r="CJ137" s="138">
        <f t="shared" si="423"/>
        <v>0</v>
      </c>
      <c r="CK137" s="138">
        <f t="shared" si="424"/>
        <v>0</v>
      </c>
      <c r="CL137" s="138">
        <f t="shared" si="425"/>
        <v>0</v>
      </c>
      <c r="CM137" s="238">
        <f t="shared" si="426"/>
        <v>1.5748031496062995E-2</v>
      </c>
      <c r="CN137" s="17">
        <f t="shared" si="427"/>
        <v>0.75</v>
      </c>
      <c r="CO137" s="17">
        <f t="shared" si="428"/>
        <v>2.3622047244094495E-2</v>
      </c>
      <c r="CP137" s="17">
        <f t="shared" si="429"/>
        <v>1.5748031496062995E-2</v>
      </c>
      <c r="CQ137" s="17">
        <f>$U137-IF('Inputs-Imperial'!$E$13,0,2)*($CO137+$CN137+$CP137)</f>
        <v>8.0239963197600002</v>
      </c>
      <c r="CR137" s="116">
        <f t="shared" si="430"/>
        <v>6137.6402885992411</v>
      </c>
      <c r="CS137" s="8">
        <f t="shared" si="324"/>
        <v>0.15869048857711188</v>
      </c>
      <c r="CT137" s="8">
        <f t="shared" si="431"/>
        <v>0.39835974768682625</v>
      </c>
      <c r="CU137" s="8">
        <f t="shared" si="325"/>
        <v>0.15869048857711188</v>
      </c>
      <c r="CV137" s="8">
        <f t="shared" si="432"/>
        <v>0.39835974768682625</v>
      </c>
      <c r="CW137" s="216">
        <f t="shared" si="433"/>
        <v>7.6256365720731747</v>
      </c>
      <c r="CX137" s="116">
        <f t="shared" si="434"/>
        <v>6458.2677947294169</v>
      </c>
      <c r="CY137" s="8">
        <f t="shared" si="435"/>
        <v>0.16698040672261966</v>
      </c>
      <c r="CZ137" s="8">
        <f t="shared" si="436"/>
        <v>0.40863236132570269</v>
      </c>
      <c r="DA137" s="8">
        <f t="shared" si="437"/>
        <v>0.16698040672261966</v>
      </c>
      <c r="DB137" s="8">
        <f t="shared" si="438"/>
        <v>0.40863236132570269</v>
      </c>
      <c r="DC137" s="216">
        <f t="shared" si="439"/>
        <v>7.6153639584342976</v>
      </c>
      <c r="DD137" s="116">
        <f t="shared" si="440"/>
        <v>6466.9795634897509</v>
      </c>
      <c r="DE137" s="8">
        <f t="shared" si="441"/>
        <v>0.16720565205729923</v>
      </c>
      <c r="DF137" s="8">
        <f t="shared" si="442"/>
        <v>0.40890787722578692</v>
      </c>
      <c r="DG137" s="8">
        <f t="shared" si="443"/>
        <v>0.16720565205729923</v>
      </c>
      <c r="DH137" s="8">
        <f t="shared" si="444"/>
        <v>0.40890787722578692</v>
      </c>
      <c r="DI137" s="216">
        <f t="shared" si="445"/>
        <v>7.6150884425342138</v>
      </c>
      <c r="DJ137" s="116">
        <f t="shared" si="446"/>
        <v>6467.2135405090203</v>
      </c>
      <c r="DK137" s="8">
        <f t="shared" si="447"/>
        <v>0.16721170160171006</v>
      </c>
      <c r="DL137" s="8">
        <f t="shared" si="448"/>
        <v>0.40891527435608233</v>
      </c>
      <c r="DM137" s="8">
        <f t="shared" si="449"/>
        <v>0.16721170160171006</v>
      </c>
      <c r="DN137" s="8">
        <f t="shared" si="450"/>
        <v>0.40891527435608233</v>
      </c>
      <c r="DO137" s="216">
        <f t="shared" si="451"/>
        <v>7.6150810454039171</v>
      </c>
      <c r="DP137" s="116">
        <f t="shared" si="452"/>
        <v>6467.2198226248547</v>
      </c>
      <c r="DQ137" s="170">
        <f t="shared" si="453"/>
        <v>0.16721186402765623</v>
      </c>
      <c r="DR137" s="8">
        <f t="shared" si="454"/>
        <v>0.40891547296190228</v>
      </c>
      <c r="DS137" s="8">
        <f t="shared" si="455"/>
        <v>0.16721186402765623</v>
      </c>
      <c r="DT137" s="134">
        <f t="shared" si="456"/>
        <v>0.40891547296190228</v>
      </c>
      <c r="DU137" s="170">
        <f t="shared" si="560"/>
        <v>0.29183693344119632</v>
      </c>
      <c r="DV137" s="170">
        <f t="shared" si="560"/>
        <v>0.54021933827029589</v>
      </c>
      <c r="DW137" s="170">
        <f t="shared" si="560"/>
        <v>0.29183693344119632</v>
      </c>
      <c r="DX137" s="272">
        <f t="shared" si="560"/>
        <v>0.54021933827029589</v>
      </c>
      <c r="DY137" s="272">
        <f t="shared" si="457"/>
        <v>6.9435576432194086</v>
      </c>
      <c r="DZ137" s="22">
        <f t="shared" si="326"/>
        <v>193.50024029424512</v>
      </c>
      <c r="EA137" s="216">
        <f t="shared" si="327"/>
        <v>1.2677330041291256E-2</v>
      </c>
      <c r="EB137" s="12">
        <f t="shared" si="458"/>
        <v>2</v>
      </c>
      <c r="EC137" s="7">
        <f>ROUND(MAX(DV137,DX137)/'Inputs-Imperial'!$E$21,0)</f>
        <v>5</v>
      </c>
      <c r="ED137" s="12">
        <f t="shared" si="459"/>
        <v>5</v>
      </c>
      <c r="EE137" s="2">
        <f t="shared" si="460"/>
        <v>3</v>
      </c>
      <c r="EF137" s="127">
        <f t="shared" si="461"/>
        <v>3</v>
      </c>
      <c r="EG137" s="2">
        <f t="shared" si="462"/>
        <v>2.3622047244094495E-2</v>
      </c>
      <c r="EH137" s="8">
        <f t="shared" si="328"/>
        <v>0.13341347805005938</v>
      </c>
      <c r="EI137" s="138">
        <f t="shared" si="463"/>
        <v>0.25</v>
      </c>
      <c r="EJ137" s="12">
        <f t="shared" si="329"/>
        <v>7372.3591552107373</v>
      </c>
      <c r="EK137" s="138">
        <f t="shared" si="464"/>
        <v>0.25</v>
      </c>
      <c r="EL137" s="116">
        <f t="shared" si="465"/>
        <v>2175570</v>
      </c>
      <c r="EM137" s="2">
        <f t="shared" si="330"/>
        <v>2.3622047244094495E-2</v>
      </c>
      <c r="EN137" s="8">
        <f t="shared" si="466"/>
        <v>8.0239963197600002</v>
      </c>
      <c r="EO137" s="116">
        <f t="shared" si="467"/>
        <v>2610.6840000000002</v>
      </c>
      <c r="EP137" s="217">
        <f t="shared" si="468"/>
        <v>0.37719385117279403</v>
      </c>
      <c r="EQ137" s="207">
        <f t="shared" si="469"/>
        <v>2.2313762616106714</v>
      </c>
      <c r="ER137" s="144">
        <f t="shared" si="470"/>
        <v>11627.442480617801</v>
      </c>
      <c r="ES137" s="138">
        <f t="shared" si="331"/>
        <v>0.25</v>
      </c>
      <c r="ET137" s="116">
        <f t="shared" si="471"/>
        <v>2175570</v>
      </c>
      <c r="EU137" s="2">
        <f t="shared" si="332"/>
        <v>2.3622047244094495E-2</v>
      </c>
      <c r="EV137" s="8">
        <f t="shared" si="472"/>
        <v>8.0239963197600002</v>
      </c>
      <c r="EW137" s="116">
        <f t="shared" si="473"/>
        <v>2610.6840000000002</v>
      </c>
      <c r="EX137" s="217">
        <f t="shared" si="474"/>
        <v>0.37719385117279403</v>
      </c>
      <c r="EY137" s="207">
        <f t="shared" si="475"/>
        <v>2.2313762616106714</v>
      </c>
      <c r="EZ137" s="144">
        <f t="shared" si="476"/>
        <v>11627.442480617801</v>
      </c>
      <c r="FA137" s="138">
        <f t="shared" si="333"/>
        <v>0.25</v>
      </c>
      <c r="FB137" s="116">
        <f t="shared" si="477"/>
        <v>2175570</v>
      </c>
      <c r="FC137" s="2">
        <f t="shared" si="334"/>
        <v>2.3622047244094495E-2</v>
      </c>
      <c r="FD137" s="8">
        <f t="shared" si="478"/>
        <v>8.0239963197600002</v>
      </c>
      <c r="FE137" s="116">
        <f t="shared" si="479"/>
        <v>2610.6840000000002</v>
      </c>
      <c r="FF137" s="217">
        <f t="shared" si="480"/>
        <v>0.37719385117279403</v>
      </c>
      <c r="FG137" s="207">
        <f t="shared" si="481"/>
        <v>2.2313762616106714</v>
      </c>
      <c r="FH137" s="144">
        <f t="shared" si="482"/>
        <v>11627.442480617801</v>
      </c>
      <c r="FI137" s="128">
        <f t="shared" si="483"/>
        <v>0.25</v>
      </c>
      <c r="FJ137" s="2">
        <f t="shared" si="484"/>
        <v>2.3622047244094495E-2</v>
      </c>
      <c r="FK137" s="127">
        <f t="shared" si="485"/>
        <v>2.3622047244094495E-2</v>
      </c>
      <c r="FL137" s="216">
        <f t="shared" si="486"/>
        <v>0</v>
      </c>
      <c r="FM137" s="138">
        <f t="shared" si="487"/>
        <v>0</v>
      </c>
      <c r="FN137" s="138">
        <f t="shared" si="488"/>
        <v>0</v>
      </c>
      <c r="FO137" s="238">
        <f t="shared" si="489"/>
        <v>0.25</v>
      </c>
      <c r="FP137" s="216">
        <f t="shared" si="335"/>
        <v>0</v>
      </c>
      <c r="FQ137" s="138">
        <f t="shared" si="336"/>
        <v>0</v>
      </c>
      <c r="FR137" s="138">
        <f t="shared" si="337"/>
        <v>0</v>
      </c>
      <c r="FS137" s="238">
        <f t="shared" si="338"/>
        <v>0.25</v>
      </c>
      <c r="FT137" s="216">
        <f t="shared" si="490"/>
        <v>0</v>
      </c>
      <c r="FU137" s="138">
        <f t="shared" si="491"/>
        <v>0</v>
      </c>
      <c r="FV137" s="138">
        <f t="shared" si="492"/>
        <v>0</v>
      </c>
      <c r="FW137" s="238">
        <f t="shared" si="493"/>
        <v>2.3622047244094495E-2</v>
      </c>
      <c r="FX137" s="216">
        <f t="shared" si="339"/>
        <v>0</v>
      </c>
      <c r="FY137" s="138">
        <f t="shared" si="340"/>
        <v>0</v>
      </c>
      <c r="FZ137" s="138">
        <f t="shared" si="341"/>
        <v>0</v>
      </c>
      <c r="GA137" s="238">
        <f t="shared" si="342"/>
        <v>2.3622047244094495E-2</v>
      </c>
      <c r="GB137" s="216">
        <f t="shared" si="494"/>
        <v>0</v>
      </c>
      <c r="GC137" s="138">
        <f t="shared" si="495"/>
        <v>0</v>
      </c>
      <c r="GD137" s="138">
        <f t="shared" si="496"/>
        <v>0</v>
      </c>
      <c r="GE137" s="238">
        <f t="shared" si="497"/>
        <v>2.3622047244094495E-2</v>
      </c>
      <c r="GF137" s="216">
        <f t="shared" si="343"/>
        <v>0</v>
      </c>
      <c r="GG137" s="138">
        <f t="shared" si="344"/>
        <v>0</v>
      </c>
      <c r="GH137" s="138">
        <f t="shared" si="345"/>
        <v>0</v>
      </c>
      <c r="GI137" s="238">
        <f t="shared" si="346"/>
        <v>2.3622047244094495E-2</v>
      </c>
      <c r="GJ137" s="216">
        <f t="shared" si="498"/>
        <v>0.25</v>
      </c>
      <c r="GK137" s="216">
        <f t="shared" si="499"/>
        <v>2.3622047244094495E-2</v>
      </c>
      <c r="GL137" s="17">
        <f t="shared" si="500"/>
        <v>2.3622047244094495E-2</v>
      </c>
      <c r="GM137" s="216">
        <f t="shared" si="347"/>
        <v>6.2718620464625782E-3</v>
      </c>
      <c r="GN137" s="2">
        <f t="shared" si="501"/>
        <v>1</v>
      </c>
      <c r="GO137" s="2">
        <f t="shared" si="502"/>
        <v>2</v>
      </c>
      <c r="GP137" s="142">
        <f t="shared" si="503"/>
        <v>2</v>
      </c>
      <c r="GQ137" s="2">
        <f t="shared" si="504"/>
        <v>1.5748031496062995E-2</v>
      </c>
      <c r="GR137" s="8">
        <f t="shared" si="348"/>
        <v>6.6003718980523429E-2</v>
      </c>
      <c r="GS137" s="138">
        <f t="shared" si="505"/>
        <v>0.25</v>
      </c>
      <c r="GT137" s="12">
        <f t="shared" si="349"/>
        <v>5470.9965853836247</v>
      </c>
      <c r="GU137" s="138">
        <f t="shared" si="506"/>
        <v>0.25</v>
      </c>
      <c r="GV137" s="116">
        <f t="shared" si="507"/>
        <v>2175570</v>
      </c>
      <c r="GW137" s="2">
        <f t="shared" si="350"/>
        <v>2.3622047244094495E-2</v>
      </c>
      <c r="GX137" s="8">
        <f t="shared" si="351"/>
        <v>4.0119981598800001</v>
      </c>
      <c r="GY137" s="116">
        <f t="shared" si="508"/>
        <v>2610.6840000000002</v>
      </c>
      <c r="GZ137" s="217">
        <f t="shared" si="509"/>
        <v>1.5087754046911761</v>
      </c>
      <c r="HA137" s="207">
        <f t="shared" si="510"/>
        <v>2</v>
      </c>
      <c r="HB137" s="144">
        <f t="shared" si="511"/>
        <v>41687.070641236562</v>
      </c>
      <c r="HC137" s="138">
        <f t="shared" si="352"/>
        <v>0.25</v>
      </c>
      <c r="HD137" s="116">
        <f t="shared" si="512"/>
        <v>2175570</v>
      </c>
      <c r="HE137" s="2">
        <f t="shared" si="353"/>
        <v>2.3622047244094495E-2</v>
      </c>
      <c r="HF137" s="8">
        <f t="shared" si="513"/>
        <v>4.0119981598800001</v>
      </c>
      <c r="HG137" s="116">
        <f t="shared" si="514"/>
        <v>2610.6840000000002</v>
      </c>
      <c r="HH137" s="217">
        <f t="shared" si="515"/>
        <v>1.5087754046911761</v>
      </c>
      <c r="HI137" s="207">
        <f t="shared" si="516"/>
        <v>2</v>
      </c>
      <c r="HJ137" s="144">
        <f t="shared" si="517"/>
        <v>41687.070641236562</v>
      </c>
      <c r="HK137" s="138">
        <f t="shared" si="354"/>
        <v>0.25</v>
      </c>
      <c r="HL137" s="116">
        <f t="shared" si="518"/>
        <v>2175570</v>
      </c>
      <c r="HM137" s="2">
        <f t="shared" si="355"/>
        <v>2.3622047244094495E-2</v>
      </c>
      <c r="HN137" s="8">
        <f t="shared" si="519"/>
        <v>4.0119981598800001</v>
      </c>
      <c r="HO137" s="116">
        <f t="shared" si="520"/>
        <v>2610.6840000000002</v>
      </c>
      <c r="HP137" s="217">
        <f t="shared" si="521"/>
        <v>1.5087754046911761</v>
      </c>
      <c r="HQ137" s="207">
        <f t="shared" si="522"/>
        <v>2</v>
      </c>
      <c r="HR137" s="144">
        <f t="shared" si="523"/>
        <v>41687.070641236562</v>
      </c>
      <c r="HS137" s="128">
        <f t="shared" si="524"/>
        <v>0.25</v>
      </c>
      <c r="HT137" s="2">
        <f t="shared" si="525"/>
        <v>1.5748031496062995E-2</v>
      </c>
      <c r="HU137" s="127">
        <f t="shared" si="526"/>
        <v>1.5748031496062995E-2</v>
      </c>
      <c r="HV137" s="216">
        <f t="shared" si="527"/>
        <v>0</v>
      </c>
      <c r="HW137" s="138">
        <f t="shared" si="528"/>
        <v>0</v>
      </c>
      <c r="HX137" s="138">
        <f t="shared" si="529"/>
        <v>0</v>
      </c>
      <c r="HY137" s="238">
        <f t="shared" si="530"/>
        <v>0.25</v>
      </c>
      <c r="HZ137" s="138">
        <f t="shared" si="531"/>
        <v>0</v>
      </c>
      <c r="IA137" s="138">
        <f t="shared" si="532"/>
        <v>0</v>
      </c>
      <c r="IB137" s="138">
        <f t="shared" si="533"/>
        <v>0</v>
      </c>
      <c r="IC137" s="138">
        <f t="shared" si="534"/>
        <v>0.25</v>
      </c>
      <c r="ID137" s="216">
        <f t="shared" si="535"/>
        <v>0</v>
      </c>
      <c r="IE137" s="138">
        <f t="shared" si="536"/>
        <v>0</v>
      </c>
      <c r="IF137" s="138">
        <f t="shared" si="537"/>
        <v>0</v>
      </c>
      <c r="IG137" s="238">
        <f t="shared" si="538"/>
        <v>1.5748031496062995E-2</v>
      </c>
      <c r="IH137" s="138">
        <f t="shared" si="539"/>
        <v>0</v>
      </c>
      <c r="II137" s="138">
        <f t="shared" si="540"/>
        <v>0</v>
      </c>
      <c r="IJ137" s="138">
        <f t="shared" si="541"/>
        <v>0</v>
      </c>
      <c r="IK137" s="138">
        <f t="shared" si="542"/>
        <v>1.5748031496062995E-2</v>
      </c>
      <c r="IL137" s="216">
        <f t="shared" si="543"/>
        <v>0</v>
      </c>
      <c r="IM137" s="138">
        <f t="shared" si="544"/>
        <v>0</v>
      </c>
      <c r="IN137" s="138">
        <f t="shared" si="545"/>
        <v>0</v>
      </c>
      <c r="IO137" s="238">
        <f t="shared" si="546"/>
        <v>1.5748031496062995E-2</v>
      </c>
      <c r="IP137" s="138">
        <f t="shared" si="547"/>
        <v>0</v>
      </c>
      <c r="IQ137" s="138">
        <f t="shared" si="548"/>
        <v>0</v>
      </c>
      <c r="IR137" s="138">
        <f t="shared" si="549"/>
        <v>0</v>
      </c>
      <c r="IS137" s="138">
        <f t="shared" si="550"/>
        <v>1.5748031496062995E-2</v>
      </c>
      <c r="IT137" s="17">
        <f t="shared" si="551"/>
        <v>0.25</v>
      </c>
      <c r="IU137" s="17">
        <f t="shared" si="552"/>
        <v>1.5748031496062995E-2</v>
      </c>
      <c r="IV137" s="17">
        <f t="shared" si="553"/>
        <v>1.5748031496062995E-2</v>
      </c>
      <c r="IW137" s="253">
        <f t="shared" si="554"/>
        <v>22.288878666000002</v>
      </c>
      <c r="IX137" s="116">
        <f t="shared" si="356"/>
        <v>220.95505038957268</v>
      </c>
      <c r="IY137" s="8">
        <f t="shared" si="357"/>
        <v>5.7128575887760271E-3</v>
      </c>
      <c r="IZ137" s="8">
        <f t="shared" si="555"/>
        <v>5.7128575887760271E-3</v>
      </c>
      <c r="JA137" s="8">
        <f t="shared" si="556"/>
        <v>2.8564287943880135E-3</v>
      </c>
      <c r="JB137" s="134">
        <f t="shared" si="557"/>
        <v>5.3445568519644486E-2</v>
      </c>
      <c r="JC137" s="170">
        <f t="shared" si="561"/>
        <v>4.9108767457898697E-3</v>
      </c>
      <c r="JD137" s="272">
        <f t="shared" si="562"/>
        <v>7.0077647975583982E-2</v>
      </c>
      <c r="JE137" s="8"/>
      <c r="JF137" s="8"/>
    </row>
    <row r="138" spans="1:266" x14ac:dyDescent="0.25">
      <c r="A138" s="186">
        <v>78</v>
      </c>
      <c r="B138" s="187">
        <f>A138/100*'Inputs-Imperial'!$E$5</f>
        <v>18.783465167999999</v>
      </c>
      <c r="C138" s="188">
        <f>'Inputs-Imperial'!$E$10+('Inputs-Imperial'!$E$9-'Inputs-Imperial'!$E$10)*(100-A138)/100</f>
        <v>3.6970145540000003</v>
      </c>
      <c r="D138" s="187">
        <f t="shared" si="558"/>
        <v>0.24081365600000026</v>
      </c>
      <c r="E138" s="188">
        <f t="shared" si="559"/>
        <v>0.89243465882529771</v>
      </c>
      <c r="F138" s="423">
        <f>Loads!P98</f>
        <v>147.07007502346536</v>
      </c>
      <c r="G138" s="423">
        <f>Loads!M98</f>
        <v>1470.7007502346535</v>
      </c>
      <c r="H138" s="423">
        <f>Loads!N98</f>
        <v>3730.135419709899</v>
      </c>
      <c r="I138" s="423">
        <f>Loads!V98</f>
        <v>-2362.6366195316177</v>
      </c>
      <c r="J138" s="423">
        <f>Loads!Q98</f>
        <v>373.01354197098988</v>
      </c>
      <c r="K138" s="2">
        <v>78</v>
      </c>
      <c r="L138" s="12">
        <f t="shared" si="358"/>
        <v>225.40158201599999</v>
      </c>
      <c r="M138" s="11">
        <f t="shared" si="359"/>
        <v>44.364174648000002</v>
      </c>
      <c r="N138" s="11">
        <f t="shared" si="360"/>
        <v>2.8897638720000032</v>
      </c>
      <c r="O138" s="152">
        <f t="shared" si="361"/>
        <v>128.51059087084286</v>
      </c>
      <c r="P138" s="151">
        <f t="shared" si="362"/>
        <v>147.07007502346536</v>
      </c>
      <c r="Q138" s="12">
        <f t="shared" si="363"/>
        <v>1470.7007502346535</v>
      </c>
      <c r="R138" s="12">
        <f t="shared" si="364"/>
        <v>44761.625036518788</v>
      </c>
      <c r="S138" s="12">
        <f t="shared" si="365"/>
        <v>-28351.639434379413</v>
      </c>
      <c r="T138" s="152">
        <f t="shared" si="366"/>
        <v>4476.1625036518781</v>
      </c>
      <c r="U138" s="8">
        <f t="shared" si="313"/>
        <v>7.9855514366399998</v>
      </c>
      <c r="V138" s="8">
        <f t="shared" si="314"/>
        <v>7.9855514366399998</v>
      </c>
      <c r="W138" s="134">
        <f t="shared" si="315"/>
        <v>3.9927757183199999</v>
      </c>
      <c r="X138" s="311">
        <f t="shared" si="316"/>
        <v>11.091043662000001</v>
      </c>
      <c r="Y138" s="11">
        <f t="shared" si="317"/>
        <v>33.273130985999998</v>
      </c>
      <c r="Z138" s="11">
        <f t="shared" si="318"/>
        <v>22.182087323999998</v>
      </c>
      <c r="AA138" s="316">
        <f t="shared" si="367"/>
        <v>33.273130985999998</v>
      </c>
      <c r="AB138" s="170">
        <f t="shared" si="368"/>
        <v>5.9891635774799994</v>
      </c>
      <c r="AC138" s="11">
        <f t="shared" si="369"/>
        <v>33.273130985999998</v>
      </c>
      <c r="AD138" s="152">
        <f t="shared" si="370"/>
        <v>156.51275129969574</v>
      </c>
      <c r="AE138" s="151">
        <f t="shared" si="319"/>
        <v>4.4200852359024037</v>
      </c>
      <c r="AF138" s="12">
        <f t="shared" si="320"/>
        <v>90.572937984109572</v>
      </c>
      <c r="AG138" s="216">
        <f t="shared" si="321"/>
        <v>6.223547346240435E-3</v>
      </c>
      <c r="AH138" s="2">
        <f t="shared" si="371"/>
        <v>1</v>
      </c>
      <c r="AI138" s="2">
        <f t="shared" si="372"/>
        <v>3</v>
      </c>
      <c r="AJ138" s="127">
        <f t="shared" si="373"/>
        <v>2</v>
      </c>
      <c r="AK138" s="2">
        <f t="shared" si="374"/>
        <v>1.5748031496062995E-2</v>
      </c>
      <c r="AL138" s="8">
        <f t="shared" si="322"/>
        <v>6.5495265530420968E-2</v>
      </c>
      <c r="AM138" s="138">
        <f t="shared" si="375"/>
        <v>0.25</v>
      </c>
      <c r="AN138" s="12">
        <f t="shared" si="323"/>
        <v>5428.851277023683</v>
      </c>
      <c r="AO138" s="138">
        <f t="shared" si="376"/>
        <v>0.25</v>
      </c>
      <c r="AP138" s="116">
        <f t="shared" si="377"/>
        <v>2175570</v>
      </c>
      <c r="AQ138" s="2">
        <f t="shared" si="378"/>
        <v>1.5748031496062995E-2</v>
      </c>
      <c r="AR138" s="8">
        <f t="shared" si="379"/>
        <v>22.182087323999998</v>
      </c>
      <c r="AS138" s="116">
        <f t="shared" si="380"/>
        <v>2610.6840000000002</v>
      </c>
      <c r="AT138" s="217">
        <f t="shared" si="381"/>
        <v>3.2904096165438032E-2</v>
      </c>
      <c r="AU138" s="207">
        <f t="shared" si="382"/>
        <v>4.7520360242497883</v>
      </c>
      <c r="AV138" s="144">
        <f t="shared" si="383"/>
        <v>3240.1695465756738</v>
      </c>
      <c r="AW138" s="138">
        <f t="shared" si="384"/>
        <v>0.5</v>
      </c>
      <c r="AX138" s="116">
        <f t="shared" si="385"/>
        <v>2175570</v>
      </c>
      <c r="AY138" s="2">
        <f t="shared" si="386"/>
        <v>1.5748031496062995E-2</v>
      </c>
      <c r="AZ138" s="8">
        <f t="shared" si="387"/>
        <v>22.182087323999998</v>
      </c>
      <c r="BA138" s="116">
        <f t="shared" si="388"/>
        <v>2610.6840000000002</v>
      </c>
      <c r="BB138" s="217">
        <f t="shared" si="389"/>
        <v>6.5808192330876064E-2</v>
      </c>
      <c r="BC138" s="207">
        <f t="shared" si="390"/>
        <v>4.2929365790190657</v>
      </c>
      <c r="BD138" s="144">
        <f t="shared" si="391"/>
        <v>11708.532761734945</v>
      </c>
      <c r="BE138" s="138">
        <f t="shared" si="392"/>
        <v>0.5</v>
      </c>
      <c r="BF138" s="116">
        <f t="shared" si="393"/>
        <v>2175570</v>
      </c>
      <c r="BG138" s="2">
        <f t="shared" si="394"/>
        <v>1.5748031496062995E-2</v>
      </c>
      <c r="BH138" s="8">
        <f t="shared" si="395"/>
        <v>22.182087323999998</v>
      </c>
      <c r="BI138" s="116">
        <f t="shared" si="396"/>
        <v>2610.6840000000002</v>
      </c>
      <c r="BJ138" s="217">
        <f t="shared" si="397"/>
        <v>6.5808192330876064E-2</v>
      </c>
      <c r="BK138" s="207">
        <f t="shared" si="398"/>
        <v>4.2929365790190657</v>
      </c>
      <c r="BL138" s="144">
        <f t="shared" si="399"/>
        <v>11708.532761734945</v>
      </c>
      <c r="BM138" s="216">
        <f t="shared" si="400"/>
        <v>0.5</v>
      </c>
      <c r="BN138" s="216">
        <f t="shared" si="401"/>
        <v>2.3622047244094495E-2</v>
      </c>
      <c r="BO138" s="238">
        <f t="shared" si="402"/>
        <v>1.5748031496062995E-2</v>
      </c>
      <c r="BP138" s="216">
        <f t="shared" si="403"/>
        <v>0</v>
      </c>
      <c r="BQ138" s="138">
        <f t="shared" si="404"/>
        <v>0</v>
      </c>
      <c r="BR138" s="138">
        <f t="shared" si="405"/>
        <v>0</v>
      </c>
      <c r="BS138" s="238">
        <f t="shared" si="406"/>
        <v>0.5</v>
      </c>
      <c r="BT138" s="138">
        <f t="shared" si="407"/>
        <v>0</v>
      </c>
      <c r="BU138" s="138">
        <f t="shared" si="408"/>
        <v>0</v>
      </c>
      <c r="BV138" s="138">
        <f t="shared" si="409"/>
        <v>0</v>
      </c>
      <c r="BW138" s="238">
        <f t="shared" si="410"/>
        <v>0.75</v>
      </c>
      <c r="BX138" s="216">
        <f t="shared" si="411"/>
        <v>0</v>
      </c>
      <c r="BY138" s="138">
        <f t="shared" si="412"/>
        <v>0</v>
      </c>
      <c r="BZ138" s="138">
        <f t="shared" si="413"/>
        <v>0</v>
      </c>
      <c r="CA138" s="238">
        <f t="shared" si="414"/>
        <v>2.3622047244094495E-2</v>
      </c>
      <c r="CB138" s="138">
        <f t="shared" si="415"/>
        <v>0</v>
      </c>
      <c r="CC138" s="138">
        <f t="shared" si="416"/>
        <v>0</v>
      </c>
      <c r="CD138" s="138">
        <f t="shared" si="417"/>
        <v>0</v>
      </c>
      <c r="CE138" s="238">
        <f t="shared" si="418"/>
        <v>2.3622047244094495E-2</v>
      </c>
      <c r="CF138" s="216">
        <f t="shared" si="419"/>
        <v>0</v>
      </c>
      <c r="CG138" s="138">
        <f t="shared" si="420"/>
        <v>0</v>
      </c>
      <c r="CH138" s="138">
        <f t="shared" si="421"/>
        <v>0</v>
      </c>
      <c r="CI138" s="238">
        <f t="shared" si="422"/>
        <v>1.5748031496062995E-2</v>
      </c>
      <c r="CJ138" s="138">
        <f t="shared" si="423"/>
        <v>0</v>
      </c>
      <c r="CK138" s="138">
        <f t="shared" si="424"/>
        <v>0</v>
      </c>
      <c r="CL138" s="138">
        <f t="shared" si="425"/>
        <v>0</v>
      </c>
      <c r="CM138" s="238">
        <f t="shared" si="426"/>
        <v>1.5748031496062995E-2</v>
      </c>
      <c r="CN138" s="17">
        <f t="shared" si="427"/>
        <v>0.75</v>
      </c>
      <c r="CO138" s="17">
        <f t="shared" si="428"/>
        <v>2.3622047244094495E-2</v>
      </c>
      <c r="CP138" s="17">
        <f t="shared" si="429"/>
        <v>1.5748031496062995E-2</v>
      </c>
      <c r="CQ138" s="17">
        <f>$U138-IF('Inputs-Imperial'!$E$13,0,2)*($CO138+$CN138+$CP138)</f>
        <v>7.9855514366399998</v>
      </c>
      <c r="CR138" s="116">
        <f t="shared" si="430"/>
        <v>5605.3267443923305</v>
      </c>
      <c r="CS138" s="8">
        <f t="shared" si="324"/>
        <v>0.14492736587288324</v>
      </c>
      <c r="CT138" s="8">
        <f t="shared" si="431"/>
        <v>0.38069327006513159</v>
      </c>
      <c r="CU138" s="8">
        <f t="shared" si="325"/>
        <v>0.14492736587288324</v>
      </c>
      <c r="CV138" s="8">
        <f t="shared" si="432"/>
        <v>0.38069327006513159</v>
      </c>
      <c r="CW138" s="216">
        <f t="shared" si="433"/>
        <v>7.6048581665748678</v>
      </c>
      <c r="CX138" s="116">
        <f t="shared" si="434"/>
        <v>5885.9250305622545</v>
      </c>
      <c r="CY138" s="8">
        <f t="shared" si="435"/>
        <v>0.15218231680393038</v>
      </c>
      <c r="CZ138" s="8">
        <f t="shared" si="436"/>
        <v>0.39010552008902716</v>
      </c>
      <c r="DA138" s="8">
        <f t="shared" si="437"/>
        <v>0.15218231680393038</v>
      </c>
      <c r="DB138" s="8">
        <f t="shared" si="438"/>
        <v>0.39010552008902716</v>
      </c>
      <c r="DC138" s="216">
        <f t="shared" si="439"/>
        <v>7.5954459165509718</v>
      </c>
      <c r="DD138" s="116">
        <f t="shared" si="440"/>
        <v>5893.2188482812171</v>
      </c>
      <c r="DE138" s="8">
        <f t="shared" si="441"/>
        <v>0.15237090059884004</v>
      </c>
      <c r="DF138" s="8">
        <f t="shared" si="442"/>
        <v>0.39034715395252984</v>
      </c>
      <c r="DG138" s="8">
        <f t="shared" si="443"/>
        <v>0.15237090059884004</v>
      </c>
      <c r="DH138" s="8">
        <f t="shared" si="444"/>
        <v>0.39034715395252984</v>
      </c>
      <c r="DI138" s="216">
        <f t="shared" si="445"/>
        <v>7.5952042826874706</v>
      </c>
      <c r="DJ138" s="116">
        <f t="shared" si="446"/>
        <v>5893.4063351723871</v>
      </c>
      <c r="DK138" s="8">
        <f t="shared" si="447"/>
        <v>0.15237574812736282</v>
      </c>
      <c r="DL138" s="8">
        <f t="shared" si="448"/>
        <v>0.39035336315620855</v>
      </c>
      <c r="DM138" s="8">
        <f t="shared" si="449"/>
        <v>0.15237574812736282</v>
      </c>
      <c r="DN138" s="8">
        <f t="shared" si="450"/>
        <v>0.39035336315620855</v>
      </c>
      <c r="DO138" s="216">
        <f t="shared" si="451"/>
        <v>7.5951980734837914</v>
      </c>
      <c r="DP138" s="116">
        <f t="shared" si="452"/>
        <v>5893.4111531323597</v>
      </c>
      <c r="DQ138" s="170">
        <f t="shared" si="453"/>
        <v>0.15237587269713004</v>
      </c>
      <c r="DR138" s="8">
        <f t="shared" si="454"/>
        <v>0.39035352271643464</v>
      </c>
      <c r="DS138" s="8">
        <f t="shared" si="455"/>
        <v>0.15237587269713004</v>
      </c>
      <c r="DT138" s="134">
        <f t="shared" si="456"/>
        <v>0.39035352271643464</v>
      </c>
      <c r="DU138" s="170">
        <f t="shared" si="560"/>
        <v>0.29183693344119632</v>
      </c>
      <c r="DV138" s="170">
        <f t="shared" si="560"/>
        <v>0.54021933827029589</v>
      </c>
      <c r="DW138" s="170">
        <f t="shared" si="560"/>
        <v>0.29183693344119632</v>
      </c>
      <c r="DX138" s="272">
        <f t="shared" si="560"/>
        <v>0.54021933827029589</v>
      </c>
      <c r="DY138" s="272">
        <f t="shared" si="457"/>
        <v>6.9051127600994082</v>
      </c>
      <c r="DZ138" s="22">
        <f t="shared" si="326"/>
        <v>184.17021816260009</v>
      </c>
      <c r="EA138" s="216">
        <f t="shared" si="327"/>
        <v>1.2066065839884817E-2</v>
      </c>
      <c r="EB138" s="12">
        <f t="shared" si="458"/>
        <v>2</v>
      </c>
      <c r="EC138" s="7">
        <f>ROUND(MAX(DV138,DX138)/'Inputs-Imperial'!$E$21,0)</f>
        <v>5</v>
      </c>
      <c r="ED138" s="12">
        <f t="shared" si="459"/>
        <v>5</v>
      </c>
      <c r="EE138" s="2">
        <f t="shared" si="460"/>
        <v>3</v>
      </c>
      <c r="EF138" s="127">
        <f t="shared" si="461"/>
        <v>3</v>
      </c>
      <c r="EG138" s="2">
        <f t="shared" si="462"/>
        <v>2.3622047244094495E-2</v>
      </c>
      <c r="EH138" s="8">
        <f t="shared" si="328"/>
        <v>0.12698066586866896</v>
      </c>
      <c r="EI138" s="138">
        <f t="shared" si="463"/>
        <v>0.25</v>
      </c>
      <c r="EJ138" s="12">
        <f t="shared" si="329"/>
        <v>7016.8853119950609</v>
      </c>
      <c r="EK138" s="138">
        <f t="shared" si="464"/>
        <v>0.25</v>
      </c>
      <c r="EL138" s="116">
        <f t="shared" si="465"/>
        <v>2175570</v>
      </c>
      <c r="EM138" s="2">
        <f t="shared" si="330"/>
        <v>2.3622047244094495E-2</v>
      </c>
      <c r="EN138" s="8">
        <f t="shared" si="466"/>
        <v>7.9855514366399998</v>
      </c>
      <c r="EO138" s="116">
        <f t="shared" si="467"/>
        <v>2610.6840000000002</v>
      </c>
      <c r="EP138" s="217">
        <f t="shared" si="468"/>
        <v>0.38083444635923647</v>
      </c>
      <c r="EQ138" s="207">
        <f t="shared" si="469"/>
        <v>2.2113487331841046</v>
      </c>
      <c r="ER138" s="144">
        <f t="shared" si="470"/>
        <v>11634.299697997856</v>
      </c>
      <c r="ES138" s="138">
        <f t="shared" si="331"/>
        <v>0.25</v>
      </c>
      <c r="ET138" s="116">
        <f t="shared" si="471"/>
        <v>2175570</v>
      </c>
      <c r="EU138" s="2">
        <f t="shared" si="332"/>
        <v>2.3622047244094495E-2</v>
      </c>
      <c r="EV138" s="8">
        <f t="shared" si="472"/>
        <v>7.9855514366399998</v>
      </c>
      <c r="EW138" s="116">
        <f t="shared" si="473"/>
        <v>2610.6840000000002</v>
      </c>
      <c r="EX138" s="217">
        <f t="shared" si="474"/>
        <v>0.38083444635923647</v>
      </c>
      <c r="EY138" s="207">
        <f t="shared" si="475"/>
        <v>2.2113487331841046</v>
      </c>
      <c r="EZ138" s="144">
        <f t="shared" si="476"/>
        <v>11634.299697997856</v>
      </c>
      <c r="FA138" s="138">
        <f t="shared" si="333"/>
        <v>0.25</v>
      </c>
      <c r="FB138" s="116">
        <f t="shared" si="477"/>
        <v>2175570</v>
      </c>
      <c r="FC138" s="2">
        <f t="shared" si="334"/>
        <v>2.3622047244094495E-2</v>
      </c>
      <c r="FD138" s="8">
        <f t="shared" si="478"/>
        <v>7.9855514366399998</v>
      </c>
      <c r="FE138" s="116">
        <f t="shared" si="479"/>
        <v>2610.6840000000002</v>
      </c>
      <c r="FF138" s="217">
        <f t="shared" si="480"/>
        <v>0.38083444635923647</v>
      </c>
      <c r="FG138" s="207">
        <f t="shared" si="481"/>
        <v>2.2113487331841046</v>
      </c>
      <c r="FH138" s="144">
        <f t="shared" si="482"/>
        <v>11634.299697997856</v>
      </c>
      <c r="FI138" s="128">
        <f t="shared" si="483"/>
        <v>0.25</v>
      </c>
      <c r="FJ138" s="2">
        <f t="shared" si="484"/>
        <v>2.3622047244094495E-2</v>
      </c>
      <c r="FK138" s="127">
        <f t="shared" si="485"/>
        <v>2.3622047244094495E-2</v>
      </c>
      <c r="FL138" s="216">
        <f t="shared" si="486"/>
        <v>0</v>
      </c>
      <c r="FM138" s="138">
        <f t="shared" si="487"/>
        <v>0</v>
      </c>
      <c r="FN138" s="138">
        <f t="shared" si="488"/>
        <v>0</v>
      </c>
      <c r="FO138" s="238">
        <f t="shared" si="489"/>
        <v>0.25</v>
      </c>
      <c r="FP138" s="216">
        <f t="shared" si="335"/>
        <v>0</v>
      </c>
      <c r="FQ138" s="138">
        <f t="shared" si="336"/>
        <v>0</v>
      </c>
      <c r="FR138" s="138">
        <f t="shared" si="337"/>
        <v>0</v>
      </c>
      <c r="FS138" s="238">
        <f t="shared" si="338"/>
        <v>0.25</v>
      </c>
      <c r="FT138" s="216">
        <f t="shared" si="490"/>
        <v>0</v>
      </c>
      <c r="FU138" s="138">
        <f t="shared" si="491"/>
        <v>0</v>
      </c>
      <c r="FV138" s="138">
        <f t="shared" si="492"/>
        <v>0</v>
      </c>
      <c r="FW138" s="238">
        <f t="shared" si="493"/>
        <v>2.3622047244094495E-2</v>
      </c>
      <c r="FX138" s="216">
        <f t="shared" si="339"/>
        <v>0</v>
      </c>
      <c r="FY138" s="138">
        <f t="shared" si="340"/>
        <v>0</v>
      </c>
      <c r="FZ138" s="138">
        <f t="shared" si="341"/>
        <v>0</v>
      </c>
      <c r="GA138" s="238">
        <f t="shared" si="342"/>
        <v>2.3622047244094495E-2</v>
      </c>
      <c r="GB138" s="216">
        <f t="shared" si="494"/>
        <v>0</v>
      </c>
      <c r="GC138" s="138">
        <f t="shared" si="495"/>
        <v>0</v>
      </c>
      <c r="GD138" s="138">
        <f t="shared" si="496"/>
        <v>0</v>
      </c>
      <c r="GE138" s="238">
        <f t="shared" si="497"/>
        <v>2.3622047244094495E-2</v>
      </c>
      <c r="GF138" s="216">
        <f t="shared" si="343"/>
        <v>0</v>
      </c>
      <c r="GG138" s="138">
        <f t="shared" si="344"/>
        <v>0</v>
      </c>
      <c r="GH138" s="138">
        <f t="shared" si="345"/>
        <v>0</v>
      </c>
      <c r="GI138" s="238">
        <f t="shared" si="346"/>
        <v>2.3622047244094495E-2</v>
      </c>
      <c r="GJ138" s="216">
        <f t="shared" si="498"/>
        <v>0.25</v>
      </c>
      <c r="GK138" s="216">
        <f t="shared" si="499"/>
        <v>2.3622047244094495E-2</v>
      </c>
      <c r="GL138" s="17">
        <f t="shared" si="500"/>
        <v>2.3622047244094495E-2</v>
      </c>
      <c r="GM138" s="216">
        <f t="shared" si="347"/>
        <v>5.9339617660831992E-3</v>
      </c>
      <c r="GN138" s="2">
        <f t="shared" si="501"/>
        <v>1</v>
      </c>
      <c r="GO138" s="2">
        <f t="shared" si="502"/>
        <v>2</v>
      </c>
      <c r="GP138" s="142">
        <f t="shared" si="503"/>
        <v>2</v>
      </c>
      <c r="GQ138" s="2">
        <f t="shared" si="504"/>
        <v>1.5748031496062995E-2</v>
      </c>
      <c r="GR138" s="8">
        <f t="shared" si="348"/>
        <v>6.2447729549572915E-2</v>
      </c>
      <c r="GS138" s="138">
        <f t="shared" si="505"/>
        <v>0.25</v>
      </c>
      <c r="GT138" s="12">
        <f t="shared" si="349"/>
        <v>5176.2434057918608</v>
      </c>
      <c r="GU138" s="138">
        <f t="shared" si="506"/>
        <v>0.25</v>
      </c>
      <c r="GV138" s="116">
        <f t="shared" si="507"/>
        <v>2175570</v>
      </c>
      <c r="GW138" s="2">
        <f t="shared" si="350"/>
        <v>2.3622047244094495E-2</v>
      </c>
      <c r="GX138" s="8">
        <f t="shared" si="351"/>
        <v>3.9927757183199999</v>
      </c>
      <c r="GY138" s="116">
        <f t="shared" si="508"/>
        <v>2610.6840000000002</v>
      </c>
      <c r="GZ138" s="217">
        <f t="shared" si="509"/>
        <v>1.5233377854369459</v>
      </c>
      <c r="HA138" s="207">
        <f t="shared" si="510"/>
        <v>2</v>
      </c>
      <c r="HB138" s="144">
        <f t="shared" si="511"/>
        <v>42089.425420460808</v>
      </c>
      <c r="HC138" s="138">
        <f t="shared" si="352"/>
        <v>0.25</v>
      </c>
      <c r="HD138" s="116">
        <f t="shared" si="512"/>
        <v>2175570</v>
      </c>
      <c r="HE138" s="2">
        <f t="shared" si="353"/>
        <v>2.3622047244094495E-2</v>
      </c>
      <c r="HF138" s="8">
        <f t="shared" si="513"/>
        <v>3.9927757183199999</v>
      </c>
      <c r="HG138" s="116">
        <f t="shared" si="514"/>
        <v>2610.6840000000002</v>
      </c>
      <c r="HH138" s="217">
        <f t="shared" si="515"/>
        <v>1.5233377854369459</v>
      </c>
      <c r="HI138" s="207">
        <f t="shared" si="516"/>
        <v>2</v>
      </c>
      <c r="HJ138" s="144">
        <f t="shared" si="517"/>
        <v>42089.425420460808</v>
      </c>
      <c r="HK138" s="138">
        <f t="shared" si="354"/>
        <v>0.25</v>
      </c>
      <c r="HL138" s="116">
        <f t="shared" si="518"/>
        <v>2175570</v>
      </c>
      <c r="HM138" s="2">
        <f t="shared" si="355"/>
        <v>2.3622047244094495E-2</v>
      </c>
      <c r="HN138" s="8">
        <f t="shared" si="519"/>
        <v>3.9927757183199999</v>
      </c>
      <c r="HO138" s="116">
        <f t="shared" si="520"/>
        <v>2610.6840000000002</v>
      </c>
      <c r="HP138" s="217">
        <f t="shared" si="521"/>
        <v>1.5233377854369459</v>
      </c>
      <c r="HQ138" s="207">
        <f t="shared" si="522"/>
        <v>2</v>
      </c>
      <c r="HR138" s="144">
        <f t="shared" si="523"/>
        <v>42089.425420460808</v>
      </c>
      <c r="HS138" s="128">
        <f t="shared" si="524"/>
        <v>0.25</v>
      </c>
      <c r="HT138" s="2">
        <f t="shared" si="525"/>
        <v>1.5748031496062995E-2</v>
      </c>
      <c r="HU138" s="127">
        <f t="shared" si="526"/>
        <v>1.5748031496062995E-2</v>
      </c>
      <c r="HV138" s="216">
        <f t="shared" si="527"/>
        <v>0</v>
      </c>
      <c r="HW138" s="138">
        <f t="shared" si="528"/>
        <v>0</v>
      </c>
      <c r="HX138" s="138">
        <f t="shared" si="529"/>
        <v>0</v>
      </c>
      <c r="HY138" s="238">
        <f t="shared" si="530"/>
        <v>0.25</v>
      </c>
      <c r="HZ138" s="138">
        <f t="shared" si="531"/>
        <v>0</v>
      </c>
      <c r="IA138" s="138">
        <f t="shared" si="532"/>
        <v>0</v>
      </c>
      <c r="IB138" s="138">
        <f t="shared" si="533"/>
        <v>0</v>
      </c>
      <c r="IC138" s="138">
        <f t="shared" si="534"/>
        <v>0.25</v>
      </c>
      <c r="ID138" s="216">
        <f t="shared" si="535"/>
        <v>0</v>
      </c>
      <c r="IE138" s="138">
        <f t="shared" si="536"/>
        <v>0</v>
      </c>
      <c r="IF138" s="138">
        <f t="shared" si="537"/>
        <v>0</v>
      </c>
      <c r="IG138" s="238">
        <f t="shared" si="538"/>
        <v>1.5748031496062995E-2</v>
      </c>
      <c r="IH138" s="138">
        <f t="shared" si="539"/>
        <v>0</v>
      </c>
      <c r="II138" s="138">
        <f t="shared" si="540"/>
        <v>0</v>
      </c>
      <c r="IJ138" s="138">
        <f t="shared" si="541"/>
        <v>0</v>
      </c>
      <c r="IK138" s="138">
        <f t="shared" si="542"/>
        <v>1.5748031496062995E-2</v>
      </c>
      <c r="IL138" s="216">
        <f t="shared" si="543"/>
        <v>0</v>
      </c>
      <c r="IM138" s="138">
        <f t="shared" si="544"/>
        <v>0</v>
      </c>
      <c r="IN138" s="138">
        <f t="shared" si="545"/>
        <v>0</v>
      </c>
      <c r="IO138" s="238">
        <f t="shared" si="546"/>
        <v>1.5748031496062995E-2</v>
      </c>
      <c r="IP138" s="138">
        <f t="shared" si="547"/>
        <v>0</v>
      </c>
      <c r="IQ138" s="138">
        <f t="shared" si="548"/>
        <v>0</v>
      </c>
      <c r="IR138" s="138">
        <f t="shared" si="549"/>
        <v>0</v>
      </c>
      <c r="IS138" s="138">
        <f t="shared" si="550"/>
        <v>1.5748031496062995E-2</v>
      </c>
      <c r="IT138" s="17">
        <f t="shared" si="551"/>
        <v>0.25</v>
      </c>
      <c r="IU138" s="17">
        <f t="shared" si="552"/>
        <v>1.5748031496062995E-2</v>
      </c>
      <c r="IV138" s="17">
        <f t="shared" si="553"/>
        <v>1.5748031496062995E-2</v>
      </c>
      <c r="IW138" s="253">
        <f t="shared" si="554"/>
        <v>22.182087323999998</v>
      </c>
      <c r="IX138" s="116">
        <f t="shared" si="356"/>
        <v>201.79176279812387</v>
      </c>
      <c r="IY138" s="8">
        <f t="shared" si="357"/>
        <v>5.2173851714237959E-3</v>
      </c>
      <c r="IZ138" s="8">
        <f t="shared" si="555"/>
        <v>5.2173851714237959E-3</v>
      </c>
      <c r="JA138" s="8">
        <f t="shared" si="556"/>
        <v>2.6086925857118979E-3</v>
      </c>
      <c r="JB138" s="134">
        <f t="shared" si="557"/>
        <v>5.1075361826539205E-2</v>
      </c>
      <c r="JC138" s="170">
        <f t="shared" si="561"/>
        <v>4.9108767457898697E-3</v>
      </c>
      <c r="JD138" s="272">
        <f t="shared" si="562"/>
        <v>7.0077647975583982E-2</v>
      </c>
      <c r="JE138" s="8"/>
      <c r="JF138" s="8"/>
    </row>
    <row r="139" spans="1:266" x14ac:dyDescent="0.25">
      <c r="A139" s="186">
        <v>79</v>
      </c>
      <c r="B139" s="187">
        <f>A139/100*'Inputs-Imperial'!$E$5</f>
        <v>19.024278824</v>
      </c>
      <c r="C139" s="188">
        <f>'Inputs-Imperial'!$E$10+('Inputs-Imperial'!$E$9-'Inputs-Imperial'!$E$10)*(100-A139)/100</f>
        <v>3.6792159970000005</v>
      </c>
      <c r="D139" s="187">
        <f t="shared" si="558"/>
        <v>0.24081365600000026</v>
      </c>
      <c r="E139" s="188">
        <f t="shared" si="559"/>
        <v>0.88814852324260329</v>
      </c>
      <c r="F139" s="423">
        <f>Loads!P99</f>
        <v>138.97329640629005</v>
      </c>
      <c r="G139" s="423">
        <f>Loads!M99</f>
        <v>1389.7329640629005</v>
      </c>
      <c r="H139" s="423">
        <f>Loads!N99</f>
        <v>3375.9705951639489</v>
      </c>
      <c r="I139" s="423">
        <f>Loads!V99</f>
        <v>-2207.7921113220286</v>
      </c>
      <c r="J139" s="423">
        <f>Loads!Q99</f>
        <v>337.59705951639484</v>
      </c>
      <c r="K139" s="2">
        <v>79</v>
      </c>
      <c r="L139" s="12">
        <f t="shared" si="358"/>
        <v>228.291345888</v>
      </c>
      <c r="M139" s="11">
        <f t="shared" si="359"/>
        <v>44.150591964000007</v>
      </c>
      <c r="N139" s="11">
        <f t="shared" si="360"/>
        <v>2.8897638720000032</v>
      </c>
      <c r="O139" s="152">
        <f t="shared" si="361"/>
        <v>127.89338734693487</v>
      </c>
      <c r="P139" s="151">
        <f t="shared" si="362"/>
        <v>138.97329640629005</v>
      </c>
      <c r="Q139" s="12">
        <f t="shared" si="363"/>
        <v>1389.7329640629005</v>
      </c>
      <c r="R139" s="12">
        <f t="shared" si="364"/>
        <v>40511.647141967391</v>
      </c>
      <c r="S139" s="12">
        <f t="shared" si="365"/>
        <v>-26493.505335864342</v>
      </c>
      <c r="T139" s="152">
        <f t="shared" si="366"/>
        <v>4051.1647141967378</v>
      </c>
      <c r="U139" s="8">
        <f t="shared" si="313"/>
        <v>7.9471065535200012</v>
      </c>
      <c r="V139" s="8">
        <f t="shared" si="314"/>
        <v>7.9471065535200012</v>
      </c>
      <c r="W139" s="134">
        <f t="shared" si="315"/>
        <v>3.9735532767600006</v>
      </c>
      <c r="X139" s="311">
        <f t="shared" si="316"/>
        <v>11.037647991000002</v>
      </c>
      <c r="Y139" s="11">
        <f t="shared" si="317"/>
        <v>33.112943973000007</v>
      </c>
      <c r="Z139" s="11">
        <f t="shared" si="318"/>
        <v>22.075295982000007</v>
      </c>
      <c r="AA139" s="316">
        <f t="shared" si="367"/>
        <v>33.112943973000007</v>
      </c>
      <c r="AB139" s="170">
        <f t="shared" si="368"/>
        <v>5.9603299151400009</v>
      </c>
      <c r="AC139" s="11">
        <f t="shared" si="369"/>
        <v>33.112943973000007</v>
      </c>
      <c r="AD139" s="152">
        <f t="shared" si="370"/>
        <v>155.00937852325268</v>
      </c>
      <c r="AE139" s="151">
        <f t="shared" si="319"/>
        <v>4.1969477712283032</v>
      </c>
      <c r="AF139" s="12">
        <f t="shared" si="320"/>
        <v>85.457749680255958</v>
      </c>
      <c r="AG139" s="216">
        <f t="shared" si="321"/>
        <v>5.8738024697863028E-3</v>
      </c>
      <c r="AH139" s="2">
        <f t="shared" si="371"/>
        <v>1</v>
      </c>
      <c r="AI139" s="2">
        <f t="shared" si="372"/>
        <v>3</v>
      </c>
      <c r="AJ139" s="127">
        <f t="shared" si="373"/>
        <v>2</v>
      </c>
      <c r="AK139" s="2">
        <f t="shared" si="374"/>
        <v>1.5748031496062995E-2</v>
      </c>
      <c r="AL139" s="8">
        <f t="shared" si="322"/>
        <v>6.18146261334852E-2</v>
      </c>
      <c r="AM139" s="138">
        <f t="shared" si="375"/>
        <v>0.25</v>
      </c>
      <c r="AN139" s="12">
        <f t="shared" si="323"/>
        <v>5123.7659593523249</v>
      </c>
      <c r="AO139" s="138">
        <f>AM139</f>
        <v>0.25</v>
      </c>
      <c r="AP139" s="116">
        <f t="shared" si="377"/>
        <v>2175570</v>
      </c>
      <c r="AQ139" s="2">
        <f t="shared" si="378"/>
        <v>1.5748031496062995E-2</v>
      </c>
      <c r="AR139" s="8">
        <f t="shared" si="379"/>
        <v>22.075295982000007</v>
      </c>
      <c r="AS139" s="116">
        <f t="shared" si="380"/>
        <v>2610.6840000000002</v>
      </c>
      <c r="AT139" s="217">
        <f>(PI()^2)*AO139*AP139*AQ139/(2*AS139*AR139^2)</f>
        <v>3.3223219581581295E-2</v>
      </c>
      <c r="AU139" s="207">
        <f t="shared" si="382"/>
        <v>4.7471795548955429</v>
      </c>
      <c r="AV139" s="144">
        <f t="shared" si="383"/>
        <v>3268.2511372561266</v>
      </c>
      <c r="AW139" s="138">
        <f t="shared" si="384"/>
        <v>0.5</v>
      </c>
      <c r="AX139" s="116">
        <f t="shared" si="385"/>
        <v>2175570</v>
      </c>
      <c r="AY139" s="2">
        <f t="shared" si="386"/>
        <v>1.5748031496062995E-2</v>
      </c>
      <c r="AZ139" s="8">
        <f t="shared" si="387"/>
        <v>22.075295982000007</v>
      </c>
      <c r="BA139" s="116">
        <f t="shared" si="388"/>
        <v>2610.6840000000002</v>
      </c>
      <c r="BB139" s="217">
        <f t="shared" si="389"/>
        <v>6.6446439163162591E-2</v>
      </c>
      <c r="BC139" s="207">
        <f t="shared" si="390"/>
        <v>4.2848265047668086</v>
      </c>
      <c r="BD139" s="144">
        <f t="shared" si="391"/>
        <v>11799.755147418231</v>
      </c>
      <c r="BE139" s="138">
        <f t="shared" si="392"/>
        <v>0.5</v>
      </c>
      <c r="BF139" s="116">
        <f t="shared" si="393"/>
        <v>2175570</v>
      </c>
      <c r="BG139" s="2">
        <f t="shared" si="394"/>
        <v>1.5748031496062995E-2</v>
      </c>
      <c r="BH139" s="8">
        <f t="shared" si="395"/>
        <v>22.075295982000007</v>
      </c>
      <c r="BI139" s="116">
        <f t="shared" si="396"/>
        <v>2610.6840000000002</v>
      </c>
      <c r="BJ139" s="217">
        <f t="shared" si="397"/>
        <v>6.6446439163162591E-2</v>
      </c>
      <c r="BK139" s="207">
        <f t="shared" si="398"/>
        <v>4.2848265047668086</v>
      </c>
      <c r="BL139" s="144">
        <f t="shared" si="399"/>
        <v>11799.755147418231</v>
      </c>
      <c r="BM139" s="216">
        <f t="shared" si="400"/>
        <v>0.5</v>
      </c>
      <c r="BN139" s="216">
        <f t="shared" si="401"/>
        <v>2.3622047244094495E-2</v>
      </c>
      <c r="BO139" s="238">
        <f t="shared" si="402"/>
        <v>1.5748031496062995E-2</v>
      </c>
      <c r="BP139" s="216">
        <f t="shared" si="403"/>
        <v>0</v>
      </c>
      <c r="BQ139" s="138">
        <f t="shared" si="404"/>
        <v>0</v>
      </c>
      <c r="BR139" s="138">
        <f t="shared" si="405"/>
        <v>0</v>
      </c>
      <c r="BS139" s="238">
        <f t="shared" si="406"/>
        <v>0.5</v>
      </c>
      <c r="BT139" s="138">
        <f t="shared" si="407"/>
        <v>0</v>
      </c>
      <c r="BU139" s="138">
        <f t="shared" si="408"/>
        <v>0</v>
      </c>
      <c r="BV139" s="138">
        <f t="shared" si="409"/>
        <v>0</v>
      </c>
      <c r="BW139" s="238">
        <f t="shared" si="410"/>
        <v>0.75</v>
      </c>
      <c r="BX139" s="216">
        <f t="shared" si="411"/>
        <v>0</v>
      </c>
      <c r="BY139" s="138">
        <f t="shared" si="412"/>
        <v>0</v>
      </c>
      <c r="BZ139" s="138">
        <f t="shared" si="413"/>
        <v>0</v>
      </c>
      <c r="CA139" s="238">
        <f t="shared" si="414"/>
        <v>2.3622047244094495E-2</v>
      </c>
      <c r="CB139" s="138">
        <f t="shared" si="415"/>
        <v>0</v>
      </c>
      <c r="CC139" s="138">
        <f t="shared" si="416"/>
        <v>0</v>
      </c>
      <c r="CD139" s="138">
        <f t="shared" si="417"/>
        <v>0</v>
      </c>
      <c r="CE139" s="238">
        <f t="shared" si="418"/>
        <v>2.3622047244094495E-2</v>
      </c>
      <c r="CF139" s="216">
        <f t="shared" si="419"/>
        <v>0</v>
      </c>
      <c r="CG139" s="138">
        <f t="shared" si="420"/>
        <v>0</v>
      </c>
      <c r="CH139" s="138">
        <f t="shared" si="421"/>
        <v>0</v>
      </c>
      <c r="CI139" s="238">
        <f t="shared" si="422"/>
        <v>1.5748031496062995E-2</v>
      </c>
      <c r="CJ139" s="138">
        <f t="shared" si="423"/>
        <v>0</v>
      </c>
      <c r="CK139" s="138">
        <f t="shared" si="424"/>
        <v>0</v>
      </c>
      <c r="CL139" s="138">
        <f t="shared" si="425"/>
        <v>0</v>
      </c>
      <c r="CM139" s="238">
        <f t="shared" si="426"/>
        <v>1.5748031496062995E-2</v>
      </c>
      <c r="CN139" s="17">
        <f t="shared" si="427"/>
        <v>0.75</v>
      </c>
      <c r="CO139" s="17">
        <f t="shared" si="428"/>
        <v>2.3622047244094495E-2</v>
      </c>
      <c r="CP139" s="17">
        <f t="shared" si="429"/>
        <v>1.5748031496062995E-2</v>
      </c>
      <c r="CQ139" s="17">
        <f>$U139-IF('Inputs-Imperial'!$E$13,0,2)*($CO139+$CN139+$CP139)</f>
        <v>7.9471065535200012</v>
      </c>
      <c r="CR139" s="116">
        <f t="shared" si="430"/>
        <v>5097.6599935008571</v>
      </c>
      <c r="CS139" s="8">
        <f t="shared" si="324"/>
        <v>0.13180149323369195</v>
      </c>
      <c r="CT139" s="8">
        <f t="shared" si="431"/>
        <v>0.36304475376142259</v>
      </c>
      <c r="CU139" s="8">
        <f t="shared" si="325"/>
        <v>0.13180149323369195</v>
      </c>
      <c r="CV139" s="8">
        <f t="shared" si="432"/>
        <v>0.36304475376142259</v>
      </c>
      <c r="CW139" s="216">
        <f t="shared" si="433"/>
        <v>7.5840617997585777</v>
      </c>
      <c r="CX139" s="116">
        <f t="shared" si="434"/>
        <v>5341.6820974819839</v>
      </c>
      <c r="CY139" s="8">
        <f t="shared" si="435"/>
        <v>0.13811075625392957</v>
      </c>
      <c r="CZ139" s="8">
        <f t="shared" si="436"/>
        <v>0.37163255542797857</v>
      </c>
      <c r="DA139" s="8">
        <f t="shared" si="437"/>
        <v>0.13811075625392957</v>
      </c>
      <c r="DB139" s="8">
        <f t="shared" si="438"/>
        <v>0.37163255542797857</v>
      </c>
      <c r="DC139" s="216">
        <f t="shared" si="439"/>
        <v>7.575473998092022</v>
      </c>
      <c r="DD139" s="116">
        <f t="shared" si="440"/>
        <v>5347.7376006004051</v>
      </c>
      <c r="DE139" s="8">
        <f t="shared" si="441"/>
        <v>0.13826732306189771</v>
      </c>
      <c r="DF139" s="8">
        <f t="shared" si="442"/>
        <v>0.37184314308845029</v>
      </c>
      <c r="DG139" s="8">
        <f t="shared" si="443"/>
        <v>0.13826732306189771</v>
      </c>
      <c r="DH139" s="8">
        <f t="shared" si="444"/>
        <v>0.37184314308845029</v>
      </c>
      <c r="DI139" s="216">
        <f t="shared" si="445"/>
        <v>7.5752634104315515</v>
      </c>
      <c r="DJ139" s="116">
        <f t="shared" si="446"/>
        <v>5347.8862644143355</v>
      </c>
      <c r="DK139" s="8">
        <f t="shared" si="447"/>
        <v>0.13827116680837959</v>
      </c>
      <c r="DL139" s="8">
        <f t="shared" si="448"/>
        <v>0.37184831155779041</v>
      </c>
      <c r="DM139" s="8">
        <f t="shared" si="449"/>
        <v>0.13827116680837959</v>
      </c>
      <c r="DN139" s="8">
        <f t="shared" si="450"/>
        <v>0.37184831155779041</v>
      </c>
      <c r="DO139" s="216">
        <f t="shared" si="451"/>
        <v>7.5752582419622101</v>
      </c>
      <c r="DP139" s="116">
        <f t="shared" si="452"/>
        <v>5347.8899131858125</v>
      </c>
      <c r="DQ139" s="170">
        <f t="shared" si="453"/>
        <v>0.13827126114843555</v>
      </c>
      <c r="DR139" s="8">
        <f t="shared" si="454"/>
        <v>0.37184843841064541</v>
      </c>
      <c r="DS139" s="8">
        <f t="shared" si="455"/>
        <v>0.13827126114843555</v>
      </c>
      <c r="DT139" s="134">
        <f t="shared" si="456"/>
        <v>0.37184843841064541</v>
      </c>
      <c r="DU139" s="170">
        <f t="shared" si="560"/>
        <v>0.29183693344119632</v>
      </c>
      <c r="DV139" s="170">
        <f t="shared" si="560"/>
        <v>0.54021933827029589</v>
      </c>
      <c r="DW139" s="170">
        <f t="shared" si="560"/>
        <v>0.29183693344119632</v>
      </c>
      <c r="DX139" s="272">
        <f t="shared" si="560"/>
        <v>0.54021933827029589</v>
      </c>
      <c r="DY139" s="272">
        <f t="shared" si="457"/>
        <v>6.8666678769794096</v>
      </c>
      <c r="DZ139" s="22">
        <f t="shared" si="326"/>
        <v>174.87282380117929</v>
      </c>
      <c r="EA139" s="216">
        <f t="shared" si="327"/>
        <v>1.1456939274126866E-2</v>
      </c>
      <c r="EB139" s="12">
        <f t="shared" si="458"/>
        <v>2</v>
      </c>
      <c r="EC139" s="7">
        <f>ROUND(MAX(DV139,DX139)/'Inputs-Imperial'!$E$21,0)</f>
        <v>5</v>
      </c>
      <c r="ED139" s="12">
        <f t="shared" si="459"/>
        <v>5</v>
      </c>
      <c r="EE139" s="2">
        <f t="shared" si="460"/>
        <v>3</v>
      </c>
      <c r="EF139" s="127">
        <f t="shared" si="461"/>
        <v>3</v>
      </c>
      <c r="EG139" s="2">
        <f t="shared" si="462"/>
        <v>2.3622047244094495E-2</v>
      </c>
      <c r="EH139" s="8">
        <f t="shared" si="328"/>
        <v>0.12057034970227064</v>
      </c>
      <c r="EI139" s="138">
        <f t="shared" si="463"/>
        <v>0.25</v>
      </c>
      <c r="EJ139" s="12">
        <f t="shared" si="329"/>
        <v>6662.6545868249295</v>
      </c>
      <c r="EK139" s="138">
        <f t="shared" si="464"/>
        <v>0.25</v>
      </c>
      <c r="EL139" s="116">
        <f t="shared" si="465"/>
        <v>2175570</v>
      </c>
      <c r="EM139" s="2">
        <f t="shared" si="330"/>
        <v>2.3622047244094495E-2</v>
      </c>
      <c r="EN139" s="8">
        <f t="shared" si="466"/>
        <v>7.9471065535200012</v>
      </c>
      <c r="EO139" s="116">
        <f t="shared" si="467"/>
        <v>2610.6840000000002</v>
      </c>
      <c r="EP139" s="217">
        <f t="shared" si="468"/>
        <v>0.38452800441645024</v>
      </c>
      <c r="EQ139" s="207">
        <f t="shared" si="469"/>
        <v>2.1906858244820935</v>
      </c>
      <c r="ER139" s="144">
        <f t="shared" si="470"/>
        <v>11637.37043793233</v>
      </c>
      <c r="ES139" s="138">
        <f t="shared" si="331"/>
        <v>0.25</v>
      </c>
      <c r="ET139" s="116">
        <f t="shared" si="471"/>
        <v>2175570</v>
      </c>
      <c r="EU139" s="2">
        <f t="shared" si="332"/>
        <v>2.3622047244094495E-2</v>
      </c>
      <c r="EV139" s="8">
        <f t="shared" si="472"/>
        <v>7.9471065535200012</v>
      </c>
      <c r="EW139" s="116">
        <f t="shared" si="473"/>
        <v>2610.6840000000002</v>
      </c>
      <c r="EX139" s="217">
        <f t="shared" si="474"/>
        <v>0.38452800441645024</v>
      </c>
      <c r="EY139" s="207">
        <f t="shared" si="475"/>
        <v>2.1906858244820935</v>
      </c>
      <c r="EZ139" s="144">
        <f t="shared" si="476"/>
        <v>11637.37043793233</v>
      </c>
      <c r="FA139" s="138">
        <f t="shared" si="333"/>
        <v>0.25</v>
      </c>
      <c r="FB139" s="116">
        <f t="shared" si="477"/>
        <v>2175570</v>
      </c>
      <c r="FC139" s="2">
        <f t="shared" si="334"/>
        <v>2.3622047244094495E-2</v>
      </c>
      <c r="FD139" s="8">
        <f t="shared" si="478"/>
        <v>7.9471065535200012</v>
      </c>
      <c r="FE139" s="116">
        <f t="shared" si="479"/>
        <v>2610.6840000000002</v>
      </c>
      <c r="FF139" s="217">
        <f t="shared" si="480"/>
        <v>0.38452800441645024</v>
      </c>
      <c r="FG139" s="207">
        <f t="shared" si="481"/>
        <v>2.1906858244820935</v>
      </c>
      <c r="FH139" s="144">
        <f t="shared" si="482"/>
        <v>11637.37043793233</v>
      </c>
      <c r="FI139" s="128">
        <f t="shared" si="483"/>
        <v>0.25</v>
      </c>
      <c r="FJ139" s="2">
        <f t="shared" si="484"/>
        <v>2.3622047244094495E-2</v>
      </c>
      <c r="FK139" s="127">
        <f t="shared" si="485"/>
        <v>2.3622047244094495E-2</v>
      </c>
      <c r="FL139" s="216">
        <f t="shared" si="486"/>
        <v>0</v>
      </c>
      <c r="FM139" s="138">
        <f t="shared" si="487"/>
        <v>0</v>
      </c>
      <c r="FN139" s="138">
        <f t="shared" si="488"/>
        <v>0</v>
      </c>
      <c r="FO139" s="238">
        <f t="shared" si="489"/>
        <v>0.25</v>
      </c>
      <c r="FP139" s="216">
        <f t="shared" si="335"/>
        <v>0</v>
      </c>
      <c r="FQ139" s="138">
        <f t="shared" si="336"/>
        <v>0</v>
      </c>
      <c r="FR139" s="138">
        <f t="shared" si="337"/>
        <v>0</v>
      </c>
      <c r="FS139" s="238">
        <f t="shared" si="338"/>
        <v>0.25</v>
      </c>
      <c r="FT139" s="216">
        <f t="shared" si="490"/>
        <v>0</v>
      </c>
      <c r="FU139" s="138">
        <f t="shared" si="491"/>
        <v>0</v>
      </c>
      <c r="FV139" s="138">
        <f t="shared" si="492"/>
        <v>0</v>
      </c>
      <c r="FW139" s="238">
        <f t="shared" si="493"/>
        <v>2.3622047244094495E-2</v>
      </c>
      <c r="FX139" s="216">
        <f t="shared" si="339"/>
        <v>0</v>
      </c>
      <c r="FY139" s="138">
        <f t="shared" si="340"/>
        <v>0</v>
      </c>
      <c r="FZ139" s="138">
        <f t="shared" si="341"/>
        <v>0</v>
      </c>
      <c r="GA139" s="238">
        <f t="shared" si="342"/>
        <v>2.3622047244094495E-2</v>
      </c>
      <c r="GB139" s="216">
        <f t="shared" si="494"/>
        <v>0</v>
      </c>
      <c r="GC139" s="138">
        <f t="shared" si="495"/>
        <v>0</v>
      </c>
      <c r="GD139" s="138">
        <f t="shared" si="496"/>
        <v>0</v>
      </c>
      <c r="GE139" s="238">
        <f t="shared" si="497"/>
        <v>2.3622047244094495E-2</v>
      </c>
      <c r="GF139" s="216">
        <f t="shared" si="343"/>
        <v>0</v>
      </c>
      <c r="GG139" s="138">
        <f t="shared" si="344"/>
        <v>0</v>
      </c>
      <c r="GH139" s="138">
        <f t="shared" si="345"/>
        <v>0</v>
      </c>
      <c r="GI139" s="238">
        <f t="shared" si="346"/>
        <v>2.3622047244094495E-2</v>
      </c>
      <c r="GJ139" s="216">
        <f t="shared" si="498"/>
        <v>0.25</v>
      </c>
      <c r="GK139" s="216">
        <f t="shared" si="499"/>
        <v>2.3622047244094495E-2</v>
      </c>
      <c r="GL139" s="17">
        <f t="shared" si="500"/>
        <v>2.3622047244094495E-2</v>
      </c>
      <c r="GM139" s="216">
        <f t="shared" si="347"/>
        <v>5.5988359272072579E-3</v>
      </c>
      <c r="GN139" s="2">
        <f t="shared" si="501"/>
        <v>1</v>
      </c>
      <c r="GO139" s="2">
        <f t="shared" si="502"/>
        <v>2</v>
      </c>
      <c r="GP139" s="142">
        <f t="shared" si="503"/>
        <v>2</v>
      </c>
      <c r="GQ139" s="2">
        <f t="shared" si="504"/>
        <v>1.5748031496062995E-2</v>
      </c>
      <c r="GR139" s="8">
        <f t="shared" si="348"/>
        <v>5.8920937740630695E-2</v>
      </c>
      <c r="GS139" s="138">
        <f t="shared" si="505"/>
        <v>0.25</v>
      </c>
      <c r="GT139" s="12">
        <f t="shared" si="349"/>
        <v>4883.9103942266265</v>
      </c>
      <c r="GU139" s="138">
        <f t="shared" si="506"/>
        <v>0.25</v>
      </c>
      <c r="GV139" s="116">
        <f t="shared" si="507"/>
        <v>2175570</v>
      </c>
      <c r="GW139" s="2">
        <f t="shared" si="350"/>
        <v>2.3622047244094495E-2</v>
      </c>
      <c r="GX139" s="8">
        <f t="shared" si="351"/>
        <v>3.9735532767600006</v>
      </c>
      <c r="GY139" s="116">
        <f t="shared" si="508"/>
        <v>2610.6840000000002</v>
      </c>
      <c r="GZ139" s="217">
        <f t="shared" si="509"/>
        <v>1.538112017665801</v>
      </c>
      <c r="HA139" s="207">
        <f t="shared" si="510"/>
        <v>2</v>
      </c>
      <c r="HB139" s="144">
        <f t="shared" si="511"/>
        <v>42497.633600869463</v>
      </c>
      <c r="HC139" s="138">
        <f t="shared" si="352"/>
        <v>0.25</v>
      </c>
      <c r="HD139" s="116">
        <f t="shared" si="512"/>
        <v>2175570</v>
      </c>
      <c r="HE139" s="2">
        <f t="shared" si="353"/>
        <v>2.3622047244094495E-2</v>
      </c>
      <c r="HF139" s="8">
        <f t="shared" si="513"/>
        <v>3.9735532767600006</v>
      </c>
      <c r="HG139" s="116">
        <f t="shared" si="514"/>
        <v>2610.6840000000002</v>
      </c>
      <c r="HH139" s="217">
        <f t="shared" si="515"/>
        <v>1.538112017665801</v>
      </c>
      <c r="HI139" s="207">
        <f t="shared" si="516"/>
        <v>2</v>
      </c>
      <c r="HJ139" s="144">
        <f t="shared" si="517"/>
        <v>42497.633600869463</v>
      </c>
      <c r="HK139" s="138">
        <f t="shared" si="354"/>
        <v>0.25</v>
      </c>
      <c r="HL139" s="116">
        <f t="shared" si="518"/>
        <v>2175570</v>
      </c>
      <c r="HM139" s="2">
        <f t="shared" si="355"/>
        <v>2.3622047244094495E-2</v>
      </c>
      <c r="HN139" s="8">
        <f t="shared" si="519"/>
        <v>3.9735532767600006</v>
      </c>
      <c r="HO139" s="116">
        <f t="shared" si="520"/>
        <v>2610.6840000000002</v>
      </c>
      <c r="HP139" s="217">
        <f t="shared" si="521"/>
        <v>1.538112017665801</v>
      </c>
      <c r="HQ139" s="207">
        <f t="shared" si="522"/>
        <v>2</v>
      </c>
      <c r="HR139" s="144">
        <f t="shared" si="523"/>
        <v>42497.633600869463</v>
      </c>
      <c r="HS139" s="128">
        <f t="shared" si="524"/>
        <v>0.25</v>
      </c>
      <c r="HT139" s="2">
        <f t="shared" si="525"/>
        <v>1.5748031496062995E-2</v>
      </c>
      <c r="HU139" s="127">
        <f t="shared" si="526"/>
        <v>1.5748031496062995E-2</v>
      </c>
      <c r="HV139" s="216">
        <f t="shared" si="527"/>
        <v>0</v>
      </c>
      <c r="HW139" s="138">
        <f t="shared" si="528"/>
        <v>0</v>
      </c>
      <c r="HX139" s="138">
        <f t="shared" si="529"/>
        <v>0</v>
      </c>
      <c r="HY139" s="238">
        <f t="shared" si="530"/>
        <v>0.25</v>
      </c>
      <c r="HZ139" s="138">
        <f t="shared" si="531"/>
        <v>0</v>
      </c>
      <c r="IA139" s="138">
        <f t="shared" si="532"/>
        <v>0</v>
      </c>
      <c r="IB139" s="138">
        <f t="shared" si="533"/>
        <v>0</v>
      </c>
      <c r="IC139" s="138">
        <f t="shared" si="534"/>
        <v>0.25</v>
      </c>
      <c r="ID139" s="216">
        <f t="shared" si="535"/>
        <v>0</v>
      </c>
      <c r="IE139" s="138">
        <f t="shared" si="536"/>
        <v>0</v>
      </c>
      <c r="IF139" s="138">
        <f t="shared" si="537"/>
        <v>0</v>
      </c>
      <c r="IG139" s="238">
        <f t="shared" si="538"/>
        <v>1.5748031496062995E-2</v>
      </c>
      <c r="IH139" s="138">
        <f t="shared" si="539"/>
        <v>0</v>
      </c>
      <c r="II139" s="138">
        <f t="shared" si="540"/>
        <v>0</v>
      </c>
      <c r="IJ139" s="138">
        <f t="shared" si="541"/>
        <v>0</v>
      </c>
      <c r="IK139" s="138">
        <f t="shared" si="542"/>
        <v>1.5748031496062995E-2</v>
      </c>
      <c r="IL139" s="216">
        <f t="shared" si="543"/>
        <v>0</v>
      </c>
      <c r="IM139" s="138">
        <f t="shared" si="544"/>
        <v>0</v>
      </c>
      <c r="IN139" s="138">
        <f t="shared" si="545"/>
        <v>0</v>
      </c>
      <c r="IO139" s="238">
        <f t="shared" si="546"/>
        <v>1.5748031496062995E-2</v>
      </c>
      <c r="IP139" s="138">
        <f t="shared" si="547"/>
        <v>0</v>
      </c>
      <c r="IQ139" s="138">
        <f t="shared" si="548"/>
        <v>0</v>
      </c>
      <c r="IR139" s="138">
        <f t="shared" si="549"/>
        <v>0</v>
      </c>
      <c r="IS139" s="138">
        <f t="shared" si="550"/>
        <v>1.5748031496062995E-2</v>
      </c>
      <c r="IT139" s="17">
        <f t="shared" si="551"/>
        <v>0.25</v>
      </c>
      <c r="IU139" s="17">
        <f t="shared" si="552"/>
        <v>1.5748031496062995E-2</v>
      </c>
      <c r="IV139" s="17">
        <f t="shared" si="553"/>
        <v>1.5748031496062995E-2</v>
      </c>
      <c r="IW139" s="253">
        <f t="shared" si="554"/>
        <v>22.075295982000007</v>
      </c>
      <c r="IX139" s="116">
        <f t="shared" si="356"/>
        <v>183.51575976603078</v>
      </c>
      <c r="IY139" s="8">
        <f t="shared" si="357"/>
        <v>4.7448537564129083E-3</v>
      </c>
      <c r="IZ139" s="8">
        <f t="shared" si="555"/>
        <v>4.7448537564129083E-3</v>
      </c>
      <c r="JA139" s="8">
        <f t="shared" si="556"/>
        <v>2.3724268782064541E-3</v>
      </c>
      <c r="JB139" s="134">
        <f t="shared" si="557"/>
        <v>4.8707564897112789E-2</v>
      </c>
      <c r="JC139" s="170">
        <f t="shared" si="561"/>
        <v>4.9108767457898697E-3</v>
      </c>
      <c r="JD139" s="272">
        <f t="shared" si="562"/>
        <v>7.0077647975583982E-2</v>
      </c>
      <c r="JE139" s="8"/>
      <c r="JF139" s="8"/>
    </row>
    <row r="140" spans="1:266" x14ac:dyDescent="0.25">
      <c r="A140" s="186">
        <v>80</v>
      </c>
      <c r="B140" s="187">
        <f>A140/100*'Inputs-Imperial'!$E$5</f>
        <v>19.26509248</v>
      </c>
      <c r="C140" s="188">
        <f>'Inputs-Imperial'!$E$10+('Inputs-Imperial'!$E$9-'Inputs-Imperial'!$E$10)*(100-A140)/100</f>
        <v>3.6614174400000001</v>
      </c>
      <c r="D140" s="187">
        <f t="shared" si="558"/>
        <v>0.24081365600000026</v>
      </c>
      <c r="E140" s="188">
        <f t="shared" si="559"/>
        <v>0.88386238765990888</v>
      </c>
      <c r="F140" s="423">
        <f>Loads!P100</f>
        <v>130.97678953571</v>
      </c>
      <c r="G140" s="423">
        <f>Loads!M100</f>
        <v>1309.7678953571001</v>
      </c>
      <c r="H140" s="423">
        <f>Loads!N100</f>
        <v>3041.303919224245</v>
      </c>
      <c r="I140" s="423">
        <f>Loads!V100</f>
        <v>-2056.7962326608936</v>
      </c>
      <c r="J140" s="423">
        <f>Loads!Q100</f>
        <v>304.13039192242445</v>
      </c>
      <c r="K140" s="2">
        <v>80</v>
      </c>
      <c r="L140" s="12">
        <f t="shared" si="358"/>
        <v>231.18110976</v>
      </c>
      <c r="M140" s="11">
        <f t="shared" si="359"/>
        <v>43.937009279999998</v>
      </c>
      <c r="N140" s="11">
        <f t="shared" si="360"/>
        <v>2.8897638720000032</v>
      </c>
      <c r="O140" s="152">
        <f t="shared" si="361"/>
        <v>127.27618382302688</v>
      </c>
      <c r="P140" s="151">
        <f t="shared" si="362"/>
        <v>130.97678953571</v>
      </c>
      <c r="Q140" s="12">
        <f t="shared" si="363"/>
        <v>1309.7678953571001</v>
      </c>
      <c r="R140" s="12">
        <f t="shared" si="364"/>
        <v>36495.64703069094</v>
      </c>
      <c r="S140" s="12">
        <f t="shared" si="365"/>
        <v>-24681.554791930721</v>
      </c>
      <c r="T140" s="152">
        <f t="shared" si="366"/>
        <v>3649.5647030690934</v>
      </c>
      <c r="U140" s="8">
        <f t="shared" si="313"/>
        <v>7.908661670399999</v>
      </c>
      <c r="V140" s="8">
        <f t="shared" si="314"/>
        <v>7.908661670399999</v>
      </c>
      <c r="W140" s="134">
        <f t="shared" si="315"/>
        <v>3.9543308351999995</v>
      </c>
      <c r="X140" s="311">
        <f t="shared" si="316"/>
        <v>10.98425232</v>
      </c>
      <c r="Y140" s="11">
        <f t="shared" si="317"/>
        <v>32.952756960000002</v>
      </c>
      <c r="Z140" s="11">
        <f t="shared" si="318"/>
        <v>21.968504640000003</v>
      </c>
      <c r="AA140" s="316">
        <f t="shared" si="367"/>
        <v>32.952756960000002</v>
      </c>
      <c r="AB140" s="170">
        <f t="shared" si="368"/>
        <v>5.9314962527999988</v>
      </c>
      <c r="AC140" s="11">
        <f t="shared" si="369"/>
        <v>32.952756960000002</v>
      </c>
      <c r="AD140" s="152">
        <f t="shared" si="370"/>
        <v>153.51326090670952</v>
      </c>
      <c r="AE140" s="151">
        <f t="shared" si="319"/>
        <v>3.9746838085413412</v>
      </c>
      <c r="AF140" s="12">
        <f t="shared" si="320"/>
        <v>80.38899912017952</v>
      </c>
      <c r="AG140" s="216">
        <f t="shared" si="321"/>
        <v>5.5271572291584973E-3</v>
      </c>
      <c r="AH140" s="2">
        <f t="shared" si="371"/>
        <v>1</v>
      </c>
      <c r="AI140" s="2">
        <f t="shared" si="372"/>
        <v>3</v>
      </c>
      <c r="AJ140" s="127">
        <f t="shared" si="373"/>
        <v>2</v>
      </c>
      <c r="AK140" s="2">
        <f t="shared" si="374"/>
        <v>1.5748031496062995E-2</v>
      </c>
      <c r="AL140" s="8">
        <f t="shared" si="322"/>
        <v>5.8166606633241531E-2</v>
      </c>
      <c r="AM140" s="138">
        <f t="shared" si="375"/>
        <v>0.25</v>
      </c>
      <c r="AN140" s="12">
        <f t="shared" si="323"/>
        <v>4821.3844793763965</v>
      </c>
      <c r="AO140" s="138">
        <f>AM140</f>
        <v>0.25</v>
      </c>
      <c r="AP140" s="116">
        <f t="shared" si="377"/>
        <v>2175570</v>
      </c>
      <c r="AQ140" s="2">
        <f t="shared" si="378"/>
        <v>1.5748031496062995E-2</v>
      </c>
      <c r="AR140" s="8">
        <f t="shared" si="379"/>
        <v>21.968504640000003</v>
      </c>
      <c r="AS140" s="116">
        <f t="shared" si="380"/>
        <v>2610.6840000000002</v>
      </c>
      <c r="AT140" s="217">
        <f t="shared" si="381"/>
        <v>3.3547008183300142E-2</v>
      </c>
      <c r="AU140" s="207">
        <f t="shared" si="382"/>
        <v>4.7422605170904149</v>
      </c>
      <c r="AV140" s="144">
        <f t="shared" si="383"/>
        <v>3296.6834572201028</v>
      </c>
      <c r="AW140" s="138">
        <f t="shared" si="384"/>
        <v>0.5</v>
      </c>
      <c r="AX140" s="116">
        <f t="shared" si="385"/>
        <v>2175570</v>
      </c>
      <c r="AY140" s="2">
        <f t="shared" si="386"/>
        <v>1.5748031496062995E-2</v>
      </c>
      <c r="AZ140" s="8">
        <f t="shared" si="387"/>
        <v>21.968504640000003</v>
      </c>
      <c r="BA140" s="116">
        <f t="shared" si="388"/>
        <v>2610.6840000000002</v>
      </c>
      <c r="BB140" s="217">
        <f t="shared" si="389"/>
        <v>6.7094016366600284E-2</v>
      </c>
      <c r="BC140" s="207">
        <f t="shared" si="390"/>
        <v>4.2766273472398577</v>
      </c>
      <c r="BD140" s="144">
        <f t="shared" si="391"/>
        <v>11891.95454575397</v>
      </c>
      <c r="BE140" s="138">
        <f t="shared" si="392"/>
        <v>0.5</v>
      </c>
      <c r="BF140" s="116">
        <f t="shared" si="393"/>
        <v>2175570</v>
      </c>
      <c r="BG140" s="2">
        <f t="shared" si="394"/>
        <v>1.5748031496062995E-2</v>
      </c>
      <c r="BH140" s="8">
        <f t="shared" si="395"/>
        <v>21.968504640000003</v>
      </c>
      <c r="BI140" s="116">
        <f t="shared" si="396"/>
        <v>2610.6840000000002</v>
      </c>
      <c r="BJ140" s="217">
        <f t="shared" si="397"/>
        <v>6.7094016366600284E-2</v>
      </c>
      <c r="BK140" s="207">
        <f t="shared" si="398"/>
        <v>4.2766273472398577</v>
      </c>
      <c r="BL140" s="144">
        <f t="shared" si="399"/>
        <v>11891.95454575397</v>
      </c>
      <c r="BM140" s="216">
        <f t="shared" si="400"/>
        <v>0.5</v>
      </c>
      <c r="BN140" s="216">
        <f t="shared" si="401"/>
        <v>2.3622047244094495E-2</v>
      </c>
      <c r="BO140" s="238">
        <f t="shared" si="402"/>
        <v>1.5748031496062995E-2</v>
      </c>
      <c r="BP140" s="216">
        <f t="shared" si="403"/>
        <v>0</v>
      </c>
      <c r="BQ140" s="138">
        <f t="shared" si="404"/>
        <v>0</v>
      </c>
      <c r="BR140" s="138">
        <f t="shared" si="405"/>
        <v>0</v>
      </c>
      <c r="BS140" s="238">
        <f t="shared" si="406"/>
        <v>0.5</v>
      </c>
      <c r="BT140" s="138">
        <f t="shared" si="407"/>
        <v>0</v>
      </c>
      <c r="BU140" s="138">
        <f t="shared" si="408"/>
        <v>0</v>
      </c>
      <c r="BV140" s="138">
        <f t="shared" si="409"/>
        <v>0</v>
      </c>
      <c r="BW140" s="238">
        <f t="shared" si="410"/>
        <v>0.75</v>
      </c>
      <c r="BX140" s="216">
        <f t="shared" si="411"/>
        <v>0</v>
      </c>
      <c r="BY140" s="138">
        <f t="shared" si="412"/>
        <v>0</v>
      </c>
      <c r="BZ140" s="138">
        <f t="shared" si="413"/>
        <v>0</v>
      </c>
      <c r="CA140" s="238">
        <f t="shared" si="414"/>
        <v>2.3622047244094495E-2</v>
      </c>
      <c r="CB140" s="138">
        <f t="shared" si="415"/>
        <v>0</v>
      </c>
      <c r="CC140" s="138">
        <f t="shared" si="416"/>
        <v>0</v>
      </c>
      <c r="CD140" s="138">
        <f t="shared" si="417"/>
        <v>0</v>
      </c>
      <c r="CE140" s="238">
        <f t="shared" si="418"/>
        <v>2.3622047244094495E-2</v>
      </c>
      <c r="CF140" s="216">
        <f t="shared" si="419"/>
        <v>0</v>
      </c>
      <c r="CG140" s="138">
        <f t="shared" si="420"/>
        <v>0</v>
      </c>
      <c r="CH140" s="138">
        <f t="shared" si="421"/>
        <v>0</v>
      </c>
      <c r="CI140" s="238">
        <f t="shared" si="422"/>
        <v>1.5748031496062995E-2</v>
      </c>
      <c r="CJ140" s="138">
        <f t="shared" si="423"/>
        <v>0</v>
      </c>
      <c r="CK140" s="138">
        <f t="shared" si="424"/>
        <v>0</v>
      </c>
      <c r="CL140" s="138">
        <f t="shared" si="425"/>
        <v>0</v>
      </c>
      <c r="CM140" s="238">
        <f t="shared" si="426"/>
        <v>1.5748031496062995E-2</v>
      </c>
      <c r="CN140" s="17">
        <f t="shared" si="427"/>
        <v>0.75</v>
      </c>
      <c r="CO140" s="17">
        <f t="shared" si="428"/>
        <v>2.3622047244094495E-2</v>
      </c>
      <c r="CP140" s="17">
        <f t="shared" si="429"/>
        <v>1.5748031496062995E-2</v>
      </c>
      <c r="CQ140" s="17">
        <f>$U140-IF('Inputs-Imperial'!$E$13,0,2)*($CO140+$CN140+$CP140)</f>
        <v>7.908661670399999</v>
      </c>
      <c r="CR140" s="116">
        <f t="shared" si="430"/>
        <v>4614.6425971519766</v>
      </c>
      <c r="CS140" s="8">
        <f t="shared" si="324"/>
        <v>0.11931293688081683</v>
      </c>
      <c r="CT140" s="8">
        <f t="shared" si="431"/>
        <v>0.34541704775650089</v>
      </c>
      <c r="CU140" s="8">
        <f t="shared" si="325"/>
        <v>0.11931293688081683</v>
      </c>
      <c r="CV140" s="8">
        <f t="shared" si="432"/>
        <v>0.34541704775650089</v>
      </c>
      <c r="CW140" s="216">
        <f t="shared" si="433"/>
        <v>7.5632446226434986</v>
      </c>
      <c r="CX140" s="116">
        <f t="shared" si="434"/>
        <v>4825.3955612419441</v>
      </c>
      <c r="CY140" s="8">
        <f t="shared" si="435"/>
        <v>0.12476201653812993</v>
      </c>
      <c r="CZ140" s="8">
        <f t="shared" si="436"/>
        <v>0.35321667081004249</v>
      </c>
      <c r="DA140" s="8">
        <f t="shared" si="437"/>
        <v>0.12476201653812993</v>
      </c>
      <c r="DB140" s="8">
        <f t="shared" si="438"/>
        <v>0.35321667081004249</v>
      </c>
      <c r="DC140" s="216">
        <f t="shared" si="439"/>
        <v>7.5554449995899571</v>
      </c>
      <c r="DD140" s="116">
        <f t="shared" si="440"/>
        <v>4830.3769046921261</v>
      </c>
      <c r="DE140" s="8">
        <f t="shared" si="441"/>
        <v>0.12489081063304425</v>
      </c>
      <c r="DF140" s="8">
        <f t="shared" si="442"/>
        <v>0.35339893977351466</v>
      </c>
      <c r="DG140" s="8">
        <f t="shared" si="443"/>
        <v>0.12489081063304425</v>
      </c>
      <c r="DH140" s="8">
        <f t="shared" si="444"/>
        <v>0.35339893977351466</v>
      </c>
      <c r="DI140" s="216">
        <f t="shared" si="445"/>
        <v>7.5552627306264846</v>
      </c>
      <c r="DJ140" s="116">
        <f t="shared" si="446"/>
        <v>4830.4934364161691</v>
      </c>
      <c r="DK140" s="8">
        <f t="shared" si="447"/>
        <v>0.12489382359492432</v>
      </c>
      <c r="DL140" s="8">
        <f t="shared" si="448"/>
        <v>0.35340320258158997</v>
      </c>
      <c r="DM140" s="8">
        <f t="shared" si="449"/>
        <v>0.12489382359492432</v>
      </c>
      <c r="DN140" s="8">
        <f t="shared" si="450"/>
        <v>0.35340320258158997</v>
      </c>
      <c r="DO140" s="216">
        <f t="shared" si="451"/>
        <v>7.5552584678184083</v>
      </c>
      <c r="DP140" s="116">
        <f t="shared" si="452"/>
        <v>4830.4961618644811</v>
      </c>
      <c r="DQ140" s="170">
        <f t="shared" si="453"/>
        <v>0.12489389406218925</v>
      </c>
      <c r="DR140" s="8">
        <f t="shared" si="454"/>
        <v>0.35340330227968902</v>
      </c>
      <c r="DS140" s="8">
        <f t="shared" si="455"/>
        <v>0.12489389406218925</v>
      </c>
      <c r="DT140" s="134">
        <f t="shared" si="456"/>
        <v>0.35340330227968902</v>
      </c>
      <c r="DU140" s="170">
        <f>MAX(DQ$140:DQ$149)</f>
        <v>0.12489389406218925</v>
      </c>
      <c r="DV140" s="170">
        <f>MAX(DR$140:DR$149)</f>
        <v>0.35340330227968902</v>
      </c>
      <c r="DW140" s="170">
        <f>MAX(DS$140:DS$149)</f>
        <v>0.12489389406218925</v>
      </c>
      <c r="DX140" s="272">
        <f>MAX(DT$140:DT$149)</f>
        <v>0.35340330227968902</v>
      </c>
      <c r="DY140" s="272">
        <f t="shared" si="457"/>
        <v>7.2018550658406202</v>
      </c>
      <c r="DZ140" s="22">
        <f t="shared" si="326"/>
        <v>165.61182535588927</v>
      </c>
      <c r="EA140" s="216">
        <f t="shared" si="327"/>
        <v>1.0850197217247268E-2</v>
      </c>
      <c r="EB140" s="12">
        <f t="shared" si="458"/>
        <v>2</v>
      </c>
      <c r="EC140" s="7">
        <f>ROUND(MAX(DV140,DX140)/'Inputs-Imperial'!$E$21,0)</f>
        <v>3</v>
      </c>
      <c r="ED140" s="12">
        <f t="shared" si="459"/>
        <v>3</v>
      </c>
      <c r="EE140" s="2">
        <f t="shared" si="460"/>
        <v>2</v>
      </c>
      <c r="EF140" s="127">
        <f t="shared" si="461"/>
        <v>2</v>
      </c>
      <c r="EG140" s="2">
        <f t="shared" si="462"/>
        <v>1.5748031496062995E-2</v>
      </c>
      <c r="EH140" s="8">
        <f t="shared" si="328"/>
        <v>0.11418512759131348</v>
      </c>
      <c r="EI140" s="138">
        <f t="shared" si="463"/>
        <v>0.25</v>
      </c>
      <c r="EJ140" s="12">
        <f t="shared" si="329"/>
        <v>9464.7158190890696</v>
      </c>
      <c r="EK140" s="138">
        <f t="shared" si="464"/>
        <v>0.25</v>
      </c>
      <c r="EL140" s="116">
        <f t="shared" si="465"/>
        <v>2175570</v>
      </c>
      <c r="EM140" s="2">
        <f t="shared" si="330"/>
        <v>1.5748031496062995E-2</v>
      </c>
      <c r="EN140" s="8">
        <f t="shared" si="466"/>
        <v>7.908661670399999</v>
      </c>
      <c r="EO140" s="116">
        <f t="shared" si="467"/>
        <v>2610.6840000000002</v>
      </c>
      <c r="EP140" s="217">
        <f t="shared" si="468"/>
        <v>0.25885037178472342</v>
      </c>
      <c r="EQ140" s="207">
        <f t="shared" si="469"/>
        <v>2.7915906404083457</v>
      </c>
      <c r="ER140" s="144">
        <f t="shared" si="470"/>
        <v>14974.025641811204</v>
      </c>
      <c r="ES140" s="138">
        <f t="shared" si="331"/>
        <v>0.25</v>
      </c>
      <c r="ET140" s="116">
        <f t="shared" si="471"/>
        <v>2175570</v>
      </c>
      <c r="EU140" s="2">
        <f t="shared" si="332"/>
        <v>1.5748031496062995E-2</v>
      </c>
      <c r="EV140" s="8">
        <f t="shared" si="472"/>
        <v>7.908661670399999</v>
      </c>
      <c r="EW140" s="116">
        <f t="shared" si="473"/>
        <v>2610.6840000000002</v>
      </c>
      <c r="EX140" s="217">
        <f t="shared" si="474"/>
        <v>0.25885037178472342</v>
      </c>
      <c r="EY140" s="207">
        <f t="shared" si="475"/>
        <v>2.7915906404083457</v>
      </c>
      <c r="EZ140" s="144">
        <f t="shared" si="476"/>
        <v>14974.025641811204</v>
      </c>
      <c r="FA140" s="138">
        <f t="shared" si="333"/>
        <v>0.25</v>
      </c>
      <c r="FB140" s="116">
        <f t="shared" si="477"/>
        <v>2175570</v>
      </c>
      <c r="FC140" s="2">
        <f t="shared" si="334"/>
        <v>1.5748031496062995E-2</v>
      </c>
      <c r="FD140" s="8">
        <f t="shared" si="478"/>
        <v>7.908661670399999</v>
      </c>
      <c r="FE140" s="116">
        <f t="shared" si="479"/>
        <v>2610.6840000000002</v>
      </c>
      <c r="FF140" s="217">
        <f t="shared" si="480"/>
        <v>0.25885037178472342</v>
      </c>
      <c r="FG140" s="207">
        <f t="shared" si="481"/>
        <v>2.7915906404083457</v>
      </c>
      <c r="FH140" s="144">
        <f t="shared" si="482"/>
        <v>14974.025641811204</v>
      </c>
      <c r="FI140" s="128">
        <f t="shared" si="483"/>
        <v>0.25</v>
      </c>
      <c r="FJ140" s="2">
        <f t="shared" si="484"/>
        <v>1.5748031496062995E-2</v>
      </c>
      <c r="FK140" s="127">
        <f t="shared" si="485"/>
        <v>1.5748031496062995E-2</v>
      </c>
      <c r="FL140" s="216">
        <f t="shared" si="486"/>
        <v>0</v>
      </c>
      <c r="FM140" s="138">
        <f t="shared" si="487"/>
        <v>0</v>
      </c>
      <c r="FN140" s="138">
        <f t="shared" si="488"/>
        <v>0</v>
      </c>
      <c r="FO140" s="238">
        <f t="shared" si="489"/>
        <v>0.25</v>
      </c>
      <c r="FP140" s="216">
        <f t="shared" si="335"/>
        <v>0</v>
      </c>
      <c r="FQ140" s="138">
        <f t="shared" si="336"/>
        <v>0</v>
      </c>
      <c r="FR140" s="138">
        <f t="shared" si="337"/>
        <v>0</v>
      </c>
      <c r="FS140" s="238">
        <f t="shared" si="338"/>
        <v>0.25</v>
      </c>
      <c r="FT140" s="216">
        <f t="shared" si="490"/>
        <v>0</v>
      </c>
      <c r="FU140" s="138">
        <f t="shared" si="491"/>
        <v>0</v>
      </c>
      <c r="FV140" s="138">
        <f t="shared" si="492"/>
        <v>0</v>
      </c>
      <c r="FW140" s="238">
        <f t="shared" si="493"/>
        <v>1.5748031496062995E-2</v>
      </c>
      <c r="FX140" s="216">
        <f t="shared" si="339"/>
        <v>0</v>
      </c>
      <c r="FY140" s="138">
        <f t="shared" si="340"/>
        <v>0</v>
      </c>
      <c r="FZ140" s="138">
        <f t="shared" si="341"/>
        <v>0</v>
      </c>
      <c r="GA140" s="238">
        <f t="shared" si="342"/>
        <v>2.3622047244094495E-2</v>
      </c>
      <c r="GB140" s="216">
        <f t="shared" si="494"/>
        <v>0</v>
      </c>
      <c r="GC140" s="138">
        <f t="shared" si="495"/>
        <v>0</v>
      </c>
      <c r="GD140" s="138">
        <f t="shared" si="496"/>
        <v>0</v>
      </c>
      <c r="GE140" s="238">
        <f t="shared" si="497"/>
        <v>1.5748031496062995E-2</v>
      </c>
      <c r="GF140" s="216">
        <f t="shared" si="343"/>
        <v>0</v>
      </c>
      <c r="GG140" s="138">
        <f t="shared" si="344"/>
        <v>0</v>
      </c>
      <c r="GH140" s="138">
        <f t="shared" si="345"/>
        <v>0</v>
      </c>
      <c r="GI140" s="238">
        <f t="shared" si="346"/>
        <v>2.3622047244094495E-2</v>
      </c>
      <c r="GJ140" s="216">
        <f t="shared" si="498"/>
        <v>0.25</v>
      </c>
      <c r="GK140" s="216">
        <f t="shared" si="499"/>
        <v>2.3622047244094495E-2</v>
      </c>
      <c r="GL140" s="17">
        <f t="shared" si="500"/>
        <v>2.3622047244094495E-2</v>
      </c>
      <c r="GM140" s="216">
        <f t="shared" si="347"/>
        <v>5.2667524959445627E-3</v>
      </c>
      <c r="GN140" s="2">
        <f t="shared" si="501"/>
        <v>1</v>
      </c>
      <c r="GO140" s="2">
        <f t="shared" si="502"/>
        <v>2</v>
      </c>
      <c r="GP140" s="142">
        <f t="shared" si="503"/>
        <v>2</v>
      </c>
      <c r="GQ140" s="2">
        <f t="shared" si="504"/>
        <v>1.5748031496062995E-2</v>
      </c>
      <c r="GR140" s="8">
        <f t="shared" si="348"/>
        <v>5.5426163571050006E-2</v>
      </c>
      <c r="GS140" s="138">
        <f t="shared" si="505"/>
        <v>0.25</v>
      </c>
      <c r="GT140" s="12">
        <f t="shared" si="349"/>
        <v>4594.2312997182589</v>
      </c>
      <c r="GU140" s="138">
        <f t="shared" si="506"/>
        <v>0.25</v>
      </c>
      <c r="GV140" s="116">
        <f t="shared" si="507"/>
        <v>2175570</v>
      </c>
      <c r="GW140" s="2">
        <f t="shared" si="350"/>
        <v>1.5748031496062995E-2</v>
      </c>
      <c r="GX140" s="8">
        <f t="shared" si="351"/>
        <v>3.9543308351999995</v>
      </c>
      <c r="GY140" s="116">
        <f t="shared" si="508"/>
        <v>2610.6840000000002</v>
      </c>
      <c r="GZ140" s="217">
        <f t="shared" si="509"/>
        <v>1.0354014871388937</v>
      </c>
      <c r="HA140" s="207">
        <f t="shared" si="510"/>
        <v>2</v>
      </c>
      <c r="HB140" s="144">
        <f t="shared" si="511"/>
        <v>42911.809274789222</v>
      </c>
      <c r="HC140" s="138">
        <f t="shared" si="352"/>
        <v>0.25</v>
      </c>
      <c r="HD140" s="116">
        <f t="shared" si="512"/>
        <v>2175570</v>
      </c>
      <c r="HE140" s="2">
        <f t="shared" si="353"/>
        <v>1.5748031496062995E-2</v>
      </c>
      <c r="HF140" s="8">
        <f t="shared" si="513"/>
        <v>3.9543308351999995</v>
      </c>
      <c r="HG140" s="116">
        <f t="shared" si="514"/>
        <v>2610.6840000000002</v>
      </c>
      <c r="HH140" s="217">
        <f t="shared" si="515"/>
        <v>1.0354014871388937</v>
      </c>
      <c r="HI140" s="207">
        <f t="shared" si="516"/>
        <v>2</v>
      </c>
      <c r="HJ140" s="144">
        <f t="shared" si="517"/>
        <v>42911.809274789222</v>
      </c>
      <c r="HK140" s="138">
        <f t="shared" si="354"/>
        <v>0.25</v>
      </c>
      <c r="HL140" s="116">
        <f t="shared" si="518"/>
        <v>2175570</v>
      </c>
      <c r="HM140" s="2">
        <f t="shared" si="355"/>
        <v>1.5748031496062995E-2</v>
      </c>
      <c r="HN140" s="8">
        <f t="shared" si="519"/>
        <v>3.9543308351999995</v>
      </c>
      <c r="HO140" s="116">
        <f t="shared" si="520"/>
        <v>2610.6840000000002</v>
      </c>
      <c r="HP140" s="217">
        <f t="shared" si="521"/>
        <v>1.0354014871388937</v>
      </c>
      <c r="HQ140" s="207">
        <f t="shared" si="522"/>
        <v>2</v>
      </c>
      <c r="HR140" s="144">
        <f t="shared" si="523"/>
        <v>42911.809274789222</v>
      </c>
      <c r="HS140" s="128">
        <f t="shared" si="524"/>
        <v>0.25</v>
      </c>
      <c r="HT140" s="2">
        <f t="shared" si="525"/>
        <v>1.5748031496062995E-2</v>
      </c>
      <c r="HU140" s="127">
        <f t="shared" si="526"/>
        <v>1.5748031496062995E-2</v>
      </c>
      <c r="HV140" s="216">
        <f t="shared" si="527"/>
        <v>0</v>
      </c>
      <c r="HW140" s="138">
        <f t="shared" si="528"/>
        <v>0</v>
      </c>
      <c r="HX140" s="138">
        <f t="shared" si="529"/>
        <v>0</v>
      </c>
      <c r="HY140" s="238">
        <f t="shared" si="530"/>
        <v>0.25</v>
      </c>
      <c r="HZ140" s="138">
        <f t="shared" si="531"/>
        <v>0</v>
      </c>
      <c r="IA140" s="138">
        <f t="shared" si="532"/>
        <v>0</v>
      </c>
      <c r="IB140" s="138">
        <f t="shared" si="533"/>
        <v>0</v>
      </c>
      <c r="IC140" s="138">
        <f t="shared" si="534"/>
        <v>0.25</v>
      </c>
      <c r="ID140" s="216">
        <f t="shared" si="535"/>
        <v>0</v>
      </c>
      <c r="IE140" s="138">
        <f t="shared" si="536"/>
        <v>0</v>
      </c>
      <c r="IF140" s="138">
        <f t="shared" si="537"/>
        <v>0</v>
      </c>
      <c r="IG140" s="238">
        <f t="shared" si="538"/>
        <v>1.5748031496062995E-2</v>
      </c>
      <c r="IH140" s="138">
        <f t="shared" si="539"/>
        <v>0</v>
      </c>
      <c r="II140" s="138">
        <f t="shared" si="540"/>
        <v>0</v>
      </c>
      <c r="IJ140" s="138">
        <f t="shared" si="541"/>
        <v>0</v>
      </c>
      <c r="IK140" s="138">
        <f t="shared" si="542"/>
        <v>1.5748031496062995E-2</v>
      </c>
      <c r="IL140" s="216">
        <f t="shared" si="543"/>
        <v>0</v>
      </c>
      <c r="IM140" s="138">
        <f t="shared" si="544"/>
        <v>0</v>
      </c>
      <c r="IN140" s="138">
        <f t="shared" si="545"/>
        <v>0</v>
      </c>
      <c r="IO140" s="238">
        <f t="shared" si="546"/>
        <v>1.5748031496062995E-2</v>
      </c>
      <c r="IP140" s="138">
        <f t="shared" si="547"/>
        <v>0</v>
      </c>
      <c r="IQ140" s="138">
        <f t="shared" si="548"/>
        <v>0</v>
      </c>
      <c r="IR140" s="138">
        <f t="shared" si="549"/>
        <v>0</v>
      </c>
      <c r="IS140" s="138">
        <f t="shared" si="550"/>
        <v>1.5748031496062995E-2</v>
      </c>
      <c r="IT140" s="17">
        <f t="shared" si="551"/>
        <v>0.25</v>
      </c>
      <c r="IU140" s="17">
        <f t="shared" si="552"/>
        <v>1.5748031496062995E-2</v>
      </c>
      <c r="IV140" s="17">
        <f t="shared" si="553"/>
        <v>1.5748031496062995E-2</v>
      </c>
      <c r="IW140" s="253">
        <f t="shared" si="554"/>
        <v>21.968504640000003</v>
      </c>
      <c r="IX140" s="116">
        <f t="shared" si="356"/>
        <v>166.12713349747108</v>
      </c>
      <c r="IY140" s="8">
        <f t="shared" si="357"/>
        <v>4.2952657277094035E-3</v>
      </c>
      <c r="IZ140" s="8">
        <f t="shared" si="555"/>
        <v>4.2952657277094035E-3</v>
      </c>
      <c r="JA140" s="8">
        <f t="shared" si="556"/>
        <v>2.1476328638547018E-3</v>
      </c>
      <c r="JB140" s="134">
        <f t="shared" si="557"/>
        <v>4.6342559962249626E-2</v>
      </c>
      <c r="JC140" s="170">
        <f>MAX(JA$140:JA$149)</f>
        <v>2.1476328638547018E-3</v>
      </c>
      <c r="JD140" s="272">
        <f>MAX(JB$140:JB$149)</f>
        <v>4.6342559962249626E-2</v>
      </c>
      <c r="JE140" s="8"/>
      <c r="JF140" s="8"/>
    </row>
    <row r="141" spans="1:266" x14ac:dyDescent="0.25">
      <c r="A141" s="186">
        <v>81</v>
      </c>
      <c r="B141" s="187">
        <f>A141/100*'Inputs-Imperial'!$E$5</f>
        <v>19.505906136</v>
      </c>
      <c r="C141" s="188">
        <f>'Inputs-Imperial'!$E$10+('Inputs-Imperial'!$E$9-'Inputs-Imperial'!$E$10)*(100-A141)/100</f>
        <v>3.6436188830000003</v>
      </c>
      <c r="D141" s="187">
        <f t="shared" si="558"/>
        <v>0.24081365600000026</v>
      </c>
      <c r="E141" s="188">
        <f t="shared" si="559"/>
        <v>0.87957625207721446</v>
      </c>
      <c r="F141" s="423">
        <f>Loads!P101</f>
        <v>123.08332812830483</v>
      </c>
      <c r="G141" s="423">
        <f>Loads!M101</f>
        <v>1230.8332812830483</v>
      </c>
      <c r="H141" s="423">
        <f>Loads!N101</f>
        <v>2725.8939238318758</v>
      </c>
      <c r="I141" s="423">
        <f>Loads!V101</f>
        <v>-1909.7059802035903</v>
      </c>
      <c r="J141" s="423">
        <f>Loads!Q101</f>
        <v>272.58939238318754</v>
      </c>
      <c r="K141" s="2">
        <v>81</v>
      </c>
      <c r="L141" s="12">
        <f t="shared" si="358"/>
        <v>234.070873632</v>
      </c>
      <c r="M141" s="11">
        <f t="shared" si="359"/>
        <v>43.723426596000003</v>
      </c>
      <c r="N141" s="11">
        <f t="shared" si="360"/>
        <v>2.8897638720000032</v>
      </c>
      <c r="O141" s="152">
        <f t="shared" si="361"/>
        <v>126.65898029911889</v>
      </c>
      <c r="P141" s="151">
        <f t="shared" si="362"/>
        <v>123.08332812830483</v>
      </c>
      <c r="Q141" s="12">
        <f t="shared" si="363"/>
        <v>1230.8332812830483</v>
      </c>
      <c r="R141" s="12">
        <f t="shared" si="364"/>
        <v>32710.727085982508</v>
      </c>
      <c r="S141" s="12">
        <f t="shared" si="365"/>
        <v>-22916.471762443085</v>
      </c>
      <c r="T141" s="152">
        <f t="shared" si="366"/>
        <v>3271.0727085982508</v>
      </c>
      <c r="U141" s="8">
        <f t="shared" si="313"/>
        <v>7.8702167872800004</v>
      </c>
      <c r="V141" s="8">
        <f t="shared" si="314"/>
        <v>7.8702167872800004</v>
      </c>
      <c r="W141" s="134">
        <f t="shared" si="315"/>
        <v>3.9351083936400002</v>
      </c>
      <c r="X141" s="311">
        <f t="shared" si="316"/>
        <v>10.930856649000001</v>
      </c>
      <c r="Y141" s="11">
        <f t="shared" si="317"/>
        <v>32.792569947000004</v>
      </c>
      <c r="Z141" s="11">
        <f t="shared" si="318"/>
        <v>21.861713298000005</v>
      </c>
      <c r="AA141" s="316">
        <f t="shared" si="367"/>
        <v>32.792569947000004</v>
      </c>
      <c r="AB141" s="170">
        <f t="shared" si="368"/>
        <v>5.9026625904600003</v>
      </c>
      <c r="AC141" s="11">
        <f t="shared" si="369"/>
        <v>32.792569947000004</v>
      </c>
      <c r="AD141" s="152">
        <f t="shared" si="370"/>
        <v>152.02439845006663</v>
      </c>
      <c r="AE141" s="151">
        <f t="shared" si="319"/>
        <v>3.753390732328528</v>
      </c>
      <c r="AF141" s="12">
        <f t="shared" si="320"/>
        <v>75.371032531893704</v>
      </c>
      <c r="AG141" s="216">
        <f t="shared" si="321"/>
        <v>5.1839027513455854E-3</v>
      </c>
      <c r="AH141" s="2">
        <f t="shared" si="371"/>
        <v>1</v>
      </c>
      <c r="AI141" s="2">
        <f t="shared" si="372"/>
        <v>3</v>
      </c>
      <c r="AJ141" s="127">
        <f t="shared" si="373"/>
        <v>2</v>
      </c>
      <c r="AK141" s="2">
        <f t="shared" si="374"/>
        <v>1.5748031496062995E-2</v>
      </c>
      <c r="AL141" s="8">
        <f t="shared" si="322"/>
        <v>5.4554270787119392E-2</v>
      </c>
      <c r="AM141" s="138">
        <f t="shared" si="375"/>
        <v>0.25</v>
      </c>
      <c r="AN141" s="12">
        <f t="shared" si="323"/>
        <v>4521.9607895502995</v>
      </c>
      <c r="AO141" s="138">
        <f t="shared" si="376"/>
        <v>0.25</v>
      </c>
      <c r="AP141" s="116">
        <f t="shared" si="377"/>
        <v>2175570</v>
      </c>
      <c r="AQ141" s="2">
        <f t="shared" si="378"/>
        <v>1.5748031496062995E-2</v>
      </c>
      <c r="AR141" s="8">
        <f t="shared" si="379"/>
        <v>21.861713298000005</v>
      </c>
      <c r="AS141" s="116">
        <f t="shared" si="380"/>
        <v>2610.6840000000002</v>
      </c>
      <c r="AT141" s="217">
        <f t="shared" si="381"/>
        <v>3.3875553347931818E-2</v>
      </c>
      <c r="AU141" s="207">
        <f t="shared" si="382"/>
        <v>4.7372778825265307</v>
      </c>
      <c r="AV141" s="144">
        <f t="shared" si="383"/>
        <v>3325.4720688294951</v>
      </c>
      <c r="AW141" s="138">
        <f t="shared" si="384"/>
        <v>0.5</v>
      </c>
      <c r="AX141" s="116">
        <f t="shared" si="385"/>
        <v>2175570</v>
      </c>
      <c r="AY141" s="2">
        <f t="shared" si="386"/>
        <v>1.5748031496062995E-2</v>
      </c>
      <c r="AZ141" s="8">
        <f t="shared" si="387"/>
        <v>21.861713298000005</v>
      </c>
      <c r="BA141" s="116">
        <f t="shared" si="388"/>
        <v>2610.6840000000002</v>
      </c>
      <c r="BB141" s="217">
        <f t="shared" si="389"/>
        <v>6.7751106695863636E-2</v>
      </c>
      <c r="BC141" s="207">
        <f t="shared" si="390"/>
        <v>4.2683380036022855</v>
      </c>
      <c r="BD141" s="144">
        <f t="shared" si="391"/>
        <v>11985.143505014439</v>
      </c>
      <c r="BE141" s="138">
        <f t="shared" si="392"/>
        <v>0.5</v>
      </c>
      <c r="BF141" s="116">
        <f t="shared" si="393"/>
        <v>2175570</v>
      </c>
      <c r="BG141" s="2">
        <f t="shared" si="394"/>
        <v>1.5748031496062995E-2</v>
      </c>
      <c r="BH141" s="8">
        <f t="shared" si="395"/>
        <v>21.861713298000005</v>
      </c>
      <c r="BI141" s="116">
        <f t="shared" si="396"/>
        <v>2610.6840000000002</v>
      </c>
      <c r="BJ141" s="217">
        <f t="shared" si="397"/>
        <v>6.7751106695863636E-2</v>
      </c>
      <c r="BK141" s="207">
        <f t="shared" si="398"/>
        <v>4.2683380036022855</v>
      </c>
      <c r="BL141" s="144">
        <f t="shared" si="399"/>
        <v>11985.143505014439</v>
      </c>
      <c r="BM141" s="216">
        <f t="shared" si="400"/>
        <v>0.5</v>
      </c>
      <c r="BN141" s="216">
        <f t="shared" si="401"/>
        <v>2.3622047244094495E-2</v>
      </c>
      <c r="BO141" s="238">
        <f t="shared" si="402"/>
        <v>1.5748031496062995E-2</v>
      </c>
      <c r="BP141" s="216">
        <f t="shared" si="403"/>
        <v>0</v>
      </c>
      <c r="BQ141" s="138">
        <f t="shared" si="404"/>
        <v>0</v>
      </c>
      <c r="BR141" s="138">
        <f t="shared" si="405"/>
        <v>0</v>
      </c>
      <c r="BS141" s="238">
        <f t="shared" si="406"/>
        <v>0.5</v>
      </c>
      <c r="BT141" s="138">
        <f t="shared" si="407"/>
        <v>0</v>
      </c>
      <c r="BU141" s="138">
        <f t="shared" si="408"/>
        <v>0</v>
      </c>
      <c r="BV141" s="138">
        <f t="shared" si="409"/>
        <v>0</v>
      </c>
      <c r="BW141" s="238">
        <f t="shared" si="410"/>
        <v>0.75</v>
      </c>
      <c r="BX141" s="216">
        <f t="shared" si="411"/>
        <v>0</v>
      </c>
      <c r="BY141" s="138">
        <f t="shared" si="412"/>
        <v>0</v>
      </c>
      <c r="BZ141" s="138">
        <f t="shared" si="413"/>
        <v>0</v>
      </c>
      <c r="CA141" s="238">
        <f t="shared" si="414"/>
        <v>2.3622047244094495E-2</v>
      </c>
      <c r="CB141" s="138">
        <f t="shared" si="415"/>
        <v>0</v>
      </c>
      <c r="CC141" s="138">
        <f t="shared" si="416"/>
        <v>0</v>
      </c>
      <c r="CD141" s="138">
        <f t="shared" si="417"/>
        <v>0</v>
      </c>
      <c r="CE141" s="238">
        <f t="shared" si="418"/>
        <v>2.3622047244094495E-2</v>
      </c>
      <c r="CF141" s="216">
        <f t="shared" si="419"/>
        <v>0</v>
      </c>
      <c r="CG141" s="138">
        <f t="shared" si="420"/>
        <v>0</v>
      </c>
      <c r="CH141" s="138">
        <f t="shared" si="421"/>
        <v>0</v>
      </c>
      <c r="CI141" s="238">
        <f t="shared" si="422"/>
        <v>1.5748031496062995E-2</v>
      </c>
      <c r="CJ141" s="138">
        <f t="shared" si="423"/>
        <v>0</v>
      </c>
      <c r="CK141" s="138">
        <f t="shared" si="424"/>
        <v>0</v>
      </c>
      <c r="CL141" s="138">
        <f t="shared" si="425"/>
        <v>0</v>
      </c>
      <c r="CM141" s="238">
        <f t="shared" si="426"/>
        <v>1.5748031496062995E-2</v>
      </c>
      <c r="CN141" s="17">
        <f t="shared" si="427"/>
        <v>0.75</v>
      </c>
      <c r="CO141" s="17">
        <f t="shared" si="428"/>
        <v>2.3622047244094495E-2</v>
      </c>
      <c r="CP141" s="17">
        <f t="shared" si="429"/>
        <v>1.5748031496062995E-2</v>
      </c>
      <c r="CQ141" s="17">
        <f>$U141-IF('Inputs-Imperial'!$E$13,0,2)*($CO141+$CN141+$CP141)</f>
        <v>7.8702167872800004</v>
      </c>
      <c r="CR141" s="116">
        <f t="shared" si="430"/>
        <v>4156.2676061033326</v>
      </c>
      <c r="CS141" s="8">
        <f t="shared" si="324"/>
        <v>0.10746151713955995</v>
      </c>
      <c r="CT141" s="8">
        <f t="shared" si="431"/>
        <v>0.32781323515007743</v>
      </c>
      <c r="CU141" s="8">
        <f t="shared" si="325"/>
        <v>0.10746151713955995</v>
      </c>
      <c r="CV141" s="8">
        <f t="shared" si="432"/>
        <v>0.32781323515007743</v>
      </c>
      <c r="CW141" s="216">
        <f t="shared" si="433"/>
        <v>7.5424035521299224</v>
      </c>
      <c r="CX141" s="116">
        <f t="shared" si="434"/>
        <v>4336.9102249567677</v>
      </c>
      <c r="CY141" s="8">
        <f t="shared" si="435"/>
        <v>0.11213208499557273</v>
      </c>
      <c r="CZ141" s="8">
        <f t="shared" si="436"/>
        <v>0.33486129217270355</v>
      </c>
      <c r="DA141" s="8">
        <f t="shared" si="437"/>
        <v>0.11213208499557273</v>
      </c>
      <c r="DB141" s="8">
        <f t="shared" si="438"/>
        <v>0.33486129217270355</v>
      </c>
      <c r="DC141" s="216">
        <f t="shared" si="439"/>
        <v>7.5353554951072965</v>
      </c>
      <c r="DD141" s="116">
        <f t="shared" si="440"/>
        <v>4340.9666746607472</v>
      </c>
      <c r="DE141" s="8">
        <f t="shared" si="441"/>
        <v>0.11223696569159669</v>
      </c>
      <c r="DF141" s="8">
        <f t="shared" si="442"/>
        <v>0.33501785876516599</v>
      </c>
      <c r="DG141" s="8">
        <f t="shared" si="443"/>
        <v>0.11223696569159669</v>
      </c>
      <c r="DH141" s="8">
        <f t="shared" si="444"/>
        <v>0.33501785876516599</v>
      </c>
      <c r="DI141" s="216">
        <f t="shared" si="445"/>
        <v>7.5351989285148342</v>
      </c>
      <c r="DJ141" s="116">
        <f t="shared" si="446"/>
        <v>4341.0568713983102</v>
      </c>
      <c r="DK141" s="8">
        <f t="shared" si="447"/>
        <v>0.11223929775468265</v>
      </c>
      <c r="DL141" s="8">
        <f t="shared" si="448"/>
        <v>0.33502133925271482</v>
      </c>
      <c r="DM141" s="8">
        <f t="shared" si="449"/>
        <v>0.11223929775468265</v>
      </c>
      <c r="DN141" s="8">
        <f t="shared" si="450"/>
        <v>0.33502133925271482</v>
      </c>
      <c r="DO141" s="216">
        <f t="shared" si="451"/>
        <v>7.5351954480272862</v>
      </c>
      <c r="DP141" s="116">
        <f t="shared" si="452"/>
        <v>4341.0588765214015</v>
      </c>
      <c r="DQ141" s="170">
        <f t="shared" si="453"/>
        <v>0.11223934959772787</v>
      </c>
      <c r="DR141" s="8">
        <f t="shared" si="454"/>
        <v>0.33502141662545676</v>
      </c>
      <c r="DS141" s="8">
        <f t="shared" si="455"/>
        <v>0.11223934959772787</v>
      </c>
      <c r="DT141" s="134">
        <f t="shared" si="456"/>
        <v>0.33502141662545676</v>
      </c>
      <c r="DU141" s="170">
        <f t="shared" ref="DU141:DX149" si="563">MAX(DQ$140:DQ$149)</f>
        <v>0.12489389406218925</v>
      </c>
      <c r="DV141" s="170">
        <f t="shared" si="563"/>
        <v>0.35340330227968902</v>
      </c>
      <c r="DW141" s="170">
        <f t="shared" si="563"/>
        <v>0.12489389406218925</v>
      </c>
      <c r="DX141" s="272">
        <f t="shared" si="563"/>
        <v>0.35340330227968902</v>
      </c>
      <c r="DY141" s="272">
        <f t="shared" si="457"/>
        <v>7.1634101827206216</v>
      </c>
      <c r="DZ141" s="22">
        <f t="shared" si="326"/>
        <v>156.39128051368868</v>
      </c>
      <c r="EA141" s="216">
        <f t="shared" si="327"/>
        <v>1.0246105512000021E-2</v>
      </c>
      <c r="EB141" s="12">
        <f t="shared" si="458"/>
        <v>2</v>
      </c>
      <c r="EC141" s="7">
        <f>ROUND(MAX(DV141,DX141)/'Inputs-Imperial'!$E$21,0)</f>
        <v>3</v>
      </c>
      <c r="ED141" s="12">
        <f t="shared" si="459"/>
        <v>3</v>
      </c>
      <c r="EE141" s="2">
        <f t="shared" si="460"/>
        <v>2</v>
      </c>
      <c r="EF141" s="127">
        <f t="shared" si="461"/>
        <v>2</v>
      </c>
      <c r="EG141" s="2">
        <f t="shared" si="462"/>
        <v>1.5748031496062995E-2</v>
      </c>
      <c r="EH141" s="8">
        <f t="shared" si="328"/>
        <v>0.1078277972074137</v>
      </c>
      <c r="EI141" s="138">
        <f t="shared" si="463"/>
        <v>0.25</v>
      </c>
      <c r="EJ141" s="12">
        <f t="shared" si="329"/>
        <v>8937.7616813573077</v>
      </c>
      <c r="EK141" s="138">
        <f t="shared" si="464"/>
        <v>0.25</v>
      </c>
      <c r="EL141" s="116">
        <f t="shared" si="465"/>
        <v>2175570</v>
      </c>
      <c r="EM141" s="2">
        <f t="shared" si="330"/>
        <v>1.5748031496062995E-2</v>
      </c>
      <c r="EN141" s="8">
        <f t="shared" si="466"/>
        <v>7.8702167872800004</v>
      </c>
      <c r="EO141" s="116">
        <f t="shared" si="467"/>
        <v>2610.6840000000002</v>
      </c>
      <c r="EP141" s="217">
        <f t="shared" si="468"/>
        <v>0.26138544249947399</v>
      </c>
      <c r="EQ141" s="207">
        <f t="shared" si="469"/>
        <v>2.7796486702376639</v>
      </c>
      <c r="ER141" s="144">
        <f t="shared" si="470"/>
        <v>15055.991110763725</v>
      </c>
      <c r="ES141" s="138">
        <f t="shared" si="331"/>
        <v>0.25</v>
      </c>
      <c r="ET141" s="116">
        <f t="shared" si="471"/>
        <v>2175570</v>
      </c>
      <c r="EU141" s="2">
        <f t="shared" si="332"/>
        <v>1.5748031496062995E-2</v>
      </c>
      <c r="EV141" s="8">
        <f t="shared" si="472"/>
        <v>7.8702167872800004</v>
      </c>
      <c r="EW141" s="116">
        <f t="shared" si="473"/>
        <v>2610.6840000000002</v>
      </c>
      <c r="EX141" s="217">
        <f t="shared" si="474"/>
        <v>0.26138544249947399</v>
      </c>
      <c r="EY141" s="207">
        <f t="shared" si="475"/>
        <v>2.7796486702376639</v>
      </c>
      <c r="EZ141" s="144">
        <f t="shared" si="476"/>
        <v>15055.991110763725</v>
      </c>
      <c r="FA141" s="138">
        <f t="shared" si="333"/>
        <v>0.25</v>
      </c>
      <c r="FB141" s="116">
        <f t="shared" si="477"/>
        <v>2175570</v>
      </c>
      <c r="FC141" s="2">
        <f t="shared" si="334"/>
        <v>1.5748031496062995E-2</v>
      </c>
      <c r="FD141" s="8">
        <f t="shared" si="478"/>
        <v>7.8702167872800004</v>
      </c>
      <c r="FE141" s="116">
        <f t="shared" si="479"/>
        <v>2610.6840000000002</v>
      </c>
      <c r="FF141" s="217">
        <f t="shared" si="480"/>
        <v>0.26138544249947399</v>
      </c>
      <c r="FG141" s="207">
        <f t="shared" si="481"/>
        <v>2.7796486702376639</v>
      </c>
      <c r="FH141" s="144">
        <f t="shared" si="482"/>
        <v>15055.991110763725</v>
      </c>
      <c r="FI141" s="128">
        <f t="shared" si="483"/>
        <v>0.25</v>
      </c>
      <c r="FJ141" s="2">
        <f t="shared" si="484"/>
        <v>1.5748031496062995E-2</v>
      </c>
      <c r="FK141" s="127">
        <f t="shared" si="485"/>
        <v>1.5748031496062995E-2</v>
      </c>
      <c r="FL141" s="216">
        <f t="shared" si="486"/>
        <v>0</v>
      </c>
      <c r="FM141" s="138">
        <f t="shared" si="487"/>
        <v>0</v>
      </c>
      <c r="FN141" s="138">
        <f t="shared" si="488"/>
        <v>0</v>
      </c>
      <c r="FO141" s="238">
        <f t="shared" si="489"/>
        <v>0.25</v>
      </c>
      <c r="FP141" s="216">
        <f t="shared" si="335"/>
        <v>0</v>
      </c>
      <c r="FQ141" s="138">
        <f t="shared" si="336"/>
        <v>0</v>
      </c>
      <c r="FR141" s="138">
        <f t="shared" si="337"/>
        <v>0</v>
      </c>
      <c r="FS141" s="238">
        <f t="shared" si="338"/>
        <v>0.25</v>
      </c>
      <c r="FT141" s="216">
        <f t="shared" si="490"/>
        <v>0</v>
      </c>
      <c r="FU141" s="138">
        <f t="shared" si="491"/>
        <v>0</v>
      </c>
      <c r="FV141" s="138">
        <f t="shared" si="492"/>
        <v>0</v>
      </c>
      <c r="FW141" s="238">
        <f t="shared" si="493"/>
        <v>1.5748031496062995E-2</v>
      </c>
      <c r="FX141" s="216">
        <f t="shared" si="339"/>
        <v>0</v>
      </c>
      <c r="FY141" s="138">
        <f t="shared" si="340"/>
        <v>0</v>
      </c>
      <c r="FZ141" s="138">
        <f t="shared" si="341"/>
        <v>0</v>
      </c>
      <c r="GA141" s="238">
        <f t="shared" si="342"/>
        <v>2.3622047244094495E-2</v>
      </c>
      <c r="GB141" s="216">
        <f t="shared" si="494"/>
        <v>0</v>
      </c>
      <c r="GC141" s="138">
        <f t="shared" si="495"/>
        <v>0</v>
      </c>
      <c r="GD141" s="138">
        <f t="shared" si="496"/>
        <v>0</v>
      </c>
      <c r="GE141" s="238">
        <f t="shared" si="497"/>
        <v>1.5748031496062995E-2</v>
      </c>
      <c r="GF141" s="216">
        <f t="shared" si="343"/>
        <v>0</v>
      </c>
      <c r="GG141" s="138">
        <f t="shared" si="344"/>
        <v>0</v>
      </c>
      <c r="GH141" s="138">
        <f t="shared" si="345"/>
        <v>0</v>
      </c>
      <c r="GI141" s="238">
        <f t="shared" si="346"/>
        <v>2.3622047244094495E-2</v>
      </c>
      <c r="GJ141" s="216">
        <f t="shared" si="498"/>
        <v>0.25</v>
      </c>
      <c r="GK141" s="216">
        <f t="shared" si="499"/>
        <v>2.3622047244094495E-2</v>
      </c>
      <c r="GL141" s="17">
        <f t="shared" si="500"/>
        <v>2.3622047244094495E-2</v>
      </c>
      <c r="GM141" s="216">
        <f t="shared" si="347"/>
        <v>4.9379962190575855E-3</v>
      </c>
      <c r="GN141" s="2">
        <f t="shared" si="501"/>
        <v>1</v>
      </c>
      <c r="GO141" s="2">
        <f t="shared" si="502"/>
        <v>2</v>
      </c>
      <c r="GP141" s="142">
        <f t="shared" si="503"/>
        <v>2</v>
      </c>
      <c r="GQ141" s="2">
        <f t="shared" si="504"/>
        <v>1.5748031496062995E-2</v>
      </c>
      <c r="GR141" s="8">
        <f t="shared" si="348"/>
        <v>5.1966403654141465E-2</v>
      </c>
      <c r="GS141" s="138">
        <f t="shared" si="505"/>
        <v>0.25</v>
      </c>
      <c r="GT141" s="12">
        <f t="shared" si="349"/>
        <v>4307.4545091977243</v>
      </c>
      <c r="GU141" s="138">
        <f t="shared" si="506"/>
        <v>0.25</v>
      </c>
      <c r="GV141" s="116">
        <f t="shared" si="507"/>
        <v>2175570</v>
      </c>
      <c r="GW141" s="2">
        <f t="shared" si="350"/>
        <v>1.5748031496062995E-2</v>
      </c>
      <c r="GX141" s="8">
        <f t="shared" si="351"/>
        <v>3.9351083936400002</v>
      </c>
      <c r="GY141" s="116">
        <f t="shared" si="508"/>
        <v>2610.6840000000002</v>
      </c>
      <c r="GZ141" s="217">
        <f t="shared" si="509"/>
        <v>1.0455417699978959</v>
      </c>
      <c r="HA141" s="207">
        <f t="shared" si="510"/>
        <v>2</v>
      </c>
      <c r="HB141" s="144">
        <f t="shared" si="511"/>
        <v>43332.069327959834</v>
      </c>
      <c r="HC141" s="138">
        <f t="shared" si="352"/>
        <v>0.25</v>
      </c>
      <c r="HD141" s="116">
        <f t="shared" si="512"/>
        <v>2175570</v>
      </c>
      <c r="HE141" s="2">
        <f t="shared" si="353"/>
        <v>1.5748031496062995E-2</v>
      </c>
      <c r="HF141" s="8">
        <f t="shared" si="513"/>
        <v>3.9351083936400002</v>
      </c>
      <c r="HG141" s="116">
        <f t="shared" si="514"/>
        <v>2610.6840000000002</v>
      </c>
      <c r="HH141" s="217">
        <f t="shared" si="515"/>
        <v>1.0455417699978959</v>
      </c>
      <c r="HI141" s="207">
        <f t="shared" si="516"/>
        <v>2</v>
      </c>
      <c r="HJ141" s="144">
        <f t="shared" si="517"/>
        <v>43332.069327959834</v>
      </c>
      <c r="HK141" s="138">
        <f t="shared" si="354"/>
        <v>0.25</v>
      </c>
      <c r="HL141" s="116">
        <f t="shared" si="518"/>
        <v>2175570</v>
      </c>
      <c r="HM141" s="2">
        <f t="shared" si="355"/>
        <v>1.5748031496062995E-2</v>
      </c>
      <c r="HN141" s="8">
        <f t="shared" si="519"/>
        <v>3.9351083936400002</v>
      </c>
      <c r="HO141" s="116">
        <f t="shared" si="520"/>
        <v>2610.6840000000002</v>
      </c>
      <c r="HP141" s="217">
        <f t="shared" si="521"/>
        <v>1.0455417699978959</v>
      </c>
      <c r="HQ141" s="207">
        <f t="shared" si="522"/>
        <v>2</v>
      </c>
      <c r="HR141" s="144">
        <f t="shared" si="523"/>
        <v>43332.069327959834</v>
      </c>
      <c r="HS141" s="128">
        <f t="shared" si="524"/>
        <v>0.25</v>
      </c>
      <c r="HT141" s="2">
        <f t="shared" si="525"/>
        <v>1.5748031496062995E-2</v>
      </c>
      <c r="HU141" s="127">
        <f t="shared" si="526"/>
        <v>1.5748031496062995E-2</v>
      </c>
      <c r="HV141" s="216">
        <f t="shared" si="527"/>
        <v>0</v>
      </c>
      <c r="HW141" s="138">
        <f t="shared" si="528"/>
        <v>0</v>
      </c>
      <c r="HX141" s="138">
        <f t="shared" si="529"/>
        <v>0</v>
      </c>
      <c r="HY141" s="238">
        <f t="shared" si="530"/>
        <v>0.25</v>
      </c>
      <c r="HZ141" s="138">
        <f t="shared" si="531"/>
        <v>0</v>
      </c>
      <c r="IA141" s="138">
        <f t="shared" si="532"/>
        <v>0</v>
      </c>
      <c r="IB141" s="138">
        <f t="shared" si="533"/>
        <v>0</v>
      </c>
      <c r="IC141" s="138">
        <f t="shared" si="534"/>
        <v>0.25</v>
      </c>
      <c r="ID141" s="216">
        <f t="shared" si="535"/>
        <v>0</v>
      </c>
      <c r="IE141" s="138">
        <f t="shared" si="536"/>
        <v>0</v>
      </c>
      <c r="IF141" s="138">
        <f t="shared" si="537"/>
        <v>0</v>
      </c>
      <c r="IG141" s="238">
        <f t="shared" si="538"/>
        <v>1.5748031496062995E-2</v>
      </c>
      <c r="IH141" s="138">
        <f t="shared" si="539"/>
        <v>0</v>
      </c>
      <c r="II141" s="138">
        <f t="shared" si="540"/>
        <v>0</v>
      </c>
      <c r="IJ141" s="138">
        <f t="shared" si="541"/>
        <v>0</v>
      </c>
      <c r="IK141" s="138">
        <f t="shared" si="542"/>
        <v>1.5748031496062995E-2</v>
      </c>
      <c r="IL141" s="216">
        <f t="shared" si="543"/>
        <v>0</v>
      </c>
      <c r="IM141" s="138">
        <f t="shared" si="544"/>
        <v>0</v>
      </c>
      <c r="IN141" s="138">
        <f t="shared" si="545"/>
        <v>0</v>
      </c>
      <c r="IO141" s="238">
        <f t="shared" si="546"/>
        <v>1.5748031496062995E-2</v>
      </c>
      <c r="IP141" s="138">
        <f t="shared" si="547"/>
        <v>0</v>
      </c>
      <c r="IQ141" s="138">
        <f t="shared" si="548"/>
        <v>0</v>
      </c>
      <c r="IR141" s="138">
        <f t="shared" si="549"/>
        <v>0</v>
      </c>
      <c r="IS141" s="138">
        <f t="shared" si="550"/>
        <v>1.5748031496062995E-2</v>
      </c>
      <c r="IT141" s="17">
        <f t="shared" si="551"/>
        <v>0.25</v>
      </c>
      <c r="IU141" s="17">
        <f t="shared" si="552"/>
        <v>1.5748031496062995E-2</v>
      </c>
      <c r="IV141" s="17">
        <f t="shared" si="553"/>
        <v>1.5748031496062995E-2</v>
      </c>
      <c r="IW141" s="253">
        <f t="shared" si="554"/>
        <v>21.861713298000005</v>
      </c>
      <c r="IX141" s="116">
        <f t="shared" si="356"/>
        <v>149.62563381971995</v>
      </c>
      <c r="IY141" s="8">
        <f t="shared" si="357"/>
        <v>3.8686146170241577E-3</v>
      </c>
      <c r="IZ141" s="8">
        <f t="shared" si="555"/>
        <v>3.8686146170241577E-3</v>
      </c>
      <c r="JA141" s="8">
        <f t="shared" si="556"/>
        <v>1.9343073085120789E-3</v>
      </c>
      <c r="JB141" s="134">
        <f t="shared" si="557"/>
        <v>4.3980760663181795E-2</v>
      </c>
      <c r="JC141" s="170">
        <f t="shared" ref="JC141:JC149" si="564">MAX(JA$140:JA$149)</f>
        <v>2.1476328638547018E-3</v>
      </c>
      <c r="JD141" s="272">
        <f t="shared" ref="JD141:JD149" si="565">MAX(JB$140:JB$149)</f>
        <v>4.6342559962249626E-2</v>
      </c>
      <c r="JE141" s="8"/>
      <c r="JF141" s="8"/>
    </row>
    <row r="142" spans="1:266" x14ac:dyDescent="0.25">
      <c r="A142" s="186">
        <v>82</v>
      </c>
      <c r="B142" s="187">
        <f>A142/100*'Inputs-Imperial'!$E$5</f>
        <v>19.746719791999997</v>
      </c>
      <c r="C142" s="188">
        <f>'Inputs-Imperial'!$E$10+('Inputs-Imperial'!$E$9-'Inputs-Imperial'!$E$10)*(100-A142)/100</f>
        <v>3.6258203260000004</v>
      </c>
      <c r="D142" s="187">
        <f t="shared" si="558"/>
        <v>0.24081365599999671</v>
      </c>
      <c r="E142" s="188">
        <f t="shared" si="559"/>
        <v>0.87529011649450716</v>
      </c>
      <c r="F142" s="423">
        <f>Loads!P102</f>
        <v>115.29587771141328</v>
      </c>
      <c r="G142" s="423">
        <f>Loads!M102</f>
        <v>1152.9587771141328</v>
      </c>
      <c r="H142" s="423">
        <f>Loads!N102</f>
        <v>2429.4924614396327</v>
      </c>
      <c r="I142" s="423">
        <f>Loads!V102</f>
        <v>-1766.5814755241711</v>
      </c>
      <c r="J142" s="423">
        <f>Loads!Q102</f>
        <v>242.94924614396325</v>
      </c>
      <c r="K142" s="2">
        <v>82</v>
      </c>
      <c r="L142" s="12">
        <f t="shared" si="358"/>
        <v>236.96063750399998</v>
      </c>
      <c r="M142" s="11">
        <f t="shared" si="359"/>
        <v>43.509843912000008</v>
      </c>
      <c r="N142" s="11">
        <f t="shared" si="360"/>
        <v>2.8897638719999605</v>
      </c>
      <c r="O142" s="152">
        <f t="shared" si="361"/>
        <v>126.04177677520903</v>
      </c>
      <c r="P142" s="151">
        <f t="shared" si="362"/>
        <v>115.29587771141328</v>
      </c>
      <c r="Q142" s="12">
        <f t="shared" si="363"/>
        <v>1152.9587771141328</v>
      </c>
      <c r="R142" s="12">
        <f t="shared" si="364"/>
        <v>29153.909537275591</v>
      </c>
      <c r="S142" s="12">
        <f t="shared" si="365"/>
        <v>-21198.977706290054</v>
      </c>
      <c r="T142" s="152">
        <f t="shared" si="366"/>
        <v>2915.390953727559</v>
      </c>
      <c r="U142" s="8">
        <f t="shared" si="313"/>
        <v>7.8317719041600009</v>
      </c>
      <c r="V142" s="8">
        <f t="shared" si="314"/>
        <v>7.8317719041600009</v>
      </c>
      <c r="W142" s="134">
        <f t="shared" si="315"/>
        <v>3.9158859520800005</v>
      </c>
      <c r="X142" s="311">
        <f t="shared" si="316"/>
        <v>10.877460978000002</v>
      </c>
      <c r="Y142" s="11">
        <f t="shared" si="317"/>
        <v>32.632382934000006</v>
      </c>
      <c r="Z142" s="11">
        <f t="shared" si="318"/>
        <v>21.754921956000004</v>
      </c>
      <c r="AA142" s="316">
        <f t="shared" si="367"/>
        <v>32.632382934000006</v>
      </c>
      <c r="AB142" s="170">
        <f t="shared" si="368"/>
        <v>5.8738289281200009</v>
      </c>
      <c r="AC142" s="11">
        <f t="shared" si="369"/>
        <v>32.632382934000006</v>
      </c>
      <c r="AD142" s="152">
        <f t="shared" si="370"/>
        <v>150.54279115332378</v>
      </c>
      <c r="AE142" s="151">
        <f t="shared" si="319"/>
        <v>3.5331737171815716</v>
      </c>
      <c r="AF142" s="12">
        <f t="shared" si="320"/>
        <v>70.408478359815533</v>
      </c>
      <c r="AG142" s="216">
        <f t="shared" si="321"/>
        <v>4.8443491633550183E-3</v>
      </c>
      <c r="AH142" s="2">
        <f t="shared" si="371"/>
        <v>1</v>
      </c>
      <c r="AI142" s="2">
        <f t="shared" si="372"/>
        <v>3</v>
      </c>
      <c r="AJ142" s="127">
        <f t="shared" si="373"/>
        <v>2</v>
      </c>
      <c r="AK142" s="2">
        <f t="shared" si="374"/>
        <v>1.5748031496062995E-2</v>
      </c>
      <c r="AL142" s="8">
        <f t="shared" si="322"/>
        <v>5.0980882304635398E-2</v>
      </c>
      <c r="AM142" s="138">
        <f t="shared" si="375"/>
        <v>0.25</v>
      </c>
      <c r="AN142" s="12">
        <f t="shared" si="323"/>
        <v>4225.7654162003828</v>
      </c>
      <c r="AO142" s="138">
        <f t="shared" si="376"/>
        <v>0.25</v>
      </c>
      <c r="AP142" s="116">
        <f t="shared" si="377"/>
        <v>2175570</v>
      </c>
      <c r="AQ142" s="2">
        <f t="shared" si="378"/>
        <v>1.5748031496062995E-2</v>
      </c>
      <c r="AR142" s="8">
        <f t="shared" si="379"/>
        <v>21.754921956000004</v>
      </c>
      <c r="AS142" s="116">
        <f t="shared" si="380"/>
        <v>2610.6840000000002</v>
      </c>
      <c r="AT142" s="217">
        <f t="shared" si="381"/>
        <v>3.4208948701086789E-2</v>
      </c>
      <c r="AU142" s="207">
        <f t="shared" si="382"/>
        <v>4.7322306030901622</v>
      </c>
      <c r="AV142" s="144">
        <f t="shared" si="383"/>
        <v>3354.6226379630825</v>
      </c>
      <c r="AW142" s="138">
        <f t="shared" si="384"/>
        <v>0.5</v>
      </c>
      <c r="AX142" s="116">
        <f t="shared" si="385"/>
        <v>2175570</v>
      </c>
      <c r="AY142" s="2">
        <f t="shared" si="386"/>
        <v>1.5748031496062995E-2</v>
      </c>
      <c r="AZ142" s="8">
        <f t="shared" si="387"/>
        <v>21.754921956000004</v>
      </c>
      <c r="BA142" s="116">
        <f t="shared" si="388"/>
        <v>2610.6840000000002</v>
      </c>
      <c r="BB142" s="217">
        <f t="shared" si="389"/>
        <v>6.8417897402173578E-2</v>
      </c>
      <c r="BC142" s="207">
        <f t="shared" si="390"/>
        <v>4.2599573600108585</v>
      </c>
      <c r="BD142" s="144">
        <f t="shared" si="391"/>
        <v>12079.33475373588</v>
      </c>
      <c r="BE142" s="138">
        <f t="shared" si="392"/>
        <v>0.5</v>
      </c>
      <c r="BF142" s="116">
        <f t="shared" si="393"/>
        <v>2175570</v>
      </c>
      <c r="BG142" s="2">
        <f t="shared" si="394"/>
        <v>1.5748031496062995E-2</v>
      </c>
      <c r="BH142" s="8">
        <f t="shared" si="395"/>
        <v>21.754921956000004</v>
      </c>
      <c r="BI142" s="116">
        <f t="shared" si="396"/>
        <v>2610.6840000000002</v>
      </c>
      <c r="BJ142" s="217">
        <f t="shared" si="397"/>
        <v>6.8417897402173578E-2</v>
      </c>
      <c r="BK142" s="207">
        <f t="shared" si="398"/>
        <v>4.2599573600108585</v>
      </c>
      <c r="BL142" s="144">
        <f t="shared" si="399"/>
        <v>12079.33475373588</v>
      </c>
      <c r="BM142" s="216">
        <f t="shared" si="400"/>
        <v>0.5</v>
      </c>
      <c r="BN142" s="216">
        <f t="shared" si="401"/>
        <v>2.3622047244094495E-2</v>
      </c>
      <c r="BO142" s="238">
        <f t="shared" si="402"/>
        <v>1.5748031496062995E-2</v>
      </c>
      <c r="BP142" s="216">
        <f t="shared" si="403"/>
        <v>0</v>
      </c>
      <c r="BQ142" s="138">
        <f t="shared" si="404"/>
        <v>0</v>
      </c>
      <c r="BR142" s="138">
        <f t="shared" si="405"/>
        <v>0</v>
      </c>
      <c r="BS142" s="238">
        <f t="shared" si="406"/>
        <v>0.5</v>
      </c>
      <c r="BT142" s="138">
        <f t="shared" si="407"/>
        <v>0</v>
      </c>
      <c r="BU142" s="138">
        <f t="shared" si="408"/>
        <v>0</v>
      </c>
      <c r="BV142" s="138">
        <f t="shared" si="409"/>
        <v>0</v>
      </c>
      <c r="BW142" s="238">
        <f t="shared" si="410"/>
        <v>0.75</v>
      </c>
      <c r="BX142" s="216">
        <f t="shared" si="411"/>
        <v>0</v>
      </c>
      <c r="BY142" s="138">
        <f t="shared" si="412"/>
        <v>0</v>
      </c>
      <c r="BZ142" s="138">
        <f t="shared" si="413"/>
        <v>0</v>
      </c>
      <c r="CA142" s="238">
        <f t="shared" si="414"/>
        <v>2.3622047244094495E-2</v>
      </c>
      <c r="CB142" s="138">
        <f t="shared" si="415"/>
        <v>0</v>
      </c>
      <c r="CC142" s="138">
        <f t="shared" si="416"/>
        <v>0</v>
      </c>
      <c r="CD142" s="138">
        <f t="shared" si="417"/>
        <v>0</v>
      </c>
      <c r="CE142" s="238">
        <f t="shared" si="418"/>
        <v>2.3622047244094495E-2</v>
      </c>
      <c r="CF142" s="216">
        <f t="shared" si="419"/>
        <v>0</v>
      </c>
      <c r="CG142" s="138">
        <f t="shared" si="420"/>
        <v>0</v>
      </c>
      <c r="CH142" s="138">
        <f t="shared" si="421"/>
        <v>0</v>
      </c>
      <c r="CI142" s="238">
        <f t="shared" si="422"/>
        <v>1.5748031496062995E-2</v>
      </c>
      <c r="CJ142" s="138">
        <f t="shared" si="423"/>
        <v>0</v>
      </c>
      <c r="CK142" s="138">
        <f t="shared" si="424"/>
        <v>0</v>
      </c>
      <c r="CL142" s="138">
        <f t="shared" si="425"/>
        <v>0</v>
      </c>
      <c r="CM142" s="238">
        <f t="shared" si="426"/>
        <v>1.5748031496062995E-2</v>
      </c>
      <c r="CN142" s="17">
        <f t="shared" si="427"/>
        <v>0.75</v>
      </c>
      <c r="CO142" s="17">
        <f t="shared" si="428"/>
        <v>2.3622047244094495E-2</v>
      </c>
      <c r="CP142" s="17">
        <f t="shared" si="429"/>
        <v>1.5748031496062995E-2</v>
      </c>
      <c r="CQ142" s="17">
        <f>$U142-IF('Inputs-Imperial'!$E$13,0,2)*($CO142+$CN142+$CP142)</f>
        <v>7.8317719041600009</v>
      </c>
      <c r="CR142" s="116">
        <f t="shared" si="430"/>
        <v>3722.5177002141641</v>
      </c>
      <c r="CS142" s="8">
        <f t="shared" si="324"/>
        <v>9.6246786192605488E-2</v>
      </c>
      <c r="CT142" s="8">
        <f t="shared" si="431"/>
        <v>0.31023666158693347</v>
      </c>
      <c r="CU142" s="8">
        <f t="shared" si="325"/>
        <v>9.6246786192605488E-2</v>
      </c>
      <c r="CV142" s="8">
        <f t="shared" si="432"/>
        <v>0.31023666158693347</v>
      </c>
      <c r="CW142" s="216">
        <f t="shared" si="433"/>
        <v>7.5215352425730666</v>
      </c>
      <c r="CX142" s="116">
        <f t="shared" si="434"/>
        <v>3876.0583573762842</v>
      </c>
      <c r="CY142" s="8">
        <f t="shared" si="435"/>
        <v>0.10021662488562352</v>
      </c>
      <c r="CZ142" s="8">
        <f t="shared" si="436"/>
        <v>0.31657009474304981</v>
      </c>
      <c r="DA142" s="8">
        <f t="shared" si="437"/>
        <v>0.10021662488562352</v>
      </c>
      <c r="DB142" s="8">
        <f t="shared" si="438"/>
        <v>0.31657009474304981</v>
      </c>
      <c r="DC142" s="216">
        <f t="shared" si="439"/>
        <v>7.5152018094169515</v>
      </c>
      <c r="DD142" s="116">
        <f t="shared" si="440"/>
        <v>3879.3249039226303</v>
      </c>
      <c r="DE142" s="8">
        <f t="shared" si="441"/>
        <v>0.10030108240398973</v>
      </c>
      <c r="DF142" s="8">
        <f t="shared" si="442"/>
        <v>0.31670346130724514</v>
      </c>
      <c r="DG142" s="8">
        <f t="shared" si="443"/>
        <v>0.10030108240398973</v>
      </c>
      <c r="DH142" s="8">
        <f t="shared" si="444"/>
        <v>0.31670346130724514</v>
      </c>
      <c r="DI142" s="216">
        <f t="shared" si="445"/>
        <v>7.5150684428527557</v>
      </c>
      <c r="DJ142" s="116">
        <f t="shared" si="446"/>
        <v>3879.393748569591</v>
      </c>
      <c r="DK142" s="8">
        <f t="shared" si="447"/>
        <v>0.10030286240251496</v>
      </c>
      <c r="DL142" s="8">
        <f t="shared" si="448"/>
        <v>0.31670627149223768</v>
      </c>
      <c r="DM142" s="8">
        <f t="shared" si="449"/>
        <v>0.10030286240251496</v>
      </c>
      <c r="DN142" s="8">
        <f t="shared" si="450"/>
        <v>0.31670627149223768</v>
      </c>
      <c r="DO142" s="216">
        <f t="shared" si="451"/>
        <v>7.5150656326677625</v>
      </c>
      <c r="DP142" s="116">
        <f t="shared" si="452"/>
        <v>3879.3951992307866</v>
      </c>
      <c r="DQ142" s="170">
        <f t="shared" si="453"/>
        <v>0.10030289990978536</v>
      </c>
      <c r="DR142" s="8">
        <f t="shared" si="454"/>
        <v>0.31670633070683218</v>
      </c>
      <c r="DS142" s="8">
        <f t="shared" si="455"/>
        <v>0.10030289990978536</v>
      </c>
      <c r="DT142" s="134">
        <f t="shared" si="456"/>
        <v>0.31670633070683218</v>
      </c>
      <c r="DU142" s="170">
        <f t="shared" si="563"/>
        <v>0.12489389406218925</v>
      </c>
      <c r="DV142" s="170">
        <f t="shared" si="563"/>
        <v>0.35340330227968902</v>
      </c>
      <c r="DW142" s="170">
        <f t="shared" si="563"/>
        <v>0.12489389406218925</v>
      </c>
      <c r="DX142" s="272">
        <f t="shared" si="563"/>
        <v>0.35340330227968902</v>
      </c>
      <c r="DY142" s="272">
        <f t="shared" si="457"/>
        <v>7.1249652996006221</v>
      </c>
      <c r="DZ142" s="22">
        <f t="shared" si="326"/>
        <v>147.21557154923215</v>
      </c>
      <c r="EA142" s="216">
        <f t="shared" si="327"/>
        <v>9.644951266773432E-3</v>
      </c>
      <c r="EB142" s="12">
        <f t="shared" si="458"/>
        <v>2</v>
      </c>
      <c r="EC142" s="7">
        <f>ROUND(MAX(DV142,DX142)/'Inputs-Imperial'!$E$21,0)</f>
        <v>3</v>
      </c>
      <c r="ED142" s="12">
        <f t="shared" si="459"/>
        <v>3</v>
      </c>
      <c r="EE142" s="2">
        <f t="shared" si="460"/>
        <v>2</v>
      </c>
      <c r="EF142" s="127">
        <f t="shared" si="461"/>
        <v>2</v>
      </c>
      <c r="EG142" s="2">
        <f t="shared" si="462"/>
        <v>1.5748031496062995E-2</v>
      </c>
      <c r="EH142" s="8">
        <f t="shared" si="328"/>
        <v>0.10150138001712114</v>
      </c>
      <c r="EI142" s="138">
        <f t="shared" si="463"/>
        <v>0.25</v>
      </c>
      <c r="EJ142" s="12">
        <f t="shared" si="329"/>
        <v>8413.3699140386161</v>
      </c>
      <c r="EK142" s="138">
        <f t="shared" si="464"/>
        <v>0.25</v>
      </c>
      <c r="EL142" s="116">
        <f t="shared" si="465"/>
        <v>2175570</v>
      </c>
      <c r="EM142" s="2">
        <f t="shared" si="330"/>
        <v>1.5748031496062995E-2</v>
      </c>
      <c r="EN142" s="8">
        <f t="shared" si="466"/>
        <v>7.8317719041600009</v>
      </c>
      <c r="EO142" s="116">
        <f t="shared" si="467"/>
        <v>2610.6840000000002</v>
      </c>
      <c r="EP142" s="217">
        <f t="shared" si="468"/>
        <v>0.26395793750838575</v>
      </c>
      <c r="EQ142" s="207">
        <f t="shared" si="469"/>
        <v>2.7676036567491824</v>
      </c>
      <c r="ER142" s="144">
        <f t="shared" si="470"/>
        <v>15138.284673687083</v>
      </c>
      <c r="ES142" s="138">
        <f t="shared" si="331"/>
        <v>0.25</v>
      </c>
      <c r="ET142" s="116">
        <f t="shared" si="471"/>
        <v>2175570</v>
      </c>
      <c r="EU142" s="2">
        <f t="shared" si="332"/>
        <v>1.5748031496062995E-2</v>
      </c>
      <c r="EV142" s="8">
        <f t="shared" si="472"/>
        <v>7.8317719041600009</v>
      </c>
      <c r="EW142" s="116">
        <f t="shared" si="473"/>
        <v>2610.6840000000002</v>
      </c>
      <c r="EX142" s="217">
        <f t="shared" si="474"/>
        <v>0.26395793750838575</v>
      </c>
      <c r="EY142" s="207">
        <f t="shared" si="475"/>
        <v>2.7676036567491824</v>
      </c>
      <c r="EZ142" s="144">
        <f t="shared" si="476"/>
        <v>15138.284673687083</v>
      </c>
      <c r="FA142" s="138">
        <f t="shared" si="333"/>
        <v>0.25</v>
      </c>
      <c r="FB142" s="116">
        <f t="shared" si="477"/>
        <v>2175570</v>
      </c>
      <c r="FC142" s="2">
        <f t="shared" si="334"/>
        <v>1.5748031496062995E-2</v>
      </c>
      <c r="FD142" s="8">
        <f t="shared" si="478"/>
        <v>7.8317719041600009</v>
      </c>
      <c r="FE142" s="116">
        <f t="shared" si="479"/>
        <v>2610.6840000000002</v>
      </c>
      <c r="FF142" s="217">
        <f t="shared" si="480"/>
        <v>0.26395793750838575</v>
      </c>
      <c r="FG142" s="207">
        <f t="shared" si="481"/>
        <v>2.7676036567491824</v>
      </c>
      <c r="FH142" s="144">
        <f t="shared" si="482"/>
        <v>15138.284673687083</v>
      </c>
      <c r="FI142" s="128">
        <f t="shared" si="483"/>
        <v>0.25</v>
      </c>
      <c r="FJ142" s="2">
        <f t="shared" si="484"/>
        <v>1.5748031496062995E-2</v>
      </c>
      <c r="FK142" s="127">
        <f t="shared" si="485"/>
        <v>1.5748031496062995E-2</v>
      </c>
      <c r="FL142" s="216">
        <f t="shared" si="486"/>
        <v>0</v>
      </c>
      <c r="FM142" s="138">
        <f t="shared" si="487"/>
        <v>0</v>
      </c>
      <c r="FN142" s="138">
        <f t="shared" si="488"/>
        <v>0</v>
      </c>
      <c r="FO142" s="238">
        <f t="shared" si="489"/>
        <v>0.25</v>
      </c>
      <c r="FP142" s="216">
        <f t="shared" si="335"/>
        <v>0</v>
      </c>
      <c r="FQ142" s="138">
        <f t="shared" si="336"/>
        <v>0</v>
      </c>
      <c r="FR142" s="138">
        <f t="shared" si="337"/>
        <v>0</v>
      </c>
      <c r="FS142" s="238">
        <f t="shared" si="338"/>
        <v>0.25</v>
      </c>
      <c r="FT142" s="216">
        <f t="shared" si="490"/>
        <v>0</v>
      </c>
      <c r="FU142" s="138">
        <f t="shared" si="491"/>
        <v>0</v>
      </c>
      <c r="FV142" s="138">
        <f t="shared" si="492"/>
        <v>0</v>
      </c>
      <c r="FW142" s="238">
        <f t="shared" si="493"/>
        <v>1.5748031496062995E-2</v>
      </c>
      <c r="FX142" s="216">
        <f t="shared" si="339"/>
        <v>0</v>
      </c>
      <c r="FY142" s="138">
        <f t="shared" si="340"/>
        <v>0</v>
      </c>
      <c r="FZ142" s="138">
        <f t="shared" si="341"/>
        <v>0</v>
      </c>
      <c r="GA142" s="238">
        <f t="shared" si="342"/>
        <v>2.3622047244094495E-2</v>
      </c>
      <c r="GB142" s="216">
        <f t="shared" si="494"/>
        <v>0</v>
      </c>
      <c r="GC142" s="138">
        <f t="shared" si="495"/>
        <v>0</v>
      </c>
      <c r="GD142" s="138">
        <f t="shared" si="496"/>
        <v>0</v>
      </c>
      <c r="GE142" s="238">
        <f t="shared" si="497"/>
        <v>1.5748031496062995E-2</v>
      </c>
      <c r="GF142" s="216">
        <f t="shared" si="343"/>
        <v>0</v>
      </c>
      <c r="GG142" s="138">
        <f t="shared" si="344"/>
        <v>0</v>
      </c>
      <c r="GH142" s="138">
        <f t="shared" si="345"/>
        <v>0</v>
      </c>
      <c r="GI142" s="238">
        <f t="shared" si="346"/>
        <v>2.3622047244094495E-2</v>
      </c>
      <c r="GJ142" s="216">
        <f t="shared" si="498"/>
        <v>0.25</v>
      </c>
      <c r="GK142" s="216">
        <f t="shared" si="499"/>
        <v>2.3622047244094495E-2</v>
      </c>
      <c r="GL142" s="17">
        <f t="shared" si="500"/>
        <v>2.3622047244094495E-2</v>
      </c>
      <c r="GM142" s="216">
        <f t="shared" si="347"/>
        <v>4.6128703329524562E-3</v>
      </c>
      <c r="GN142" s="2">
        <f t="shared" si="501"/>
        <v>1</v>
      </c>
      <c r="GO142" s="2">
        <f t="shared" si="502"/>
        <v>2</v>
      </c>
      <c r="GP142" s="142">
        <f t="shared" si="503"/>
        <v>2</v>
      </c>
      <c r="GQ142" s="2">
        <f t="shared" si="504"/>
        <v>1.5748031496062995E-2</v>
      </c>
      <c r="GR142" s="8">
        <f t="shared" si="348"/>
        <v>4.8544849184224498E-2</v>
      </c>
      <c r="GS142" s="138">
        <f t="shared" si="505"/>
        <v>0.25</v>
      </c>
      <c r="GT142" s="12">
        <f t="shared" si="349"/>
        <v>4023.8445382634568</v>
      </c>
      <c r="GU142" s="138">
        <f t="shared" si="506"/>
        <v>0.25</v>
      </c>
      <c r="GV142" s="116">
        <f t="shared" si="507"/>
        <v>2175570</v>
      </c>
      <c r="GW142" s="2">
        <f t="shared" si="350"/>
        <v>1.5748031496062995E-2</v>
      </c>
      <c r="GX142" s="8">
        <f t="shared" si="351"/>
        <v>3.9158859520800005</v>
      </c>
      <c r="GY142" s="116">
        <f t="shared" si="508"/>
        <v>2610.6840000000002</v>
      </c>
      <c r="GZ142" s="217">
        <f t="shared" si="509"/>
        <v>1.055831750033543</v>
      </c>
      <c r="HA142" s="207">
        <f t="shared" si="510"/>
        <v>2</v>
      </c>
      <c r="HB142" s="144">
        <f t="shared" si="511"/>
        <v>43758.533522010039</v>
      </c>
      <c r="HC142" s="138">
        <f t="shared" si="352"/>
        <v>0.25</v>
      </c>
      <c r="HD142" s="116">
        <f t="shared" si="512"/>
        <v>2175570</v>
      </c>
      <c r="HE142" s="2">
        <f t="shared" si="353"/>
        <v>1.5748031496062995E-2</v>
      </c>
      <c r="HF142" s="8">
        <f t="shared" si="513"/>
        <v>3.9158859520800005</v>
      </c>
      <c r="HG142" s="116">
        <f t="shared" si="514"/>
        <v>2610.6840000000002</v>
      </c>
      <c r="HH142" s="217">
        <f t="shared" si="515"/>
        <v>1.055831750033543</v>
      </c>
      <c r="HI142" s="207">
        <f t="shared" si="516"/>
        <v>2</v>
      </c>
      <c r="HJ142" s="144">
        <f t="shared" si="517"/>
        <v>43758.533522010039</v>
      </c>
      <c r="HK142" s="138">
        <f t="shared" si="354"/>
        <v>0.25</v>
      </c>
      <c r="HL142" s="116">
        <f t="shared" si="518"/>
        <v>2175570</v>
      </c>
      <c r="HM142" s="2">
        <f t="shared" si="355"/>
        <v>1.5748031496062995E-2</v>
      </c>
      <c r="HN142" s="8">
        <f t="shared" si="519"/>
        <v>3.9158859520800005</v>
      </c>
      <c r="HO142" s="116">
        <f t="shared" si="520"/>
        <v>2610.6840000000002</v>
      </c>
      <c r="HP142" s="217">
        <f t="shared" si="521"/>
        <v>1.055831750033543</v>
      </c>
      <c r="HQ142" s="207">
        <f t="shared" si="522"/>
        <v>2</v>
      </c>
      <c r="HR142" s="144">
        <f t="shared" si="523"/>
        <v>43758.533522010039</v>
      </c>
      <c r="HS142" s="128">
        <f t="shared" si="524"/>
        <v>0.25</v>
      </c>
      <c r="HT142" s="2">
        <f t="shared" si="525"/>
        <v>1.5748031496062995E-2</v>
      </c>
      <c r="HU142" s="127">
        <f t="shared" si="526"/>
        <v>1.5748031496062995E-2</v>
      </c>
      <c r="HV142" s="216">
        <f t="shared" si="527"/>
        <v>0</v>
      </c>
      <c r="HW142" s="138">
        <f t="shared" si="528"/>
        <v>0</v>
      </c>
      <c r="HX142" s="138">
        <f t="shared" si="529"/>
        <v>0</v>
      </c>
      <c r="HY142" s="238">
        <f t="shared" si="530"/>
        <v>0.25</v>
      </c>
      <c r="HZ142" s="138">
        <f t="shared" si="531"/>
        <v>0</v>
      </c>
      <c r="IA142" s="138">
        <f t="shared" si="532"/>
        <v>0</v>
      </c>
      <c r="IB142" s="138">
        <f t="shared" si="533"/>
        <v>0</v>
      </c>
      <c r="IC142" s="138">
        <f t="shared" si="534"/>
        <v>0.25</v>
      </c>
      <c r="ID142" s="216">
        <f t="shared" si="535"/>
        <v>0</v>
      </c>
      <c r="IE142" s="138">
        <f t="shared" si="536"/>
        <v>0</v>
      </c>
      <c r="IF142" s="138">
        <f t="shared" si="537"/>
        <v>0</v>
      </c>
      <c r="IG142" s="238">
        <f t="shared" si="538"/>
        <v>1.5748031496062995E-2</v>
      </c>
      <c r="IH142" s="138">
        <f t="shared" si="539"/>
        <v>0</v>
      </c>
      <c r="II142" s="138">
        <f t="shared" si="540"/>
        <v>0</v>
      </c>
      <c r="IJ142" s="138">
        <f t="shared" si="541"/>
        <v>0</v>
      </c>
      <c r="IK142" s="138">
        <f t="shared" si="542"/>
        <v>1.5748031496062995E-2</v>
      </c>
      <c r="IL142" s="216">
        <f t="shared" si="543"/>
        <v>0</v>
      </c>
      <c r="IM142" s="138">
        <f t="shared" si="544"/>
        <v>0</v>
      </c>
      <c r="IN142" s="138">
        <f t="shared" si="545"/>
        <v>0</v>
      </c>
      <c r="IO142" s="238">
        <f t="shared" si="546"/>
        <v>1.5748031496062995E-2</v>
      </c>
      <c r="IP142" s="138">
        <f t="shared" si="547"/>
        <v>0</v>
      </c>
      <c r="IQ142" s="138">
        <f t="shared" si="548"/>
        <v>0</v>
      </c>
      <c r="IR142" s="138">
        <f t="shared" si="549"/>
        <v>0</v>
      </c>
      <c r="IS142" s="138">
        <f t="shared" si="550"/>
        <v>1.5748031496062995E-2</v>
      </c>
      <c r="IT142" s="17">
        <f t="shared" si="551"/>
        <v>0.25</v>
      </c>
      <c r="IU142" s="17">
        <f t="shared" si="552"/>
        <v>1.5748031496062995E-2</v>
      </c>
      <c r="IV142" s="17">
        <f t="shared" si="553"/>
        <v>1.5748031496062995E-2</v>
      </c>
      <c r="IW142" s="253">
        <f t="shared" si="554"/>
        <v>21.754921956000004</v>
      </c>
      <c r="IX142" s="116">
        <f t="shared" si="356"/>
        <v>134.01063720770989</v>
      </c>
      <c r="IY142" s="8">
        <f t="shared" si="357"/>
        <v>3.4648843029337971E-3</v>
      </c>
      <c r="IZ142" s="8">
        <f t="shared" si="555"/>
        <v>3.4648843029337971E-3</v>
      </c>
      <c r="JA142" s="8">
        <f t="shared" si="556"/>
        <v>1.7324421514668985E-3</v>
      </c>
      <c r="JB142" s="134">
        <f t="shared" si="557"/>
        <v>4.1622615865258859E-2</v>
      </c>
      <c r="JC142" s="170">
        <f t="shared" si="564"/>
        <v>2.1476328638547018E-3</v>
      </c>
      <c r="JD142" s="272">
        <f t="shared" si="565"/>
        <v>4.6342559962249626E-2</v>
      </c>
      <c r="JE142" s="8"/>
      <c r="JF142" s="8"/>
    </row>
    <row r="143" spans="1:266" x14ac:dyDescent="0.25">
      <c r="A143" s="186">
        <v>83</v>
      </c>
      <c r="B143" s="187">
        <f>A143/100*'Inputs-Imperial'!$E$5</f>
        <v>19.987533447999997</v>
      </c>
      <c r="C143" s="188">
        <f>'Inputs-Imperial'!$E$10+('Inputs-Imperial'!$E$9-'Inputs-Imperial'!$E$10)*(100-A143)/100</f>
        <v>3.6080217690000005</v>
      </c>
      <c r="D143" s="187">
        <f t="shared" si="558"/>
        <v>0.24081365600000026</v>
      </c>
      <c r="E143" s="188">
        <f t="shared" si="559"/>
        <v>0.87100398091182574</v>
      </c>
      <c r="F143" s="423">
        <f>Loads!P103</f>
        <v>107.6176216828576</v>
      </c>
      <c r="G143" s="423">
        <f>Loads!M103</f>
        <v>1076.1762168285759</v>
      </c>
      <c r="H143" s="423">
        <f>Loads!N103</f>
        <v>2151.8442431054891</v>
      </c>
      <c r="I143" s="423">
        <f>Loads!V103</f>
        <v>-1627.4864295441027</v>
      </c>
      <c r="J143" s="423">
        <f>Loads!Q103</f>
        <v>215.18442431054888</v>
      </c>
      <c r="K143" s="2">
        <v>83</v>
      </c>
      <c r="L143" s="12">
        <f t="shared" si="358"/>
        <v>239.85040137599998</v>
      </c>
      <c r="M143" s="11">
        <f t="shared" si="359"/>
        <v>43.296261228000006</v>
      </c>
      <c r="N143" s="11">
        <f t="shared" si="360"/>
        <v>2.8897638720000032</v>
      </c>
      <c r="O143" s="152">
        <f t="shared" si="361"/>
        <v>125.42457325130292</v>
      </c>
      <c r="P143" s="151">
        <f t="shared" si="362"/>
        <v>107.6176216828576</v>
      </c>
      <c r="Q143" s="12">
        <f t="shared" si="363"/>
        <v>1076.1762168285759</v>
      </c>
      <c r="R143" s="12">
        <f t="shared" si="364"/>
        <v>25822.130917265869</v>
      </c>
      <c r="S143" s="12">
        <f t="shared" si="365"/>
        <v>-19529.837154529232</v>
      </c>
      <c r="T143" s="152">
        <f t="shared" si="366"/>
        <v>2582.2130917265868</v>
      </c>
      <c r="U143" s="8">
        <f t="shared" si="313"/>
        <v>7.7933270210400005</v>
      </c>
      <c r="V143" s="8">
        <f t="shared" si="314"/>
        <v>7.7933270210400005</v>
      </c>
      <c r="W143" s="134">
        <f t="shared" si="315"/>
        <v>3.8966635105200003</v>
      </c>
      <c r="X143" s="311">
        <f t="shared" si="316"/>
        <v>10.824065307000001</v>
      </c>
      <c r="Y143" s="11">
        <f t="shared" si="317"/>
        <v>32.472195921000008</v>
      </c>
      <c r="Z143" s="11">
        <f t="shared" si="318"/>
        <v>21.648130614000006</v>
      </c>
      <c r="AA143" s="316">
        <f t="shared" si="367"/>
        <v>32.472195921000008</v>
      </c>
      <c r="AB143" s="170">
        <f t="shared" si="368"/>
        <v>5.8449952657800006</v>
      </c>
      <c r="AC143" s="11">
        <f t="shared" si="369"/>
        <v>32.472195921000008</v>
      </c>
      <c r="AD143" s="152">
        <f t="shared" si="370"/>
        <v>149.06843901648105</v>
      </c>
      <c r="AE143" s="151">
        <f t="shared" si="319"/>
        <v>3.3141467224660497</v>
      </c>
      <c r="AF143" s="12">
        <f t="shared" si="320"/>
        <v>65.506277798917608</v>
      </c>
      <c r="AG143" s="216">
        <f t="shared" si="321"/>
        <v>4.5088276578502118E-3</v>
      </c>
      <c r="AH143" s="2">
        <f t="shared" si="371"/>
        <v>1</v>
      </c>
      <c r="AI143" s="2">
        <f t="shared" si="372"/>
        <v>3</v>
      </c>
      <c r="AJ143" s="127">
        <f t="shared" si="373"/>
        <v>2</v>
      </c>
      <c r="AK143" s="2">
        <f t="shared" si="374"/>
        <v>1.5748031496062995E-2</v>
      </c>
      <c r="AL143" s="8">
        <f t="shared" si="322"/>
        <v>4.7449926585711094E-2</v>
      </c>
      <c r="AM143" s="138">
        <f t="shared" si="375"/>
        <v>0.25</v>
      </c>
      <c r="AN143" s="12">
        <f t="shared" si="323"/>
        <v>3933.0872613970755</v>
      </c>
      <c r="AO143" s="138">
        <f t="shared" si="376"/>
        <v>0.25</v>
      </c>
      <c r="AP143" s="116">
        <f t="shared" si="377"/>
        <v>2175570</v>
      </c>
      <c r="AQ143" s="2">
        <f t="shared" si="378"/>
        <v>1.5748031496062995E-2</v>
      </c>
      <c r="AR143" s="8">
        <f t="shared" si="379"/>
        <v>21.648130614000006</v>
      </c>
      <c r="AS143" s="116">
        <f t="shared" si="380"/>
        <v>2610.6840000000002</v>
      </c>
      <c r="AT143" s="217">
        <f t="shared" si="381"/>
        <v>3.4547290183357317E-2</v>
      </c>
      <c r="AU143" s="207">
        <f t="shared" si="382"/>
        <v>4.7271176104507937</v>
      </c>
      <c r="AV143" s="144">
        <f t="shared" si="383"/>
        <v>3384.1409361342717</v>
      </c>
      <c r="AW143" s="138">
        <f t="shared" si="384"/>
        <v>0.5</v>
      </c>
      <c r="AX143" s="116">
        <f t="shared" si="385"/>
        <v>2175570</v>
      </c>
      <c r="AY143" s="2">
        <f t="shared" si="386"/>
        <v>1.5748031496062995E-2</v>
      </c>
      <c r="AZ143" s="8">
        <f t="shared" si="387"/>
        <v>21.648130614000006</v>
      </c>
      <c r="BA143" s="116">
        <f t="shared" si="388"/>
        <v>2610.6840000000002</v>
      </c>
      <c r="BB143" s="217">
        <f t="shared" si="389"/>
        <v>6.9094580366714634E-2</v>
      </c>
      <c r="BC143" s="207">
        <f t="shared" si="390"/>
        <v>4.251484291731626</v>
      </c>
      <c r="BD143" s="144">
        <f t="shared" si="391"/>
        <v>12174.541203859544</v>
      </c>
      <c r="BE143" s="138">
        <f t="shared" si="392"/>
        <v>0.5</v>
      </c>
      <c r="BF143" s="116">
        <f t="shared" si="393"/>
        <v>2175570</v>
      </c>
      <c r="BG143" s="2">
        <f t="shared" si="394"/>
        <v>1.5748031496062995E-2</v>
      </c>
      <c r="BH143" s="8">
        <f t="shared" si="395"/>
        <v>21.648130614000006</v>
      </c>
      <c r="BI143" s="116">
        <f t="shared" si="396"/>
        <v>2610.6840000000002</v>
      </c>
      <c r="BJ143" s="217">
        <f t="shared" si="397"/>
        <v>6.9094580366714634E-2</v>
      </c>
      <c r="BK143" s="207">
        <f t="shared" si="398"/>
        <v>4.251484291731626</v>
      </c>
      <c r="BL143" s="144">
        <f t="shared" si="399"/>
        <v>12174.541203859544</v>
      </c>
      <c r="BM143" s="216">
        <f t="shared" si="400"/>
        <v>0.5</v>
      </c>
      <c r="BN143" s="216">
        <f t="shared" si="401"/>
        <v>2.3622047244094495E-2</v>
      </c>
      <c r="BO143" s="238">
        <f t="shared" si="402"/>
        <v>1.5748031496062995E-2</v>
      </c>
      <c r="BP143" s="216">
        <f t="shared" si="403"/>
        <v>0</v>
      </c>
      <c r="BQ143" s="138">
        <f t="shared" si="404"/>
        <v>0</v>
      </c>
      <c r="BR143" s="138">
        <f t="shared" si="405"/>
        <v>0</v>
      </c>
      <c r="BS143" s="238">
        <f t="shared" si="406"/>
        <v>0.5</v>
      </c>
      <c r="BT143" s="138">
        <f t="shared" si="407"/>
        <v>0</v>
      </c>
      <c r="BU143" s="138">
        <f t="shared" si="408"/>
        <v>0</v>
      </c>
      <c r="BV143" s="138">
        <f t="shared" si="409"/>
        <v>0</v>
      </c>
      <c r="BW143" s="238">
        <f t="shared" si="410"/>
        <v>0.75</v>
      </c>
      <c r="BX143" s="216">
        <f t="shared" si="411"/>
        <v>0</v>
      </c>
      <c r="BY143" s="138">
        <f t="shared" si="412"/>
        <v>0</v>
      </c>
      <c r="BZ143" s="138">
        <f t="shared" si="413"/>
        <v>0</v>
      </c>
      <c r="CA143" s="238">
        <f t="shared" si="414"/>
        <v>2.3622047244094495E-2</v>
      </c>
      <c r="CB143" s="138">
        <f t="shared" si="415"/>
        <v>0</v>
      </c>
      <c r="CC143" s="138">
        <f t="shared" si="416"/>
        <v>0</v>
      </c>
      <c r="CD143" s="138">
        <f t="shared" si="417"/>
        <v>0</v>
      </c>
      <c r="CE143" s="238">
        <f t="shared" si="418"/>
        <v>2.3622047244094495E-2</v>
      </c>
      <c r="CF143" s="216">
        <f t="shared" si="419"/>
        <v>0</v>
      </c>
      <c r="CG143" s="138">
        <f t="shared" si="420"/>
        <v>0</v>
      </c>
      <c r="CH143" s="138">
        <f t="shared" si="421"/>
        <v>0</v>
      </c>
      <c r="CI143" s="238">
        <f t="shared" si="422"/>
        <v>1.5748031496062995E-2</v>
      </c>
      <c r="CJ143" s="138">
        <f t="shared" si="423"/>
        <v>0</v>
      </c>
      <c r="CK143" s="138">
        <f t="shared" si="424"/>
        <v>0</v>
      </c>
      <c r="CL143" s="138">
        <f t="shared" si="425"/>
        <v>0</v>
      </c>
      <c r="CM143" s="238">
        <f t="shared" si="426"/>
        <v>1.5748031496062995E-2</v>
      </c>
      <c r="CN143" s="17">
        <f t="shared" si="427"/>
        <v>0.75</v>
      </c>
      <c r="CO143" s="17">
        <f t="shared" si="428"/>
        <v>2.3622047244094495E-2</v>
      </c>
      <c r="CP143" s="17">
        <f t="shared" si="429"/>
        <v>1.5748031496062995E-2</v>
      </c>
      <c r="CQ143" s="17">
        <f>$U143-IF('Inputs-Imperial'!$E$13,0,2)*($CO143+$CN143+$CP143)</f>
        <v>7.7933270210400005</v>
      </c>
      <c r="CR143" s="116">
        <f t="shared" si="430"/>
        <v>3313.364221410533</v>
      </c>
      <c r="CS143" s="8">
        <f t="shared" si="324"/>
        <v>8.5668003077052204E-2</v>
      </c>
      <c r="CT143" s="8">
        <f t="shared" si="431"/>
        <v>0.29269096856078802</v>
      </c>
      <c r="CU143" s="8">
        <f t="shared" si="325"/>
        <v>8.5668003077052204E-2</v>
      </c>
      <c r="CV143" s="8">
        <f t="shared" si="432"/>
        <v>0.29269096856078802</v>
      </c>
      <c r="CW143" s="216">
        <f t="shared" si="433"/>
        <v>7.5006360524792131</v>
      </c>
      <c r="CX143" s="116">
        <f t="shared" si="434"/>
        <v>3442.6588274111482</v>
      </c>
      <c r="CY143" s="8">
        <f t="shared" si="435"/>
        <v>8.9010953010878566E-2</v>
      </c>
      <c r="CZ143" s="8">
        <f t="shared" si="436"/>
        <v>0.29834703452670441</v>
      </c>
      <c r="DA143" s="8">
        <f t="shared" si="437"/>
        <v>8.9010953010878566E-2</v>
      </c>
      <c r="DB143" s="8">
        <f t="shared" si="438"/>
        <v>0.29834703452670441</v>
      </c>
      <c r="DC143" s="216">
        <f t="shared" si="439"/>
        <v>7.4949799865132958</v>
      </c>
      <c r="DD143" s="116">
        <f t="shared" si="440"/>
        <v>3445.2568203959222</v>
      </c>
      <c r="DE143" s="8">
        <f t="shared" si="441"/>
        <v>8.9078124880960216E-2</v>
      </c>
      <c r="DF143" s="8">
        <f t="shared" si="442"/>
        <v>0.29845958667960426</v>
      </c>
      <c r="DG143" s="8">
        <f t="shared" si="443"/>
        <v>8.9078124880960216E-2</v>
      </c>
      <c r="DH143" s="8">
        <f t="shared" si="444"/>
        <v>0.29845958667960426</v>
      </c>
      <c r="DI143" s="216">
        <f t="shared" si="445"/>
        <v>7.4948674343603967</v>
      </c>
      <c r="DJ143" s="116">
        <f t="shared" si="446"/>
        <v>3445.3085586122179</v>
      </c>
      <c r="DK143" s="8">
        <f t="shared" si="447"/>
        <v>8.9079462587706784E-2</v>
      </c>
      <c r="DL143" s="8">
        <f t="shared" si="448"/>
        <v>0.2984618276894162</v>
      </c>
      <c r="DM143" s="8">
        <f t="shared" si="449"/>
        <v>8.9079462587706784E-2</v>
      </c>
      <c r="DN143" s="8">
        <f t="shared" si="450"/>
        <v>0.2984618276894162</v>
      </c>
      <c r="DO143" s="216">
        <f t="shared" si="451"/>
        <v>7.4948651933505843</v>
      </c>
      <c r="DP143" s="116">
        <f t="shared" si="452"/>
        <v>3445.3095887802178</v>
      </c>
      <c r="DQ143" s="170">
        <f t="shared" si="453"/>
        <v>8.9079489223002351E-2</v>
      </c>
      <c r="DR143" s="8">
        <f t="shared" si="454"/>
        <v>0.29846187231035448</v>
      </c>
      <c r="DS143" s="8">
        <f t="shared" si="455"/>
        <v>8.9079489223002351E-2</v>
      </c>
      <c r="DT143" s="134">
        <f t="shared" si="456"/>
        <v>0.29846187231035448</v>
      </c>
      <c r="DU143" s="170">
        <f t="shared" si="563"/>
        <v>0.12489389406218925</v>
      </c>
      <c r="DV143" s="170">
        <f t="shared" si="563"/>
        <v>0.35340330227968902</v>
      </c>
      <c r="DW143" s="170">
        <f t="shared" si="563"/>
        <v>0.12489389406218925</v>
      </c>
      <c r="DX143" s="272">
        <f t="shared" si="563"/>
        <v>0.35340330227968902</v>
      </c>
      <c r="DY143" s="272">
        <f t="shared" si="457"/>
        <v>7.0865204164806217</v>
      </c>
      <c r="DZ143" s="22">
        <f t="shared" si="326"/>
        <v>138.08944676941874</v>
      </c>
      <c r="EA143" s="216">
        <f t="shared" si="327"/>
        <v>9.0470455708643715E-3</v>
      </c>
      <c r="EB143" s="12">
        <f t="shared" si="458"/>
        <v>2</v>
      </c>
      <c r="EC143" s="7">
        <f>ROUND(MAX(DV143,DX143)/'Inputs-Imperial'!$E$21,0)</f>
        <v>3</v>
      </c>
      <c r="ED143" s="12">
        <f t="shared" si="459"/>
        <v>3</v>
      </c>
      <c r="EE143" s="2">
        <f t="shared" si="460"/>
        <v>2</v>
      </c>
      <c r="EF143" s="127">
        <f t="shared" si="461"/>
        <v>2</v>
      </c>
      <c r="EG143" s="2">
        <f t="shared" si="462"/>
        <v>1.5748031496062995E-2</v>
      </c>
      <c r="EH143" s="8">
        <f t="shared" si="328"/>
        <v>9.5209149856878006E-2</v>
      </c>
      <c r="EI143" s="138">
        <f t="shared" si="463"/>
        <v>0.25</v>
      </c>
      <c r="EJ143" s="12">
        <f t="shared" si="329"/>
        <v>7891.8118828722791</v>
      </c>
      <c r="EK143" s="138">
        <f t="shared" si="464"/>
        <v>0.25</v>
      </c>
      <c r="EL143" s="116">
        <f t="shared" si="465"/>
        <v>2175570</v>
      </c>
      <c r="EM143" s="2">
        <f t="shared" si="330"/>
        <v>1.5748031496062995E-2</v>
      </c>
      <c r="EN143" s="8">
        <f t="shared" si="466"/>
        <v>7.7933270210400005</v>
      </c>
      <c r="EO143" s="116">
        <f t="shared" si="467"/>
        <v>2610.6840000000002</v>
      </c>
      <c r="EP143" s="217">
        <f t="shared" si="468"/>
        <v>0.26656859709380659</v>
      </c>
      <c r="EQ143" s="207">
        <f t="shared" si="469"/>
        <v>2.7554500604588306</v>
      </c>
      <c r="ER143" s="144">
        <f t="shared" si="470"/>
        <v>15220.873498141649</v>
      </c>
      <c r="ES143" s="138">
        <f t="shared" si="331"/>
        <v>0.25</v>
      </c>
      <c r="ET143" s="116">
        <f t="shared" si="471"/>
        <v>2175570</v>
      </c>
      <c r="EU143" s="2">
        <f t="shared" si="332"/>
        <v>1.5748031496062995E-2</v>
      </c>
      <c r="EV143" s="8">
        <f t="shared" si="472"/>
        <v>7.7933270210400005</v>
      </c>
      <c r="EW143" s="116">
        <f t="shared" si="473"/>
        <v>2610.6840000000002</v>
      </c>
      <c r="EX143" s="217">
        <f t="shared" si="474"/>
        <v>0.26656859709380659</v>
      </c>
      <c r="EY143" s="207">
        <f t="shared" si="475"/>
        <v>2.7554500604588306</v>
      </c>
      <c r="EZ143" s="144">
        <f t="shared" si="476"/>
        <v>15220.873498141649</v>
      </c>
      <c r="FA143" s="138">
        <f t="shared" si="333"/>
        <v>0.25</v>
      </c>
      <c r="FB143" s="116">
        <f t="shared" si="477"/>
        <v>2175570</v>
      </c>
      <c r="FC143" s="2">
        <f t="shared" si="334"/>
        <v>1.5748031496062995E-2</v>
      </c>
      <c r="FD143" s="8">
        <f t="shared" si="478"/>
        <v>7.7933270210400005</v>
      </c>
      <c r="FE143" s="116">
        <f t="shared" si="479"/>
        <v>2610.6840000000002</v>
      </c>
      <c r="FF143" s="217">
        <f t="shared" si="480"/>
        <v>0.26656859709380659</v>
      </c>
      <c r="FG143" s="207">
        <f t="shared" si="481"/>
        <v>2.7554500604588306</v>
      </c>
      <c r="FH143" s="144">
        <f t="shared" si="482"/>
        <v>15220.873498141649</v>
      </c>
      <c r="FI143" s="128">
        <f t="shared" si="483"/>
        <v>0.25</v>
      </c>
      <c r="FJ143" s="2">
        <f t="shared" si="484"/>
        <v>1.5748031496062995E-2</v>
      </c>
      <c r="FK143" s="127">
        <f t="shared" si="485"/>
        <v>1.5748031496062995E-2</v>
      </c>
      <c r="FL143" s="216">
        <f t="shared" si="486"/>
        <v>0</v>
      </c>
      <c r="FM143" s="138">
        <f t="shared" si="487"/>
        <v>0</v>
      </c>
      <c r="FN143" s="138">
        <f t="shared" si="488"/>
        <v>0</v>
      </c>
      <c r="FO143" s="238">
        <f t="shared" si="489"/>
        <v>0.25</v>
      </c>
      <c r="FP143" s="216">
        <f t="shared" si="335"/>
        <v>0</v>
      </c>
      <c r="FQ143" s="138">
        <f t="shared" si="336"/>
        <v>0</v>
      </c>
      <c r="FR143" s="138">
        <f t="shared" si="337"/>
        <v>0</v>
      </c>
      <c r="FS143" s="238">
        <f t="shared" si="338"/>
        <v>0.25</v>
      </c>
      <c r="FT143" s="216">
        <f t="shared" si="490"/>
        <v>0</v>
      </c>
      <c r="FU143" s="138">
        <f t="shared" si="491"/>
        <v>0</v>
      </c>
      <c r="FV143" s="138">
        <f t="shared" si="492"/>
        <v>0</v>
      </c>
      <c r="FW143" s="238">
        <f t="shared" si="493"/>
        <v>1.5748031496062995E-2</v>
      </c>
      <c r="FX143" s="216">
        <f t="shared" si="339"/>
        <v>0</v>
      </c>
      <c r="FY143" s="138">
        <f t="shared" si="340"/>
        <v>0</v>
      </c>
      <c r="FZ143" s="138">
        <f t="shared" si="341"/>
        <v>0</v>
      </c>
      <c r="GA143" s="238">
        <f t="shared" si="342"/>
        <v>2.3622047244094495E-2</v>
      </c>
      <c r="GB143" s="216">
        <f t="shared" si="494"/>
        <v>0</v>
      </c>
      <c r="GC143" s="138">
        <f t="shared" si="495"/>
        <v>0</v>
      </c>
      <c r="GD143" s="138">
        <f t="shared" si="496"/>
        <v>0</v>
      </c>
      <c r="GE143" s="238">
        <f t="shared" si="497"/>
        <v>1.5748031496062995E-2</v>
      </c>
      <c r="GF143" s="216">
        <f t="shared" si="343"/>
        <v>0</v>
      </c>
      <c r="GG143" s="138">
        <f t="shared" si="344"/>
        <v>0</v>
      </c>
      <c r="GH143" s="138">
        <f t="shared" si="345"/>
        <v>0</v>
      </c>
      <c r="GI143" s="238">
        <f t="shared" si="346"/>
        <v>2.3622047244094495E-2</v>
      </c>
      <c r="GJ143" s="216">
        <f t="shared" si="498"/>
        <v>0.25</v>
      </c>
      <c r="GK143" s="216">
        <f t="shared" si="499"/>
        <v>2.3622047244094495E-2</v>
      </c>
      <c r="GL143" s="17">
        <f t="shared" si="500"/>
        <v>2.3622047244094495E-2</v>
      </c>
      <c r="GM143" s="216">
        <f t="shared" si="347"/>
        <v>4.2916985641494668E-3</v>
      </c>
      <c r="GN143" s="2">
        <f t="shared" si="501"/>
        <v>1</v>
      </c>
      <c r="GO143" s="2">
        <f t="shared" si="502"/>
        <v>2</v>
      </c>
      <c r="GP143" s="142">
        <f t="shared" si="503"/>
        <v>2</v>
      </c>
      <c r="GQ143" s="2">
        <f t="shared" si="504"/>
        <v>1.5748031496062995E-2</v>
      </c>
      <c r="GR143" s="8">
        <f t="shared" si="348"/>
        <v>4.516490698914602E-2</v>
      </c>
      <c r="GS143" s="138">
        <f t="shared" si="505"/>
        <v>0.25</v>
      </c>
      <c r="GT143" s="12">
        <f t="shared" si="349"/>
        <v>3743.6837762081404</v>
      </c>
      <c r="GU143" s="138">
        <f t="shared" si="506"/>
        <v>0.25</v>
      </c>
      <c r="GV143" s="116">
        <f t="shared" si="507"/>
        <v>2175570</v>
      </c>
      <c r="GW143" s="2">
        <f t="shared" si="350"/>
        <v>1.5748031496062995E-2</v>
      </c>
      <c r="GX143" s="8">
        <f t="shared" si="351"/>
        <v>3.8966635105200003</v>
      </c>
      <c r="GY143" s="116">
        <f t="shared" si="508"/>
        <v>2610.6840000000002</v>
      </c>
      <c r="GZ143" s="217">
        <f t="shared" si="509"/>
        <v>1.0662743883752264</v>
      </c>
      <c r="HA143" s="207">
        <f t="shared" si="510"/>
        <v>2</v>
      </c>
      <c r="HB143" s="144">
        <f t="shared" si="511"/>
        <v>44191.324579788197</v>
      </c>
      <c r="HC143" s="138">
        <f t="shared" si="352"/>
        <v>0.25</v>
      </c>
      <c r="HD143" s="116">
        <f t="shared" si="512"/>
        <v>2175570</v>
      </c>
      <c r="HE143" s="2">
        <f t="shared" si="353"/>
        <v>1.5748031496062995E-2</v>
      </c>
      <c r="HF143" s="8">
        <f t="shared" si="513"/>
        <v>3.8966635105200003</v>
      </c>
      <c r="HG143" s="116">
        <f t="shared" si="514"/>
        <v>2610.6840000000002</v>
      </c>
      <c r="HH143" s="217">
        <f t="shared" si="515"/>
        <v>1.0662743883752264</v>
      </c>
      <c r="HI143" s="207">
        <f t="shared" si="516"/>
        <v>2</v>
      </c>
      <c r="HJ143" s="144">
        <f t="shared" si="517"/>
        <v>44191.324579788197</v>
      </c>
      <c r="HK143" s="138">
        <f t="shared" si="354"/>
        <v>0.25</v>
      </c>
      <c r="HL143" s="116">
        <f t="shared" si="518"/>
        <v>2175570</v>
      </c>
      <c r="HM143" s="2">
        <f t="shared" si="355"/>
        <v>1.5748031496062995E-2</v>
      </c>
      <c r="HN143" s="8">
        <f t="shared" si="519"/>
        <v>3.8966635105200003</v>
      </c>
      <c r="HO143" s="116">
        <f t="shared" si="520"/>
        <v>2610.6840000000002</v>
      </c>
      <c r="HP143" s="217">
        <f t="shared" si="521"/>
        <v>1.0662743883752264</v>
      </c>
      <c r="HQ143" s="207">
        <f t="shared" si="522"/>
        <v>2</v>
      </c>
      <c r="HR143" s="144">
        <f t="shared" si="523"/>
        <v>44191.324579788197</v>
      </c>
      <c r="HS143" s="128">
        <f t="shared" si="524"/>
        <v>0.25</v>
      </c>
      <c r="HT143" s="2">
        <f t="shared" si="525"/>
        <v>1.5748031496062995E-2</v>
      </c>
      <c r="HU143" s="127">
        <f t="shared" si="526"/>
        <v>1.5748031496062995E-2</v>
      </c>
      <c r="HV143" s="216">
        <f t="shared" si="527"/>
        <v>0</v>
      </c>
      <c r="HW143" s="138">
        <f t="shared" si="528"/>
        <v>0</v>
      </c>
      <c r="HX143" s="138">
        <f t="shared" si="529"/>
        <v>0</v>
      </c>
      <c r="HY143" s="238">
        <f t="shared" si="530"/>
        <v>0.25</v>
      </c>
      <c r="HZ143" s="138">
        <f t="shared" si="531"/>
        <v>0</v>
      </c>
      <c r="IA143" s="138">
        <f t="shared" si="532"/>
        <v>0</v>
      </c>
      <c r="IB143" s="138">
        <f t="shared" si="533"/>
        <v>0</v>
      </c>
      <c r="IC143" s="138">
        <f t="shared" si="534"/>
        <v>0.25</v>
      </c>
      <c r="ID143" s="216">
        <f t="shared" si="535"/>
        <v>0</v>
      </c>
      <c r="IE143" s="138">
        <f t="shared" si="536"/>
        <v>0</v>
      </c>
      <c r="IF143" s="138">
        <f t="shared" si="537"/>
        <v>0</v>
      </c>
      <c r="IG143" s="238">
        <f t="shared" si="538"/>
        <v>1.5748031496062995E-2</v>
      </c>
      <c r="IH143" s="138">
        <f t="shared" si="539"/>
        <v>0</v>
      </c>
      <c r="II143" s="138">
        <f t="shared" si="540"/>
        <v>0</v>
      </c>
      <c r="IJ143" s="138">
        <f t="shared" si="541"/>
        <v>0</v>
      </c>
      <c r="IK143" s="138">
        <f t="shared" si="542"/>
        <v>1.5748031496062995E-2</v>
      </c>
      <c r="IL143" s="216">
        <f t="shared" si="543"/>
        <v>0</v>
      </c>
      <c r="IM143" s="138">
        <f t="shared" si="544"/>
        <v>0</v>
      </c>
      <c r="IN143" s="138">
        <f t="shared" si="545"/>
        <v>0</v>
      </c>
      <c r="IO143" s="238">
        <f t="shared" si="546"/>
        <v>1.5748031496062995E-2</v>
      </c>
      <c r="IP143" s="138">
        <f t="shared" si="547"/>
        <v>0</v>
      </c>
      <c r="IQ143" s="138">
        <f t="shared" si="548"/>
        <v>0</v>
      </c>
      <c r="IR143" s="138">
        <f t="shared" si="549"/>
        <v>0</v>
      </c>
      <c r="IS143" s="138">
        <f t="shared" si="550"/>
        <v>1.5748031496062995E-2</v>
      </c>
      <c r="IT143" s="17">
        <f t="shared" si="551"/>
        <v>0.25</v>
      </c>
      <c r="IU143" s="17">
        <f t="shared" si="552"/>
        <v>1.5748031496062995E-2</v>
      </c>
      <c r="IV143" s="17">
        <f t="shared" si="553"/>
        <v>1.5748031496062995E-2</v>
      </c>
      <c r="IW143" s="253">
        <f t="shared" si="554"/>
        <v>21.648130614000006</v>
      </c>
      <c r="IX143" s="116">
        <f t="shared" si="356"/>
        <v>119.28111197077915</v>
      </c>
      <c r="IY143" s="8">
        <f t="shared" si="357"/>
        <v>3.0840481107738786E-3</v>
      </c>
      <c r="IZ143" s="8">
        <f t="shared" si="555"/>
        <v>3.0840481107738786E-3</v>
      </c>
      <c r="JA143" s="8">
        <f t="shared" si="556"/>
        <v>1.5420240553869393E-3</v>
      </c>
      <c r="JB143" s="134">
        <f t="shared" si="557"/>
        <v>3.9268614126130544E-2</v>
      </c>
      <c r="JC143" s="170">
        <f t="shared" si="564"/>
        <v>2.1476328638547018E-3</v>
      </c>
      <c r="JD143" s="272">
        <f t="shared" si="565"/>
        <v>4.6342559962249626E-2</v>
      </c>
      <c r="JE143" s="8"/>
      <c r="JF143" s="8"/>
    </row>
    <row r="144" spans="1:266" x14ac:dyDescent="0.25">
      <c r="A144" s="186">
        <v>84</v>
      </c>
      <c r="B144" s="187">
        <f>A144/100*'Inputs-Imperial'!$E$5</f>
        <v>20.228347103999997</v>
      </c>
      <c r="C144" s="188">
        <f>'Inputs-Imperial'!$E$10+('Inputs-Imperial'!$E$9-'Inputs-Imperial'!$E$10)*(100-A144)/100</f>
        <v>3.5902232120000002</v>
      </c>
      <c r="D144" s="187">
        <f t="shared" si="558"/>
        <v>0.24081365600000026</v>
      </c>
      <c r="E144" s="188">
        <f t="shared" si="559"/>
        <v>0.86671784532913121</v>
      </c>
      <c r="F144" s="423">
        <f>Loads!P104</f>
        <v>100.05199263965933</v>
      </c>
      <c r="G144" s="423">
        <f>Loads!M104</f>
        <v>1000.5199263965933</v>
      </c>
      <c r="H144" s="423">
        <f>Loads!N104</f>
        <v>1892.6863138307506</v>
      </c>
      <c r="I144" s="423">
        <f>Loads!V104</f>
        <v>-1492.4887042684613</v>
      </c>
      <c r="J144" s="423">
        <f>Loads!Q104</f>
        <v>189.26863138307505</v>
      </c>
      <c r="K144" s="2">
        <v>84</v>
      </c>
      <c r="L144" s="12">
        <f t="shared" si="358"/>
        <v>242.74016524799998</v>
      </c>
      <c r="M144" s="11">
        <f t="shared" si="359"/>
        <v>43.082678544000004</v>
      </c>
      <c r="N144" s="11">
        <f t="shared" si="360"/>
        <v>2.8897638720000032</v>
      </c>
      <c r="O144" s="152">
        <f t="shared" si="361"/>
        <v>124.8073697273949</v>
      </c>
      <c r="P144" s="151">
        <f t="shared" si="362"/>
        <v>100.05199263965933</v>
      </c>
      <c r="Q144" s="12">
        <f t="shared" si="363"/>
        <v>1000.5199263965933</v>
      </c>
      <c r="R144" s="12">
        <f t="shared" si="364"/>
        <v>22712.235765969006</v>
      </c>
      <c r="S144" s="12">
        <f t="shared" si="365"/>
        <v>-17909.864451221536</v>
      </c>
      <c r="T144" s="152">
        <f t="shared" si="366"/>
        <v>2271.2235765969008</v>
      </c>
      <c r="U144" s="8">
        <f t="shared" si="313"/>
        <v>7.7548821379200001</v>
      </c>
      <c r="V144" s="8">
        <f t="shared" si="314"/>
        <v>7.7548821379200001</v>
      </c>
      <c r="W144" s="134">
        <f t="shared" si="315"/>
        <v>3.8774410689600001</v>
      </c>
      <c r="X144" s="311">
        <f t="shared" si="316"/>
        <v>10.770669636000001</v>
      </c>
      <c r="Y144" s="11">
        <f t="shared" si="317"/>
        <v>32.312008908000003</v>
      </c>
      <c r="Z144" s="11">
        <f t="shared" si="318"/>
        <v>21.541339272000002</v>
      </c>
      <c r="AA144" s="316">
        <f t="shared" si="367"/>
        <v>32.312008908000003</v>
      </c>
      <c r="AB144" s="170">
        <f t="shared" si="368"/>
        <v>5.8161616034400003</v>
      </c>
      <c r="AC144" s="11">
        <f t="shared" si="369"/>
        <v>32.312008908000003</v>
      </c>
      <c r="AD144" s="152">
        <f t="shared" si="370"/>
        <v>147.60134203953837</v>
      </c>
      <c r="AE144" s="151">
        <f t="shared" si="319"/>
        <v>3.0964336796431078</v>
      </c>
      <c r="AF144" s="12">
        <f t="shared" si="320"/>
        <v>60.669720897334294</v>
      </c>
      <c r="AG144" s="216">
        <f t="shared" si="321"/>
        <v>4.1776929362313539E-3</v>
      </c>
      <c r="AH144" s="2">
        <f t="shared" si="371"/>
        <v>1</v>
      </c>
      <c r="AI144" s="2">
        <f t="shared" si="372"/>
        <v>3</v>
      </c>
      <c r="AJ144" s="127">
        <f t="shared" si="373"/>
        <v>2</v>
      </c>
      <c r="AK144" s="2">
        <f t="shared" si="374"/>
        <v>1.5748031496062995E-2</v>
      </c>
      <c r="AL144" s="8">
        <f t="shared" si="322"/>
        <v>4.3965136431126602E-2</v>
      </c>
      <c r="AM144" s="138">
        <f t="shared" si="375"/>
        <v>0.25</v>
      </c>
      <c r="AN144" s="12">
        <f t="shared" si="323"/>
        <v>3644.2357340742578</v>
      </c>
      <c r="AO144" s="138">
        <f t="shared" si="376"/>
        <v>0.25</v>
      </c>
      <c r="AP144" s="116">
        <f t="shared" si="377"/>
        <v>2175570</v>
      </c>
      <c r="AQ144" s="2">
        <f t="shared" si="378"/>
        <v>1.5748031496062995E-2</v>
      </c>
      <c r="AR144" s="8">
        <f t="shared" si="379"/>
        <v>21.541339272000002</v>
      </c>
      <c r="AS144" s="116">
        <f t="shared" si="380"/>
        <v>2610.6840000000002</v>
      </c>
      <c r="AT144" s="217">
        <f t="shared" si="381"/>
        <v>3.4890676119346903E-2</v>
      </c>
      <c r="AU144" s="207">
        <f t="shared" si="382"/>
        <v>4.7219378156422849</v>
      </c>
      <c r="AV144" s="144">
        <f t="shared" si="383"/>
        <v>3414.0328426531109</v>
      </c>
      <c r="AW144" s="138">
        <f t="shared" si="384"/>
        <v>0.5</v>
      </c>
      <c r="AX144" s="116">
        <f t="shared" si="385"/>
        <v>2175570</v>
      </c>
      <c r="AY144" s="2">
        <f t="shared" si="386"/>
        <v>1.5748031496062995E-2</v>
      </c>
      <c r="AZ144" s="8">
        <f t="shared" si="387"/>
        <v>21.541339272000002</v>
      </c>
      <c r="BA144" s="116">
        <f t="shared" si="388"/>
        <v>2610.6840000000002</v>
      </c>
      <c r="BB144" s="217">
        <f t="shared" si="389"/>
        <v>6.9781352238693806E-2</v>
      </c>
      <c r="BC144" s="207">
        <f t="shared" si="390"/>
        <v>4.2429176632728991</v>
      </c>
      <c r="BD144" s="144">
        <f t="shared" si="391"/>
        <v>12270.775953974597</v>
      </c>
      <c r="BE144" s="138">
        <f t="shared" si="392"/>
        <v>0.5</v>
      </c>
      <c r="BF144" s="116">
        <f t="shared" si="393"/>
        <v>2175570</v>
      </c>
      <c r="BG144" s="2">
        <f t="shared" si="394"/>
        <v>1.5748031496062995E-2</v>
      </c>
      <c r="BH144" s="8">
        <f t="shared" si="395"/>
        <v>21.541339272000002</v>
      </c>
      <c r="BI144" s="116">
        <f t="shared" si="396"/>
        <v>2610.6840000000002</v>
      </c>
      <c r="BJ144" s="217">
        <f t="shared" si="397"/>
        <v>6.9781352238693806E-2</v>
      </c>
      <c r="BK144" s="207">
        <f t="shared" si="398"/>
        <v>4.2429176632728991</v>
      </c>
      <c r="BL144" s="144">
        <f t="shared" si="399"/>
        <v>12270.775953974597</v>
      </c>
      <c r="BM144" s="216">
        <f t="shared" si="400"/>
        <v>0.5</v>
      </c>
      <c r="BN144" s="216">
        <f t="shared" si="401"/>
        <v>2.3622047244094495E-2</v>
      </c>
      <c r="BO144" s="238">
        <f t="shared" si="402"/>
        <v>1.5748031496062995E-2</v>
      </c>
      <c r="BP144" s="216">
        <f t="shared" si="403"/>
        <v>0</v>
      </c>
      <c r="BQ144" s="138">
        <f t="shared" si="404"/>
        <v>0</v>
      </c>
      <c r="BR144" s="138">
        <f t="shared" si="405"/>
        <v>0</v>
      </c>
      <c r="BS144" s="238">
        <f t="shared" si="406"/>
        <v>0.5</v>
      </c>
      <c r="BT144" s="138">
        <f t="shared" si="407"/>
        <v>0</v>
      </c>
      <c r="BU144" s="138">
        <f t="shared" si="408"/>
        <v>0</v>
      </c>
      <c r="BV144" s="138">
        <f t="shared" si="409"/>
        <v>0</v>
      </c>
      <c r="BW144" s="238">
        <f t="shared" si="410"/>
        <v>0.75</v>
      </c>
      <c r="BX144" s="216">
        <f t="shared" si="411"/>
        <v>0</v>
      </c>
      <c r="BY144" s="138">
        <f t="shared" si="412"/>
        <v>0</v>
      </c>
      <c r="BZ144" s="138">
        <f t="shared" si="413"/>
        <v>0</v>
      </c>
      <c r="CA144" s="238">
        <f t="shared" si="414"/>
        <v>2.3622047244094495E-2</v>
      </c>
      <c r="CB144" s="138">
        <f t="shared" si="415"/>
        <v>0</v>
      </c>
      <c r="CC144" s="138">
        <f t="shared" si="416"/>
        <v>0</v>
      </c>
      <c r="CD144" s="138">
        <f t="shared" si="417"/>
        <v>0</v>
      </c>
      <c r="CE144" s="238">
        <f t="shared" si="418"/>
        <v>2.3622047244094495E-2</v>
      </c>
      <c r="CF144" s="216">
        <f t="shared" si="419"/>
        <v>0</v>
      </c>
      <c r="CG144" s="138">
        <f t="shared" si="420"/>
        <v>0</v>
      </c>
      <c r="CH144" s="138">
        <f t="shared" si="421"/>
        <v>0</v>
      </c>
      <c r="CI144" s="238">
        <f t="shared" si="422"/>
        <v>1.5748031496062995E-2</v>
      </c>
      <c r="CJ144" s="138">
        <f t="shared" si="423"/>
        <v>0</v>
      </c>
      <c r="CK144" s="138">
        <f t="shared" si="424"/>
        <v>0</v>
      </c>
      <c r="CL144" s="138">
        <f t="shared" si="425"/>
        <v>0</v>
      </c>
      <c r="CM144" s="238">
        <f t="shared" si="426"/>
        <v>1.5748031496062995E-2</v>
      </c>
      <c r="CN144" s="17">
        <f t="shared" si="427"/>
        <v>0.75</v>
      </c>
      <c r="CO144" s="17">
        <f t="shared" si="428"/>
        <v>2.3622047244094495E-2</v>
      </c>
      <c r="CP144" s="17">
        <f t="shared" si="429"/>
        <v>1.5748031496062995E-2</v>
      </c>
      <c r="CQ144" s="17">
        <f>$U144-IF('Inputs-Imperial'!$E$13,0,2)*($CO144+$CN144+$CP144)</f>
        <v>7.7548821379200001</v>
      </c>
      <c r="CR144" s="116">
        <f t="shared" si="430"/>
        <v>2928.7660807777074</v>
      </c>
      <c r="CS144" s="8">
        <f t="shared" si="324"/>
        <v>7.572410542696674E-2</v>
      </c>
      <c r="CT144" s="8">
        <f t="shared" si="431"/>
        <v>0.27518013268941988</v>
      </c>
      <c r="CU144" s="8">
        <f t="shared" si="325"/>
        <v>7.572410542696674E-2</v>
      </c>
      <c r="CV144" s="8">
        <f t="shared" si="432"/>
        <v>0.27518013268941988</v>
      </c>
      <c r="CW144" s="216">
        <f t="shared" si="433"/>
        <v>7.4797020052305809</v>
      </c>
      <c r="CX144" s="116">
        <f t="shared" si="434"/>
        <v>3036.5161272583136</v>
      </c>
      <c r="CY144" s="8">
        <f t="shared" si="435"/>
        <v>7.8510014459787614E-2</v>
      </c>
      <c r="CZ144" s="8">
        <f t="shared" si="436"/>
        <v>0.28019638552234682</v>
      </c>
      <c r="DA144" s="8">
        <f t="shared" si="437"/>
        <v>7.8510014459787614E-2</v>
      </c>
      <c r="DB144" s="8">
        <f t="shared" si="438"/>
        <v>0.28019638552234682</v>
      </c>
      <c r="DC144" s="216">
        <f t="shared" si="439"/>
        <v>7.4746857523976535</v>
      </c>
      <c r="DD144" s="116">
        <f t="shared" si="440"/>
        <v>3038.5539296663551</v>
      </c>
      <c r="DE144" s="8">
        <f t="shared" si="441"/>
        <v>7.8562702438318449E-2</v>
      </c>
      <c r="DF144" s="8">
        <f t="shared" si="442"/>
        <v>0.28029038948618706</v>
      </c>
      <c r="DG144" s="8">
        <f t="shared" si="443"/>
        <v>7.8562702438318449E-2</v>
      </c>
      <c r="DH144" s="8">
        <f t="shared" si="444"/>
        <v>0.28029038948618706</v>
      </c>
      <c r="DI144" s="216">
        <f t="shared" si="445"/>
        <v>7.4745917484338138</v>
      </c>
      <c r="DJ144" s="116">
        <f t="shared" si="446"/>
        <v>3038.5921439425783</v>
      </c>
      <c r="DK144" s="8">
        <f t="shared" si="447"/>
        <v>7.8563690479630632E-2</v>
      </c>
      <c r="DL144" s="8">
        <f t="shared" si="448"/>
        <v>0.2802921520122007</v>
      </c>
      <c r="DM144" s="8">
        <f t="shared" si="449"/>
        <v>7.8563690479630632E-2</v>
      </c>
      <c r="DN144" s="8">
        <f t="shared" si="450"/>
        <v>0.2802921520122007</v>
      </c>
      <c r="DO144" s="216">
        <f t="shared" si="451"/>
        <v>7.4745899859077989</v>
      </c>
      <c r="DP144" s="116">
        <f t="shared" si="452"/>
        <v>3038.5928604497994</v>
      </c>
      <c r="DQ144" s="170">
        <f t="shared" si="453"/>
        <v>7.8563709005134846E-2</v>
      </c>
      <c r="DR144" s="8">
        <f t="shared" si="454"/>
        <v>0.2802921850589753</v>
      </c>
      <c r="DS144" s="8">
        <f t="shared" si="455"/>
        <v>7.8563709005134846E-2</v>
      </c>
      <c r="DT144" s="134">
        <f t="shared" si="456"/>
        <v>0.2802921850589753</v>
      </c>
      <c r="DU144" s="170">
        <f t="shared" si="563"/>
        <v>0.12489389406218925</v>
      </c>
      <c r="DV144" s="170">
        <f t="shared" si="563"/>
        <v>0.35340330227968902</v>
      </c>
      <c r="DW144" s="170">
        <f t="shared" si="563"/>
        <v>0.12489389406218925</v>
      </c>
      <c r="DX144" s="272">
        <f t="shared" si="563"/>
        <v>0.35340330227968902</v>
      </c>
      <c r="DY144" s="272">
        <f t="shared" si="457"/>
        <v>7.0480755333606213</v>
      </c>
      <c r="DZ144" s="22">
        <f t="shared" si="326"/>
        <v>129.0180699851295</v>
      </c>
      <c r="EA144" s="216">
        <f t="shared" si="327"/>
        <v>8.4527267356605158E-3</v>
      </c>
      <c r="EB144" s="12">
        <f t="shared" si="458"/>
        <v>2</v>
      </c>
      <c r="EC144" s="7">
        <f>ROUND(MAX(DV144,DX144)/'Inputs-Imperial'!$E$21,0)</f>
        <v>3</v>
      </c>
      <c r="ED144" s="12">
        <f t="shared" si="459"/>
        <v>3</v>
      </c>
      <c r="EE144" s="2">
        <f t="shared" si="460"/>
        <v>2</v>
      </c>
      <c r="EF144" s="127">
        <f t="shared" si="461"/>
        <v>2</v>
      </c>
      <c r="EG144" s="2">
        <f t="shared" si="462"/>
        <v>1.5748031496062995E-2</v>
      </c>
      <c r="EH144" s="8">
        <f t="shared" si="328"/>
        <v>8.8954667042519545E-2</v>
      </c>
      <c r="EI144" s="138">
        <f t="shared" si="463"/>
        <v>0.25</v>
      </c>
      <c r="EJ144" s="12">
        <f t="shared" si="329"/>
        <v>7373.3826996501493</v>
      </c>
      <c r="EK144" s="138">
        <f t="shared" si="464"/>
        <v>0.25</v>
      </c>
      <c r="EL144" s="116">
        <f t="shared" si="465"/>
        <v>2175570</v>
      </c>
      <c r="EM144" s="2">
        <f t="shared" si="330"/>
        <v>1.5748031496062995E-2</v>
      </c>
      <c r="EN144" s="8">
        <f t="shared" si="466"/>
        <v>7.7548821379200001</v>
      </c>
      <c r="EO144" s="116">
        <f t="shared" si="467"/>
        <v>2610.6840000000002</v>
      </c>
      <c r="EP144" s="217">
        <f t="shared" si="468"/>
        <v>0.26921817993323233</v>
      </c>
      <c r="EQ144" s="207">
        <f t="shared" si="469"/>
        <v>2.7431819110021753</v>
      </c>
      <c r="ER144" s="144">
        <f t="shared" si="470"/>
        <v>15303.720945756964</v>
      </c>
      <c r="ES144" s="138">
        <f t="shared" si="331"/>
        <v>0.25</v>
      </c>
      <c r="ET144" s="116">
        <f t="shared" si="471"/>
        <v>2175570</v>
      </c>
      <c r="EU144" s="2">
        <f t="shared" si="332"/>
        <v>1.5748031496062995E-2</v>
      </c>
      <c r="EV144" s="8">
        <f t="shared" si="472"/>
        <v>7.7548821379200001</v>
      </c>
      <c r="EW144" s="116">
        <f t="shared" si="473"/>
        <v>2610.6840000000002</v>
      </c>
      <c r="EX144" s="217">
        <f t="shared" si="474"/>
        <v>0.26921817993323233</v>
      </c>
      <c r="EY144" s="207">
        <f t="shared" si="475"/>
        <v>2.7431819110021753</v>
      </c>
      <c r="EZ144" s="144">
        <f t="shared" si="476"/>
        <v>15303.720945756964</v>
      </c>
      <c r="FA144" s="138">
        <f t="shared" si="333"/>
        <v>0.25</v>
      </c>
      <c r="FB144" s="116">
        <f t="shared" si="477"/>
        <v>2175570</v>
      </c>
      <c r="FC144" s="2">
        <f t="shared" si="334"/>
        <v>1.5748031496062995E-2</v>
      </c>
      <c r="FD144" s="8">
        <f t="shared" si="478"/>
        <v>7.7548821379200001</v>
      </c>
      <c r="FE144" s="116">
        <f t="shared" si="479"/>
        <v>2610.6840000000002</v>
      </c>
      <c r="FF144" s="217">
        <f t="shared" si="480"/>
        <v>0.26921817993323233</v>
      </c>
      <c r="FG144" s="207">
        <f t="shared" si="481"/>
        <v>2.7431819110021753</v>
      </c>
      <c r="FH144" s="144">
        <f t="shared" si="482"/>
        <v>15303.720945756964</v>
      </c>
      <c r="FI144" s="128">
        <f t="shared" si="483"/>
        <v>0.25</v>
      </c>
      <c r="FJ144" s="2">
        <f t="shared" si="484"/>
        <v>1.5748031496062995E-2</v>
      </c>
      <c r="FK144" s="127">
        <f t="shared" si="485"/>
        <v>1.5748031496062995E-2</v>
      </c>
      <c r="FL144" s="216">
        <f t="shared" si="486"/>
        <v>0</v>
      </c>
      <c r="FM144" s="138">
        <f t="shared" si="487"/>
        <v>0</v>
      </c>
      <c r="FN144" s="138">
        <f t="shared" si="488"/>
        <v>0</v>
      </c>
      <c r="FO144" s="238">
        <f t="shared" si="489"/>
        <v>0.25</v>
      </c>
      <c r="FP144" s="216">
        <f t="shared" si="335"/>
        <v>0</v>
      </c>
      <c r="FQ144" s="138">
        <f t="shared" si="336"/>
        <v>0</v>
      </c>
      <c r="FR144" s="138">
        <f t="shared" si="337"/>
        <v>0</v>
      </c>
      <c r="FS144" s="238">
        <f t="shared" si="338"/>
        <v>0.25</v>
      </c>
      <c r="FT144" s="216">
        <f t="shared" si="490"/>
        <v>0</v>
      </c>
      <c r="FU144" s="138">
        <f t="shared" si="491"/>
        <v>0</v>
      </c>
      <c r="FV144" s="138">
        <f t="shared" si="492"/>
        <v>0</v>
      </c>
      <c r="FW144" s="238">
        <f t="shared" si="493"/>
        <v>1.5748031496062995E-2</v>
      </c>
      <c r="FX144" s="216">
        <f t="shared" si="339"/>
        <v>0</v>
      </c>
      <c r="FY144" s="138">
        <f t="shared" si="340"/>
        <v>0</v>
      </c>
      <c r="FZ144" s="138">
        <f t="shared" si="341"/>
        <v>0</v>
      </c>
      <c r="GA144" s="238">
        <f t="shared" si="342"/>
        <v>2.3622047244094495E-2</v>
      </c>
      <c r="GB144" s="216">
        <f t="shared" si="494"/>
        <v>0</v>
      </c>
      <c r="GC144" s="138">
        <f t="shared" si="495"/>
        <v>0</v>
      </c>
      <c r="GD144" s="138">
        <f t="shared" si="496"/>
        <v>0</v>
      </c>
      <c r="GE144" s="238">
        <f t="shared" si="497"/>
        <v>1.5748031496062995E-2</v>
      </c>
      <c r="GF144" s="216">
        <f t="shared" si="343"/>
        <v>0</v>
      </c>
      <c r="GG144" s="138">
        <f t="shared" si="344"/>
        <v>0</v>
      </c>
      <c r="GH144" s="138">
        <f t="shared" si="345"/>
        <v>0</v>
      </c>
      <c r="GI144" s="238">
        <f t="shared" si="346"/>
        <v>2.3622047244094495E-2</v>
      </c>
      <c r="GJ144" s="216">
        <f t="shared" si="498"/>
        <v>0.25</v>
      </c>
      <c r="GK144" s="216">
        <f t="shared" si="499"/>
        <v>2.3622047244094495E-2</v>
      </c>
      <c r="GL144" s="17">
        <f t="shared" si="500"/>
        <v>2.3622047244094495E-2</v>
      </c>
      <c r="GM144" s="216">
        <f t="shared" si="347"/>
        <v>3.9748274945755023E-3</v>
      </c>
      <c r="GN144" s="2">
        <f t="shared" si="501"/>
        <v>1</v>
      </c>
      <c r="GO144" s="2">
        <f t="shared" si="502"/>
        <v>2</v>
      </c>
      <c r="GP144" s="142">
        <f t="shared" si="503"/>
        <v>2</v>
      </c>
      <c r="GQ144" s="2">
        <f t="shared" si="504"/>
        <v>1.5748031496062995E-2</v>
      </c>
      <c r="GR144" s="8">
        <f t="shared" si="348"/>
        <v>4.1830224422106134E-2</v>
      </c>
      <c r="GS144" s="138">
        <f t="shared" si="505"/>
        <v>0.25</v>
      </c>
      <c r="GT144" s="12">
        <f t="shared" si="349"/>
        <v>3467.2745492826543</v>
      </c>
      <c r="GU144" s="138">
        <f t="shared" si="506"/>
        <v>0.25</v>
      </c>
      <c r="GV144" s="116">
        <f t="shared" si="507"/>
        <v>2175570</v>
      </c>
      <c r="GW144" s="2">
        <f t="shared" si="350"/>
        <v>1.5748031496062995E-2</v>
      </c>
      <c r="GX144" s="8">
        <f t="shared" si="351"/>
        <v>3.8774410689600001</v>
      </c>
      <c r="GY144" s="116">
        <f t="shared" si="508"/>
        <v>2610.6840000000002</v>
      </c>
      <c r="GZ144" s="217">
        <f t="shared" si="509"/>
        <v>1.0768727197329293</v>
      </c>
      <c r="HA144" s="207">
        <f t="shared" si="510"/>
        <v>2</v>
      </c>
      <c r="HB144" s="144">
        <f t="shared" si="511"/>
        <v>44630.568273661469</v>
      </c>
      <c r="HC144" s="138">
        <f t="shared" si="352"/>
        <v>0.25</v>
      </c>
      <c r="HD144" s="116">
        <f t="shared" si="512"/>
        <v>2175570</v>
      </c>
      <c r="HE144" s="2">
        <f t="shared" si="353"/>
        <v>1.5748031496062995E-2</v>
      </c>
      <c r="HF144" s="8">
        <f t="shared" si="513"/>
        <v>3.8774410689600001</v>
      </c>
      <c r="HG144" s="116">
        <f t="shared" si="514"/>
        <v>2610.6840000000002</v>
      </c>
      <c r="HH144" s="217">
        <f t="shared" si="515"/>
        <v>1.0768727197329293</v>
      </c>
      <c r="HI144" s="207">
        <f t="shared" si="516"/>
        <v>2</v>
      </c>
      <c r="HJ144" s="144">
        <f t="shared" si="517"/>
        <v>44630.568273661469</v>
      </c>
      <c r="HK144" s="138">
        <f t="shared" si="354"/>
        <v>0.25</v>
      </c>
      <c r="HL144" s="116">
        <f t="shared" si="518"/>
        <v>2175570</v>
      </c>
      <c r="HM144" s="2">
        <f t="shared" si="355"/>
        <v>1.5748031496062995E-2</v>
      </c>
      <c r="HN144" s="8">
        <f t="shared" si="519"/>
        <v>3.8774410689600001</v>
      </c>
      <c r="HO144" s="116">
        <f t="shared" si="520"/>
        <v>2610.6840000000002</v>
      </c>
      <c r="HP144" s="217">
        <f t="shared" si="521"/>
        <v>1.0768727197329293</v>
      </c>
      <c r="HQ144" s="207">
        <f t="shared" si="522"/>
        <v>2</v>
      </c>
      <c r="HR144" s="144">
        <f t="shared" si="523"/>
        <v>44630.568273661469</v>
      </c>
      <c r="HS144" s="128">
        <f t="shared" si="524"/>
        <v>0.25</v>
      </c>
      <c r="HT144" s="2">
        <f t="shared" si="525"/>
        <v>1.5748031496062995E-2</v>
      </c>
      <c r="HU144" s="127">
        <f t="shared" si="526"/>
        <v>1.5748031496062995E-2</v>
      </c>
      <c r="HV144" s="216">
        <f t="shared" si="527"/>
        <v>0</v>
      </c>
      <c r="HW144" s="138">
        <f t="shared" si="528"/>
        <v>0</v>
      </c>
      <c r="HX144" s="138">
        <f t="shared" si="529"/>
        <v>0</v>
      </c>
      <c r="HY144" s="238">
        <f t="shared" si="530"/>
        <v>0.25</v>
      </c>
      <c r="HZ144" s="138">
        <f t="shared" si="531"/>
        <v>0</v>
      </c>
      <c r="IA144" s="138">
        <f t="shared" si="532"/>
        <v>0</v>
      </c>
      <c r="IB144" s="138">
        <f t="shared" si="533"/>
        <v>0</v>
      </c>
      <c r="IC144" s="138">
        <f t="shared" si="534"/>
        <v>0.25</v>
      </c>
      <c r="ID144" s="216">
        <f t="shared" si="535"/>
        <v>0</v>
      </c>
      <c r="IE144" s="138">
        <f t="shared" si="536"/>
        <v>0</v>
      </c>
      <c r="IF144" s="138">
        <f t="shared" si="537"/>
        <v>0</v>
      </c>
      <c r="IG144" s="238">
        <f t="shared" si="538"/>
        <v>1.5748031496062995E-2</v>
      </c>
      <c r="IH144" s="138">
        <f t="shared" si="539"/>
        <v>0</v>
      </c>
      <c r="II144" s="138">
        <f t="shared" si="540"/>
        <v>0</v>
      </c>
      <c r="IJ144" s="138">
        <f t="shared" si="541"/>
        <v>0</v>
      </c>
      <c r="IK144" s="138">
        <f t="shared" si="542"/>
        <v>1.5748031496062995E-2</v>
      </c>
      <c r="IL144" s="216">
        <f t="shared" si="543"/>
        <v>0</v>
      </c>
      <c r="IM144" s="138">
        <f t="shared" si="544"/>
        <v>0</v>
      </c>
      <c r="IN144" s="138">
        <f t="shared" si="545"/>
        <v>0</v>
      </c>
      <c r="IO144" s="238">
        <f t="shared" si="546"/>
        <v>1.5748031496062995E-2</v>
      </c>
      <c r="IP144" s="138">
        <f t="shared" si="547"/>
        <v>0</v>
      </c>
      <c r="IQ144" s="138">
        <f t="shared" si="548"/>
        <v>0</v>
      </c>
      <c r="IR144" s="138">
        <f t="shared" si="549"/>
        <v>0</v>
      </c>
      <c r="IS144" s="138">
        <f t="shared" si="550"/>
        <v>1.5748031496062995E-2</v>
      </c>
      <c r="IT144" s="17">
        <f t="shared" si="551"/>
        <v>0.25</v>
      </c>
      <c r="IU144" s="17">
        <f t="shared" si="552"/>
        <v>1.5748031496062995E-2</v>
      </c>
      <c r="IV144" s="17">
        <f t="shared" si="553"/>
        <v>1.5748031496062995E-2</v>
      </c>
      <c r="IW144" s="253">
        <f t="shared" si="554"/>
        <v>21.541339272000002</v>
      </c>
      <c r="IX144" s="116">
        <f t="shared" si="356"/>
        <v>105.43557890799747</v>
      </c>
      <c r="IY144" s="8">
        <f t="shared" si="357"/>
        <v>2.7260677953708026E-3</v>
      </c>
      <c r="IZ144" s="8">
        <f t="shared" si="555"/>
        <v>2.7260677953708026E-3</v>
      </c>
      <c r="JA144" s="8">
        <f t="shared" si="556"/>
        <v>1.3630338976854013E-3</v>
      </c>
      <c r="JB144" s="134">
        <f t="shared" si="557"/>
        <v>3.6919288965057293E-2</v>
      </c>
      <c r="JC144" s="170">
        <f t="shared" si="564"/>
        <v>2.1476328638547018E-3</v>
      </c>
      <c r="JD144" s="272">
        <f t="shared" si="565"/>
        <v>4.6342559962249626E-2</v>
      </c>
      <c r="JE144" s="8"/>
      <c r="JF144" s="8"/>
    </row>
    <row r="145" spans="1:266" x14ac:dyDescent="0.25">
      <c r="A145" s="186">
        <v>85</v>
      </c>
      <c r="B145" s="187">
        <f>A145/100*'Inputs-Imperial'!$E$5</f>
        <v>20.469160759999998</v>
      </c>
      <c r="C145" s="188">
        <f>'Inputs-Imperial'!$E$10+('Inputs-Imperial'!$E$9-'Inputs-Imperial'!$E$10)*(100-A145)/100</f>
        <v>3.5724246550000003</v>
      </c>
      <c r="D145" s="187">
        <f t="shared" si="558"/>
        <v>0.24081365600000026</v>
      </c>
      <c r="E145" s="188">
        <f t="shared" si="559"/>
        <v>0.8624317097464369</v>
      </c>
      <c r="F145" s="423">
        <f>Loads!P105</f>
        <v>92.602710438201711</v>
      </c>
      <c r="G145" s="423">
        <f>Loads!M105</f>
        <v>926.02710438201711</v>
      </c>
      <c r="H145" s="423">
        <f>Loads!N105</f>
        <v>1651.7474524543359</v>
      </c>
      <c r="I145" s="423">
        <f>Loads!V105</f>
        <v>-1361.660999578527</v>
      </c>
      <c r="J145" s="423">
        <f>Loads!Q105</f>
        <v>165.17474524543357</v>
      </c>
      <c r="K145" s="2">
        <v>85</v>
      </c>
      <c r="L145" s="12">
        <f t="shared" si="358"/>
        <v>245.62992911999999</v>
      </c>
      <c r="M145" s="11">
        <f t="shared" si="359"/>
        <v>42.869095860000002</v>
      </c>
      <c r="N145" s="11">
        <f t="shared" si="360"/>
        <v>2.8897638720000032</v>
      </c>
      <c r="O145" s="152">
        <f t="shared" si="361"/>
        <v>124.19016620348692</v>
      </c>
      <c r="P145" s="151">
        <f t="shared" si="362"/>
        <v>92.602710438201711</v>
      </c>
      <c r="Q145" s="12">
        <f t="shared" si="363"/>
        <v>926.02710438201711</v>
      </c>
      <c r="R145" s="12">
        <f t="shared" si="364"/>
        <v>19820.96942945203</v>
      </c>
      <c r="S145" s="12">
        <f t="shared" si="365"/>
        <v>-16339.931994942324</v>
      </c>
      <c r="T145" s="152">
        <f t="shared" si="366"/>
        <v>1982.096942945203</v>
      </c>
      <c r="U145" s="8">
        <f t="shared" si="313"/>
        <v>7.7164372547999998</v>
      </c>
      <c r="V145" s="8">
        <f t="shared" si="314"/>
        <v>7.7164372547999998</v>
      </c>
      <c r="W145" s="134">
        <f t="shared" si="315"/>
        <v>3.8582186273999999</v>
      </c>
      <c r="X145" s="311">
        <f t="shared" si="316"/>
        <v>10.717273965</v>
      </c>
      <c r="Y145" s="11">
        <f t="shared" si="317"/>
        <v>32.151821894999998</v>
      </c>
      <c r="Z145" s="11">
        <f t="shared" si="318"/>
        <v>21.434547929999997</v>
      </c>
      <c r="AA145" s="316">
        <f t="shared" si="367"/>
        <v>32.151821894999998</v>
      </c>
      <c r="AB145" s="170">
        <f t="shared" si="368"/>
        <v>5.7873279411</v>
      </c>
      <c r="AC145" s="11">
        <f t="shared" si="369"/>
        <v>32.151821894999998</v>
      </c>
      <c r="AD145" s="152">
        <f t="shared" si="370"/>
        <v>146.14150022249581</v>
      </c>
      <c r="AE145" s="151">
        <f t="shared" si="319"/>
        <v>2.880169924448436</v>
      </c>
      <c r="AF145" s="12">
        <f t="shared" si="320"/>
        <v>55.904489724223765</v>
      </c>
      <c r="AG145" s="216">
        <f t="shared" si="321"/>
        <v>3.8513261306443863E-3</v>
      </c>
      <c r="AH145" s="2">
        <f t="shared" si="371"/>
        <v>1</v>
      </c>
      <c r="AI145" s="2">
        <f t="shared" si="372"/>
        <v>3</v>
      </c>
      <c r="AJ145" s="127">
        <f t="shared" si="373"/>
        <v>2</v>
      </c>
      <c r="AK145" s="2">
        <f t="shared" si="374"/>
        <v>1.5748031496062995E-2</v>
      </c>
      <c r="AL145" s="8">
        <f t="shared" si="322"/>
        <v>4.053052279311091E-2</v>
      </c>
      <c r="AM145" s="138">
        <f t="shared" si="375"/>
        <v>0.25</v>
      </c>
      <c r="AN145" s="12">
        <f t="shared" si="323"/>
        <v>3359.543298921616</v>
      </c>
      <c r="AO145" s="138">
        <f t="shared" si="376"/>
        <v>0.25</v>
      </c>
      <c r="AP145" s="116">
        <f t="shared" si="377"/>
        <v>2175570</v>
      </c>
      <c r="AQ145" s="2">
        <f t="shared" si="378"/>
        <v>1.5748031496062995E-2</v>
      </c>
      <c r="AR145" s="8">
        <f t="shared" si="379"/>
        <v>21.434547929999997</v>
      </c>
      <c r="AS145" s="116">
        <f t="shared" si="380"/>
        <v>2610.6840000000002</v>
      </c>
      <c r="AT145" s="217">
        <f t="shared" si="381"/>
        <v>3.5239207289112957E-2</v>
      </c>
      <c r="AU145" s="207">
        <f t="shared" si="382"/>
        <v>4.7166901086360866</v>
      </c>
      <c r="AV145" s="144">
        <f t="shared" si="383"/>
        <v>3444.3043468334017</v>
      </c>
      <c r="AW145" s="138">
        <f t="shared" si="384"/>
        <v>0.25</v>
      </c>
      <c r="AX145" s="116">
        <f t="shared" si="385"/>
        <v>2175570</v>
      </c>
      <c r="AY145" s="2">
        <f t="shared" si="386"/>
        <v>1.5748031496062995E-2</v>
      </c>
      <c r="AZ145" s="8">
        <f t="shared" si="387"/>
        <v>21.434547929999997</v>
      </c>
      <c r="BA145" s="116">
        <f t="shared" si="388"/>
        <v>2610.6840000000002</v>
      </c>
      <c r="BB145" s="217">
        <f t="shared" si="389"/>
        <v>3.5239207289112957E-2</v>
      </c>
      <c r="BC145" s="207">
        <f t="shared" si="390"/>
        <v>4.7166901086360866</v>
      </c>
      <c r="BD145" s="144">
        <f t="shared" si="391"/>
        <v>3444.3043468334017</v>
      </c>
      <c r="BE145" s="138">
        <f t="shared" si="392"/>
        <v>0.25</v>
      </c>
      <c r="BF145" s="116">
        <f t="shared" si="393"/>
        <v>2175570</v>
      </c>
      <c r="BG145" s="2">
        <f t="shared" si="394"/>
        <v>1.5748031496062995E-2</v>
      </c>
      <c r="BH145" s="8">
        <f t="shared" si="395"/>
        <v>21.434547929999997</v>
      </c>
      <c r="BI145" s="116">
        <f t="shared" si="396"/>
        <v>2610.6840000000002</v>
      </c>
      <c r="BJ145" s="217">
        <f t="shared" si="397"/>
        <v>3.5239207289112957E-2</v>
      </c>
      <c r="BK145" s="207">
        <f t="shared" si="398"/>
        <v>4.7166901086360866</v>
      </c>
      <c r="BL145" s="144">
        <f t="shared" si="399"/>
        <v>3444.3043468334017</v>
      </c>
      <c r="BM145" s="216">
        <f t="shared" si="400"/>
        <v>0.25</v>
      </c>
      <c r="BN145" s="216">
        <f t="shared" si="401"/>
        <v>2.3622047244094495E-2</v>
      </c>
      <c r="BO145" s="238">
        <f t="shared" si="402"/>
        <v>1.5748031496062995E-2</v>
      </c>
      <c r="BP145" s="216">
        <f t="shared" si="403"/>
        <v>0</v>
      </c>
      <c r="BQ145" s="138">
        <f t="shared" si="404"/>
        <v>0</v>
      </c>
      <c r="BR145" s="138">
        <f t="shared" si="405"/>
        <v>0</v>
      </c>
      <c r="BS145" s="238">
        <f t="shared" si="406"/>
        <v>0.25</v>
      </c>
      <c r="BT145" s="138">
        <f t="shared" si="407"/>
        <v>0</v>
      </c>
      <c r="BU145" s="138">
        <f t="shared" si="408"/>
        <v>0</v>
      </c>
      <c r="BV145" s="138">
        <f t="shared" si="409"/>
        <v>0</v>
      </c>
      <c r="BW145" s="238">
        <f t="shared" si="410"/>
        <v>0.75</v>
      </c>
      <c r="BX145" s="216">
        <f t="shared" si="411"/>
        <v>0</v>
      </c>
      <c r="BY145" s="138">
        <f t="shared" si="412"/>
        <v>0</v>
      </c>
      <c r="BZ145" s="138">
        <f t="shared" si="413"/>
        <v>0</v>
      </c>
      <c r="CA145" s="238">
        <f t="shared" si="414"/>
        <v>2.3622047244094495E-2</v>
      </c>
      <c r="CB145" s="138">
        <f t="shared" si="415"/>
        <v>0</v>
      </c>
      <c r="CC145" s="138">
        <f t="shared" si="416"/>
        <v>0</v>
      </c>
      <c r="CD145" s="138">
        <f t="shared" si="417"/>
        <v>0</v>
      </c>
      <c r="CE145" s="238">
        <f t="shared" si="418"/>
        <v>2.3622047244094495E-2</v>
      </c>
      <c r="CF145" s="216">
        <f t="shared" si="419"/>
        <v>0</v>
      </c>
      <c r="CG145" s="138">
        <f t="shared" si="420"/>
        <v>0</v>
      </c>
      <c r="CH145" s="138">
        <f t="shared" si="421"/>
        <v>0</v>
      </c>
      <c r="CI145" s="238">
        <f t="shared" si="422"/>
        <v>1.5748031496062995E-2</v>
      </c>
      <c r="CJ145" s="138">
        <f t="shared" si="423"/>
        <v>0</v>
      </c>
      <c r="CK145" s="138">
        <f t="shared" si="424"/>
        <v>0</v>
      </c>
      <c r="CL145" s="138">
        <f t="shared" si="425"/>
        <v>0</v>
      </c>
      <c r="CM145" s="238">
        <f t="shared" si="426"/>
        <v>1.5748031496062995E-2</v>
      </c>
      <c r="CN145" s="17">
        <f t="shared" si="427"/>
        <v>0.75</v>
      </c>
      <c r="CO145" s="17">
        <f t="shared" si="428"/>
        <v>2.3622047244094495E-2</v>
      </c>
      <c r="CP145" s="17">
        <f t="shared" si="429"/>
        <v>1.5748031496062995E-2</v>
      </c>
      <c r="CQ145" s="17">
        <f>$U145-IF('Inputs-Imperial'!$E$13,0,2)*($CO145+$CN145+$CP145)</f>
        <v>7.7164372547999998</v>
      </c>
      <c r="CR145" s="116">
        <f t="shared" si="430"/>
        <v>2568.6685156575882</v>
      </c>
      <c r="CS145" s="8">
        <f t="shared" si="324"/>
        <v>6.6413677337773244E-2</v>
      </c>
      <c r="CT145" s="8">
        <f t="shared" si="431"/>
        <v>0.25770851235023889</v>
      </c>
      <c r="CU145" s="8">
        <f t="shared" si="325"/>
        <v>6.6413677337773244E-2</v>
      </c>
      <c r="CV145" s="8">
        <f t="shared" si="432"/>
        <v>0.25770851235023889</v>
      </c>
      <c r="CW145" s="216">
        <f t="shared" si="433"/>
        <v>7.4587287424497601</v>
      </c>
      <c r="CX145" s="116">
        <f t="shared" si="434"/>
        <v>2657.4192618971674</v>
      </c>
      <c r="CY145" s="8">
        <f t="shared" si="435"/>
        <v>6.8708353894251006E-2</v>
      </c>
      <c r="CZ145" s="8">
        <f t="shared" si="436"/>
        <v>0.2621227840044642</v>
      </c>
      <c r="DA145" s="8">
        <f t="shared" si="437"/>
        <v>6.8708353894251006E-2</v>
      </c>
      <c r="DB145" s="8">
        <f t="shared" si="438"/>
        <v>0.2621227840044642</v>
      </c>
      <c r="DC145" s="216">
        <f t="shared" si="439"/>
        <v>7.4543144707955351</v>
      </c>
      <c r="DD145" s="116">
        <f t="shared" si="440"/>
        <v>2658.9929237767601</v>
      </c>
      <c r="DE145" s="8">
        <f t="shared" si="441"/>
        <v>6.8749041383381254E-2</v>
      </c>
      <c r="DF145" s="8">
        <f t="shared" si="442"/>
        <v>0.26220038402599882</v>
      </c>
      <c r="DG145" s="8">
        <f t="shared" si="443"/>
        <v>6.8749041383381254E-2</v>
      </c>
      <c r="DH145" s="8">
        <f t="shared" si="444"/>
        <v>0.26220038402599882</v>
      </c>
      <c r="DI145" s="216">
        <f t="shared" si="445"/>
        <v>7.4542368707740012</v>
      </c>
      <c r="DJ145" s="116">
        <f t="shared" si="446"/>
        <v>2659.0206043980925</v>
      </c>
      <c r="DK145" s="8">
        <f t="shared" si="447"/>
        <v>6.8749757073958861E-2</v>
      </c>
      <c r="DL145" s="8">
        <f t="shared" si="448"/>
        <v>0.2622017488003443</v>
      </c>
      <c r="DM145" s="8">
        <f t="shared" si="449"/>
        <v>6.8749757073958861E-2</v>
      </c>
      <c r="DN145" s="8">
        <f t="shared" si="450"/>
        <v>0.2622017488003443</v>
      </c>
      <c r="DO145" s="216">
        <f t="shared" si="451"/>
        <v>7.4542355059996561</v>
      </c>
      <c r="DP145" s="116">
        <f t="shared" si="452"/>
        <v>2659.0210912304578</v>
      </c>
      <c r="DQ145" s="170">
        <f t="shared" si="453"/>
        <v>6.8749769661152357E-2</v>
      </c>
      <c r="DR145" s="8">
        <f t="shared" si="454"/>
        <v>0.26220177280322182</v>
      </c>
      <c r="DS145" s="8">
        <f t="shared" si="455"/>
        <v>6.8749769661152357E-2</v>
      </c>
      <c r="DT145" s="134">
        <f t="shared" si="456"/>
        <v>0.26220177280322182</v>
      </c>
      <c r="DU145" s="170">
        <f t="shared" si="563"/>
        <v>0.12489389406218925</v>
      </c>
      <c r="DV145" s="170">
        <f t="shared" si="563"/>
        <v>0.35340330227968902</v>
      </c>
      <c r="DW145" s="170">
        <f t="shared" si="563"/>
        <v>0.12489389406218925</v>
      </c>
      <c r="DX145" s="272">
        <f t="shared" si="563"/>
        <v>0.35340330227968902</v>
      </c>
      <c r="DY145" s="272">
        <f t="shared" si="457"/>
        <v>7.0096306502406209</v>
      </c>
      <c r="DZ145" s="22">
        <f t="shared" si="326"/>
        <v>120.0070801853515</v>
      </c>
      <c r="EA145" s="216">
        <f t="shared" si="327"/>
        <v>7.8623642042404858E-3</v>
      </c>
      <c r="EB145" s="12">
        <f t="shared" si="458"/>
        <v>1</v>
      </c>
      <c r="EC145" s="7">
        <f>ROUND(MAX(DV145,DX145)/'Inputs-Imperial'!$E$21,0)</f>
        <v>3</v>
      </c>
      <c r="ED145" s="12">
        <f t="shared" si="459"/>
        <v>3</v>
      </c>
      <c r="EE145" s="2">
        <f t="shared" si="460"/>
        <v>2</v>
      </c>
      <c r="EF145" s="127">
        <f t="shared" si="461"/>
        <v>2</v>
      </c>
      <c r="EG145" s="2">
        <f t="shared" si="462"/>
        <v>1.5748031496062995E-2</v>
      </c>
      <c r="EH145" s="8">
        <f t="shared" si="328"/>
        <v>8.2741819513059672E-2</v>
      </c>
      <c r="EI145" s="138">
        <f t="shared" si="463"/>
        <v>0.25</v>
      </c>
      <c r="EJ145" s="12">
        <f t="shared" si="329"/>
        <v>6858.4046325928366</v>
      </c>
      <c r="EK145" s="138">
        <f t="shared" si="464"/>
        <v>0.25</v>
      </c>
      <c r="EL145" s="116">
        <f t="shared" si="465"/>
        <v>2175570</v>
      </c>
      <c r="EM145" s="2">
        <f t="shared" si="330"/>
        <v>1.5748031496062995E-2</v>
      </c>
      <c r="EN145" s="8">
        <f t="shared" si="466"/>
        <v>7.7164372547999998</v>
      </c>
      <c r="EO145" s="116">
        <f t="shared" si="467"/>
        <v>2610.6840000000002</v>
      </c>
      <c r="EP145" s="217">
        <f t="shared" si="468"/>
        <v>0.2719074636505629</v>
      </c>
      <c r="EQ145" s="207">
        <f t="shared" si="469"/>
        <v>2.7307927762663891</v>
      </c>
      <c r="ER145" s="144">
        <f t="shared" si="470"/>
        <v>15386.786224512211</v>
      </c>
      <c r="ES145" s="138">
        <f t="shared" si="331"/>
        <v>0.25</v>
      </c>
      <c r="ET145" s="116">
        <f t="shared" si="471"/>
        <v>2175570</v>
      </c>
      <c r="EU145" s="2">
        <f t="shared" si="332"/>
        <v>1.5748031496062995E-2</v>
      </c>
      <c r="EV145" s="8">
        <f t="shared" si="472"/>
        <v>7.7164372547999998</v>
      </c>
      <c r="EW145" s="116">
        <f t="shared" si="473"/>
        <v>2610.6840000000002</v>
      </c>
      <c r="EX145" s="217">
        <f t="shared" si="474"/>
        <v>0.2719074636505629</v>
      </c>
      <c r="EY145" s="207">
        <f t="shared" si="475"/>
        <v>2.7307927762663891</v>
      </c>
      <c r="EZ145" s="144">
        <f t="shared" si="476"/>
        <v>15386.786224512211</v>
      </c>
      <c r="FA145" s="138">
        <f t="shared" si="333"/>
        <v>0.25</v>
      </c>
      <c r="FB145" s="116">
        <f t="shared" si="477"/>
        <v>2175570</v>
      </c>
      <c r="FC145" s="2">
        <f t="shared" si="334"/>
        <v>1.5748031496062995E-2</v>
      </c>
      <c r="FD145" s="8">
        <f t="shared" si="478"/>
        <v>7.7164372547999998</v>
      </c>
      <c r="FE145" s="116">
        <f t="shared" si="479"/>
        <v>2610.6840000000002</v>
      </c>
      <c r="FF145" s="217">
        <f t="shared" si="480"/>
        <v>0.2719074636505629</v>
      </c>
      <c r="FG145" s="207">
        <f t="shared" si="481"/>
        <v>2.7307927762663891</v>
      </c>
      <c r="FH145" s="144">
        <f t="shared" si="482"/>
        <v>15386.786224512211</v>
      </c>
      <c r="FI145" s="128">
        <f t="shared" si="483"/>
        <v>0.25</v>
      </c>
      <c r="FJ145" s="2">
        <f t="shared" si="484"/>
        <v>1.5748031496062995E-2</v>
      </c>
      <c r="FK145" s="127">
        <f t="shared" si="485"/>
        <v>1.5748031496062995E-2</v>
      </c>
      <c r="FL145" s="216">
        <f t="shared" si="486"/>
        <v>0</v>
      </c>
      <c r="FM145" s="138">
        <f t="shared" si="487"/>
        <v>0</v>
      </c>
      <c r="FN145" s="138">
        <f t="shared" si="488"/>
        <v>0</v>
      </c>
      <c r="FO145" s="238">
        <f t="shared" si="489"/>
        <v>0.25</v>
      </c>
      <c r="FP145" s="216">
        <f t="shared" si="335"/>
        <v>0</v>
      </c>
      <c r="FQ145" s="138">
        <f t="shared" si="336"/>
        <v>0</v>
      </c>
      <c r="FR145" s="138">
        <f t="shared" si="337"/>
        <v>0</v>
      </c>
      <c r="FS145" s="238">
        <f t="shared" si="338"/>
        <v>0.25</v>
      </c>
      <c r="FT145" s="216">
        <f t="shared" si="490"/>
        <v>0</v>
      </c>
      <c r="FU145" s="138">
        <f t="shared" si="491"/>
        <v>0</v>
      </c>
      <c r="FV145" s="138">
        <f t="shared" si="492"/>
        <v>0</v>
      </c>
      <c r="FW145" s="238">
        <f t="shared" si="493"/>
        <v>1.5748031496062995E-2</v>
      </c>
      <c r="FX145" s="216">
        <f t="shared" si="339"/>
        <v>0</v>
      </c>
      <c r="FY145" s="138">
        <f t="shared" si="340"/>
        <v>0</v>
      </c>
      <c r="FZ145" s="138">
        <f t="shared" si="341"/>
        <v>0</v>
      </c>
      <c r="GA145" s="238">
        <f t="shared" si="342"/>
        <v>2.3622047244094495E-2</v>
      </c>
      <c r="GB145" s="216">
        <f t="shared" si="494"/>
        <v>0</v>
      </c>
      <c r="GC145" s="138">
        <f t="shared" si="495"/>
        <v>0</v>
      </c>
      <c r="GD145" s="138">
        <f t="shared" si="496"/>
        <v>0</v>
      </c>
      <c r="GE145" s="238">
        <f t="shared" si="497"/>
        <v>1.5748031496062995E-2</v>
      </c>
      <c r="GF145" s="216">
        <f t="shared" si="343"/>
        <v>0</v>
      </c>
      <c r="GG145" s="138">
        <f t="shared" si="344"/>
        <v>0</v>
      </c>
      <c r="GH145" s="138">
        <f t="shared" si="345"/>
        <v>0</v>
      </c>
      <c r="GI145" s="238">
        <f t="shared" si="346"/>
        <v>2.3622047244094495E-2</v>
      </c>
      <c r="GJ145" s="216">
        <f t="shared" si="498"/>
        <v>0.25</v>
      </c>
      <c r="GK145" s="216">
        <f t="shared" si="499"/>
        <v>2.3622047244094495E-2</v>
      </c>
      <c r="GL145" s="17">
        <f t="shared" si="500"/>
        <v>2.3622047244094495E-2</v>
      </c>
      <c r="GM145" s="216">
        <f t="shared" si="347"/>
        <v>3.6626293897426146E-3</v>
      </c>
      <c r="GN145" s="2">
        <f t="shared" si="501"/>
        <v>1</v>
      </c>
      <c r="GO145" s="2">
        <f t="shared" si="502"/>
        <v>2</v>
      </c>
      <c r="GP145" s="142">
        <f t="shared" si="503"/>
        <v>2</v>
      </c>
      <c r="GQ145" s="2">
        <f t="shared" si="504"/>
        <v>1.5748031496062995E-2</v>
      </c>
      <c r="GR145" s="8">
        <f t="shared" si="348"/>
        <v>3.8544719124797476E-2</v>
      </c>
      <c r="GS145" s="138">
        <f t="shared" si="505"/>
        <v>0.25</v>
      </c>
      <c r="GT145" s="12">
        <f t="shared" si="349"/>
        <v>3194.9415877393876</v>
      </c>
      <c r="GU145" s="138">
        <f t="shared" si="506"/>
        <v>0.25</v>
      </c>
      <c r="GV145" s="116">
        <f t="shared" si="507"/>
        <v>2175570</v>
      </c>
      <c r="GW145" s="2">
        <f t="shared" si="350"/>
        <v>1.5748031496062995E-2</v>
      </c>
      <c r="GX145" s="8">
        <f t="shared" si="351"/>
        <v>3.8582186273999999</v>
      </c>
      <c r="GY145" s="116">
        <f t="shared" si="508"/>
        <v>2610.6840000000002</v>
      </c>
      <c r="GZ145" s="217">
        <f t="shared" si="509"/>
        <v>1.0876298546022516</v>
      </c>
      <c r="HA145" s="207">
        <f t="shared" si="510"/>
        <v>2</v>
      </c>
      <c r="HB145" s="144">
        <f t="shared" si="511"/>
        <v>45076.39351690223</v>
      </c>
      <c r="HC145" s="138">
        <f t="shared" si="352"/>
        <v>0.25</v>
      </c>
      <c r="HD145" s="116">
        <f t="shared" si="512"/>
        <v>2175570</v>
      </c>
      <c r="HE145" s="2">
        <f t="shared" si="353"/>
        <v>1.5748031496062995E-2</v>
      </c>
      <c r="HF145" s="8">
        <f t="shared" si="513"/>
        <v>3.8582186273999999</v>
      </c>
      <c r="HG145" s="116">
        <f t="shared" si="514"/>
        <v>2610.6840000000002</v>
      </c>
      <c r="HH145" s="217">
        <f t="shared" si="515"/>
        <v>1.0876298546022516</v>
      </c>
      <c r="HI145" s="207">
        <f t="shared" si="516"/>
        <v>2</v>
      </c>
      <c r="HJ145" s="144">
        <f t="shared" si="517"/>
        <v>45076.39351690223</v>
      </c>
      <c r="HK145" s="138">
        <f t="shared" si="354"/>
        <v>0.25</v>
      </c>
      <c r="HL145" s="116">
        <f t="shared" si="518"/>
        <v>2175570</v>
      </c>
      <c r="HM145" s="2">
        <f t="shared" si="355"/>
        <v>1.5748031496062995E-2</v>
      </c>
      <c r="HN145" s="8">
        <f t="shared" si="519"/>
        <v>3.8582186273999999</v>
      </c>
      <c r="HO145" s="116">
        <f t="shared" si="520"/>
        <v>2610.6840000000002</v>
      </c>
      <c r="HP145" s="217">
        <f t="shared" si="521"/>
        <v>1.0876298546022516</v>
      </c>
      <c r="HQ145" s="207">
        <f t="shared" si="522"/>
        <v>2</v>
      </c>
      <c r="HR145" s="144">
        <f t="shared" si="523"/>
        <v>45076.39351690223</v>
      </c>
      <c r="HS145" s="128">
        <f t="shared" si="524"/>
        <v>0.25</v>
      </c>
      <c r="HT145" s="2">
        <f t="shared" si="525"/>
        <v>1.5748031496062995E-2</v>
      </c>
      <c r="HU145" s="127">
        <f t="shared" si="526"/>
        <v>1.5748031496062995E-2</v>
      </c>
      <c r="HV145" s="216">
        <f t="shared" si="527"/>
        <v>0</v>
      </c>
      <c r="HW145" s="138">
        <f t="shared" si="528"/>
        <v>0</v>
      </c>
      <c r="HX145" s="138">
        <f t="shared" si="529"/>
        <v>0</v>
      </c>
      <c r="HY145" s="238">
        <f t="shared" si="530"/>
        <v>0.25</v>
      </c>
      <c r="HZ145" s="138">
        <f t="shared" si="531"/>
        <v>0</v>
      </c>
      <c r="IA145" s="138">
        <f t="shared" si="532"/>
        <v>0</v>
      </c>
      <c r="IB145" s="138">
        <f t="shared" si="533"/>
        <v>0</v>
      </c>
      <c r="IC145" s="138">
        <f t="shared" si="534"/>
        <v>0.25</v>
      </c>
      <c r="ID145" s="216">
        <f t="shared" si="535"/>
        <v>0</v>
      </c>
      <c r="IE145" s="138">
        <f t="shared" si="536"/>
        <v>0</v>
      </c>
      <c r="IF145" s="138">
        <f t="shared" si="537"/>
        <v>0</v>
      </c>
      <c r="IG145" s="238">
        <f t="shared" si="538"/>
        <v>1.5748031496062995E-2</v>
      </c>
      <c r="IH145" s="138">
        <f t="shared" si="539"/>
        <v>0</v>
      </c>
      <c r="II145" s="138">
        <f t="shared" si="540"/>
        <v>0</v>
      </c>
      <c r="IJ145" s="138">
        <f t="shared" si="541"/>
        <v>0</v>
      </c>
      <c r="IK145" s="138">
        <f t="shared" si="542"/>
        <v>1.5748031496062995E-2</v>
      </c>
      <c r="IL145" s="216">
        <f t="shared" si="543"/>
        <v>0</v>
      </c>
      <c r="IM145" s="138">
        <f t="shared" si="544"/>
        <v>0</v>
      </c>
      <c r="IN145" s="138">
        <f t="shared" si="545"/>
        <v>0</v>
      </c>
      <c r="IO145" s="238">
        <f t="shared" si="546"/>
        <v>1.5748031496062995E-2</v>
      </c>
      <c r="IP145" s="138">
        <f t="shared" si="547"/>
        <v>0</v>
      </c>
      <c r="IQ145" s="138">
        <f t="shared" si="548"/>
        <v>0</v>
      </c>
      <c r="IR145" s="138">
        <f t="shared" si="549"/>
        <v>0</v>
      </c>
      <c r="IS145" s="138">
        <f t="shared" si="550"/>
        <v>1.5748031496062995E-2</v>
      </c>
      <c r="IT145" s="17">
        <f t="shared" si="551"/>
        <v>0.25</v>
      </c>
      <c r="IU145" s="17">
        <f t="shared" si="552"/>
        <v>1.5748031496062995E-2</v>
      </c>
      <c r="IV145" s="17">
        <f t="shared" si="553"/>
        <v>1.5748031496062995E-2</v>
      </c>
      <c r="IW145" s="253">
        <f t="shared" si="554"/>
        <v>21.434547929999997</v>
      </c>
      <c r="IX145" s="116">
        <f t="shared" si="356"/>
        <v>92.472066563673181</v>
      </c>
      <c r="IY145" s="8">
        <f t="shared" si="357"/>
        <v>2.3908923841598367E-3</v>
      </c>
      <c r="IZ145" s="8">
        <f t="shared" si="555"/>
        <v>2.3908923841598367E-3</v>
      </c>
      <c r="JA145" s="8">
        <f t="shared" si="556"/>
        <v>1.1954461920799183E-3</v>
      </c>
      <c r="JB145" s="134">
        <f t="shared" si="557"/>
        <v>3.45752251197287E-2</v>
      </c>
      <c r="JC145" s="170">
        <f t="shared" si="564"/>
        <v>2.1476328638547018E-3</v>
      </c>
      <c r="JD145" s="272">
        <f t="shared" si="565"/>
        <v>4.6342559962249626E-2</v>
      </c>
      <c r="JE145" s="8"/>
      <c r="JF145" s="8"/>
    </row>
    <row r="146" spans="1:266" x14ac:dyDescent="0.25">
      <c r="A146" s="186">
        <v>86</v>
      </c>
      <c r="B146" s="187">
        <f>A146/100*'Inputs-Imperial'!$E$5</f>
        <v>20.709974415999998</v>
      </c>
      <c r="C146" s="188">
        <f>'Inputs-Imperial'!$E$10+('Inputs-Imperial'!$E$9-'Inputs-Imperial'!$E$10)*(100-A146)/100</f>
        <v>3.5546260980000004</v>
      </c>
      <c r="D146" s="187">
        <f t="shared" si="558"/>
        <v>0.24081365600000026</v>
      </c>
      <c r="E146" s="188">
        <f t="shared" si="559"/>
        <v>0.85814557416374249</v>
      </c>
      <c r="F146" s="423">
        <f>Loads!P106</f>
        <v>85.273828978889782</v>
      </c>
      <c r="G146" s="423">
        <f>Loads!M106</f>
        <v>852.73828978889776</v>
      </c>
      <c r="H146" s="423">
        <f>Loads!N106</f>
        <v>1428.7474798930084</v>
      </c>
      <c r="I146" s="423">
        <f>Loads!V106</f>
        <v>-1235.0817031352267</v>
      </c>
      <c r="J146" s="423">
        <f>Loads!Q106</f>
        <v>142.87474798930083</v>
      </c>
      <c r="K146" s="2">
        <v>86</v>
      </c>
      <c r="L146" s="12">
        <f t="shared" si="358"/>
        <v>248.51969299199999</v>
      </c>
      <c r="M146" s="11">
        <f t="shared" si="359"/>
        <v>42.655513176000007</v>
      </c>
      <c r="N146" s="11">
        <f t="shared" si="360"/>
        <v>2.8897638720000032</v>
      </c>
      <c r="O146" s="152">
        <f t="shared" si="361"/>
        <v>123.57296267957891</v>
      </c>
      <c r="P146" s="151">
        <f t="shared" si="362"/>
        <v>85.273828978889782</v>
      </c>
      <c r="Q146" s="12">
        <f t="shared" si="363"/>
        <v>852.73828978889776</v>
      </c>
      <c r="R146" s="12">
        <f t="shared" si="364"/>
        <v>17144.969758716099</v>
      </c>
      <c r="S146" s="12">
        <f t="shared" si="365"/>
        <v>-14820.98043762272</v>
      </c>
      <c r="T146" s="152">
        <f t="shared" si="366"/>
        <v>1714.4969758716099</v>
      </c>
      <c r="U146" s="8">
        <f t="shared" si="313"/>
        <v>7.6779923716800011</v>
      </c>
      <c r="V146" s="8">
        <f t="shared" si="314"/>
        <v>7.6779923716800011</v>
      </c>
      <c r="W146" s="134">
        <f t="shared" si="315"/>
        <v>3.8389961858400006</v>
      </c>
      <c r="X146" s="311">
        <f t="shared" si="316"/>
        <v>10.663878294000002</v>
      </c>
      <c r="Y146" s="11">
        <f t="shared" si="317"/>
        <v>31.991634882000007</v>
      </c>
      <c r="Z146" s="11">
        <f t="shared" si="318"/>
        <v>21.327756588000007</v>
      </c>
      <c r="AA146" s="316">
        <f t="shared" si="367"/>
        <v>31.991634882000007</v>
      </c>
      <c r="AB146" s="170">
        <f t="shared" si="368"/>
        <v>5.7584942787600006</v>
      </c>
      <c r="AC146" s="11">
        <f t="shared" si="369"/>
        <v>31.991634882000007</v>
      </c>
      <c r="AD146" s="152">
        <f t="shared" si="370"/>
        <v>144.6889135653534</v>
      </c>
      <c r="AE146" s="151">
        <f t="shared" si="319"/>
        <v>2.6655039448099238</v>
      </c>
      <c r="AF146" s="12">
        <f t="shared" si="320"/>
        <v>51.216710639437999</v>
      </c>
      <c r="AG146" s="216">
        <f t="shared" si="321"/>
        <v>3.5301383429884223E-3</v>
      </c>
      <c r="AH146" s="2">
        <f t="shared" si="371"/>
        <v>1</v>
      </c>
      <c r="AI146" s="2">
        <f t="shared" si="372"/>
        <v>3</v>
      </c>
      <c r="AJ146" s="127">
        <f t="shared" si="373"/>
        <v>2</v>
      </c>
      <c r="AK146" s="2">
        <f t="shared" si="374"/>
        <v>1.5748031496062995E-2</v>
      </c>
      <c r="AL146" s="8">
        <f t="shared" si="322"/>
        <v>3.7150412019090112E-2</v>
      </c>
      <c r="AM146" s="138">
        <f t="shared" si="375"/>
        <v>0.25</v>
      </c>
      <c r="AN146" s="12">
        <f t="shared" si="323"/>
        <v>3079.3685634897683</v>
      </c>
      <c r="AO146" s="138">
        <f t="shared" si="376"/>
        <v>0.25</v>
      </c>
      <c r="AP146" s="116">
        <f t="shared" si="377"/>
        <v>2175570</v>
      </c>
      <c r="AQ146" s="2">
        <f t="shared" si="378"/>
        <v>1.5748031496062995E-2</v>
      </c>
      <c r="AR146" s="8">
        <f t="shared" si="379"/>
        <v>21.327756588000007</v>
      </c>
      <c r="AS146" s="116">
        <f t="shared" si="380"/>
        <v>2610.6840000000002</v>
      </c>
      <c r="AT146" s="217">
        <f t="shared" si="381"/>
        <v>3.5592987002119901E-2</v>
      </c>
      <c r="AU146" s="207">
        <f t="shared" si="382"/>
        <v>4.7113733579064503</v>
      </c>
      <c r="AV146" s="144">
        <f t="shared" si="383"/>
        <v>3474.9615502457877</v>
      </c>
      <c r="AW146" s="138">
        <f t="shared" si="384"/>
        <v>0.25</v>
      </c>
      <c r="AX146" s="116">
        <f t="shared" si="385"/>
        <v>2175570</v>
      </c>
      <c r="AY146" s="2">
        <f t="shared" si="386"/>
        <v>1.5748031496062995E-2</v>
      </c>
      <c r="AZ146" s="8">
        <f t="shared" si="387"/>
        <v>21.327756588000007</v>
      </c>
      <c r="BA146" s="116">
        <f t="shared" si="388"/>
        <v>2610.6840000000002</v>
      </c>
      <c r="BB146" s="217">
        <f t="shared" si="389"/>
        <v>3.5592987002119901E-2</v>
      </c>
      <c r="BC146" s="207">
        <f t="shared" si="390"/>
        <v>4.7113733579064503</v>
      </c>
      <c r="BD146" s="144">
        <f t="shared" si="391"/>
        <v>3474.9615502457877</v>
      </c>
      <c r="BE146" s="138">
        <f t="shared" si="392"/>
        <v>0.25</v>
      </c>
      <c r="BF146" s="116">
        <f t="shared" si="393"/>
        <v>2175570</v>
      </c>
      <c r="BG146" s="2">
        <f t="shared" si="394"/>
        <v>1.5748031496062995E-2</v>
      </c>
      <c r="BH146" s="8">
        <f t="shared" si="395"/>
        <v>21.327756588000007</v>
      </c>
      <c r="BI146" s="116">
        <f t="shared" si="396"/>
        <v>2610.6840000000002</v>
      </c>
      <c r="BJ146" s="217">
        <f t="shared" si="397"/>
        <v>3.5592987002119901E-2</v>
      </c>
      <c r="BK146" s="207">
        <f t="shared" si="398"/>
        <v>4.7113733579064503</v>
      </c>
      <c r="BL146" s="144">
        <f t="shared" si="399"/>
        <v>3474.9615502457877</v>
      </c>
      <c r="BM146" s="216">
        <f t="shared" si="400"/>
        <v>0.25</v>
      </c>
      <c r="BN146" s="216">
        <f t="shared" si="401"/>
        <v>2.3622047244094495E-2</v>
      </c>
      <c r="BO146" s="238">
        <f t="shared" si="402"/>
        <v>1.5748031496062995E-2</v>
      </c>
      <c r="BP146" s="216">
        <f t="shared" si="403"/>
        <v>0</v>
      </c>
      <c r="BQ146" s="138">
        <f t="shared" si="404"/>
        <v>0</v>
      </c>
      <c r="BR146" s="138">
        <f t="shared" si="405"/>
        <v>0</v>
      </c>
      <c r="BS146" s="238">
        <f t="shared" si="406"/>
        <v>0.25</v>
      </c>
      <c r="BT146" s="138">
        <f t="shared" si="407"/>
        <v>0</v>
      </c>
      <c r="BU146" s="138">
        <f t="shared" si="408"/>
        <v>0</v>
      </c>
      <c r="BV146" s="138">
        <f t="shared" si="409"/>
        <v>0</v>
      </c>
      <c r="BW146" s="238">
        <f t="shared" si="410"/>
        <v>0.75</v>
      </c>
      <c r="BX146" s="216">
        <f t="shared" si="411"/>
        <v>0</v>
      </c>
      <c r="BY146" s="138">
        <f t="shared" si="412"/>
        <v>0</v>
      </c>
      <c r="BZ146" s="138">
        <f t="shared" si="413"/>
        <v>0</v>
      </c>
      <c r="CA146" s="238">
        <f t="shared" si="414"/>
        <v>2.3622047244094495E-2</v>
      </c>
      <c r="CB146" s="138">
        <f t="shared" si="415"/>
        <v>0</v>
      </c>
      <c r="CC146" s="138">
        <f t="shared" si="416"/>
        <v>0</v>
      </c>
      <c r="CD146" s="138">
        <f t="shared" si="417"/>
        <v>0</v>
      </c>
      <c r="CE146" s="238">
        <f t="shared" si="418"/>
        <v>2.3622047244094495E-2</v>
      </c>
      <c r="CF146" s="216">
        <f t="shared" si="419"/>
        <v>0</v>
      </c>
      <c r="CG146" s="138">
        <f t="shared" si="420"/>
        <v>0</v>
      </c>
      <c r="CH146" s="138">
        <f t="shared" si="421"/>
        <v>0</v>
      </c>
      <c r="CI146" s="238">
        <f t="shared" si="422"/>
        <v>1.5748031496062995E-2</v>
      </c>
      <c r="CJ146" s="138">
        <f t="shared" si="423"/>
        <v>0</v>
      </c>
      <c r="CK146" s="138">
        <f t="shared" si="424"/>
        <v>0</v>
      </c>
      <c r="CL146" s="138">
        <f t="shared" si="425"/>
        <v>0</v>
      </c>
      <c r="CM146" s="238">
        <f t="shared" si="426"/>
        <v>1.5748031496062995E-2</v>
      </c>
      <c r="CN146" s="17">
        <f t="shared" si="427"/>
        <v>0.75</v>
      </c>
      <c r="CO146" s="17">
        <f t="shared" si="428"/>
        <v>2.3622047244094495E-2</v>
      </c>
      <c r="CP146" s="17">
        <f t="shared" si="429"/>
        <v>1.5748031496062995E-2</v>
      </c>
      <c r="CQ146" s="17">
        <f>$U146-IF('Inputs-Imperial'!$E$13,0,2)*($CO146+$CN146+$CP146)</f>
        <v>7.6779923716800011</v>
      </c>
      <c r="CR146" s="116">
        <f t="shared" si="430"/>
        <v>2233.0016661588129</v>
      </c>
      <c r="CS146" s="8">
        <f t="shared" si="324"/>
        <v>5.7734912561504897E-2</v>
      </c>
      <c r="CT146" s="8">
        <f t="shared" si="431"/>
        <v>0.24028090344741276</v>
      </c>
      <c r="CU146" s="8">
        <f t="shared" si="325"/>
        <v>5.7734912561504897E-2</v>
      </c>
      <c r="CV146" s="8">
        <f t="shared" si="432"/>
        <v>0.24028090344741276</v>
      </c>
      <c r="CW146" s="216">
        <f t="shared" si="433"/>
        <v>7.437711468232588</v>
      </c>
      <c r="CX146" s="116">
        <f t="shared" si="434"/>
        <v>2305.1404766028431</v>
      </c>
      <c r="CY146" s="8">
        <f t="shared" si="435"/>
        <v>5.9600082649103416E-2</v>
      </c>
      <c r="CZ146" s="8">
        <f t="shared" si="436"/>
        <v>0.24413128158657468</v>
      </c>
      <c r="DA146" s="8">
        <f t="shared" si="437"/>
        <v>5.9600082649103416E-2</v>
      </c>
      <c r="DB146" s="8">
        <f t="shared" si="438"/>
        <v>0.24413128158657468</v>
      </c>
      <c r="DC146" s="216">
        <f t="shared" si="439"/>
        <v>7.4338610900934272</v>
      </c>
      <c r="DD146" s="116">
        <f t="shared" si="440"/>
        <v>2306.3344271476863</v>
      </c>
      <c r="DE146" s="8">
        <f t="shared" si="441"/>
        <v>5.9630952590381987E-2</v>
      </c>
      <c r="DF146" s="8">
        <f t="shared" si="442"/>
        <v>0.24419449746131053</v>
      </c>
      <c r="DG146" s="8">
        <f t="shared" si="443"/>
        <v>5.9630952590381987E-2</v>
      </c>
      <c r="DH146" s="8">
        <f t="shared" si="444"/>
        <v>0.24419449746131053</v>
      </c>
      <c r="DI146" s="216">
        <f t="shared" si="445"/>
        <v>7.4337978742186914</v>
      </c>
      <c r="DJ146" s="116">
        <f t="shared" si="446"/>
        <v>2306.3540398612295</v>
      </c>
      <c r="DK146" s="8">
        <f t="shared" si="447"/>
        <v>5.9631459682839047E-2</v>
      </c>
      <c r="DL146" s="8">
        <f t="shared" si="448"/>
        <v>0.24419553575534308</v>
      </c>
      <c r="DM146" s="8">
        <f t="shared" si="449"/>
        <v>5.9631459682839047E-2</v>
      </c>
      <c r="DN146" s="8">
        <f t="shared" si="450"/>
        <v>0.24419553575534308</v>
      </c>
      <c r="DO146" s="216">
        <f t="shared" si="451"/>
        <v>7.4337968359246576</v>
      </c>
      <c r="DP146" s="116">
        <f t="shared" si="452"/>
        <v>2306.3543619945476</v>
      </c>
      <c r="DQ146" s="170">
        <f t="shared" si="453"/>
        <v>5.9631468011690406E-2</v>
      </c>
      <c r="DR146" s="8">
        <f t="shared" si="454"/>
        <v>0.24419555280899446</v>
      </c>
      <c r="DS146" s="8">
        <f t="shared" si="455"/>
        <v>5.9631468011690406E-2</v>
      </c>
      <c r="DT146" s="134">
        <f t="shared" si="456"/>
        <v>0.24419555280899446</v>
      </c>
      <c r="DU146" s="170">
        <f t="shared" si="563"/>
        <v>0.12489389406218925</v>
      </c>
      <c r="DV146" s="170">
        <f t="shared" si="563"/>
        <v>0.35340330227968902</v>
      </c>
      <c r="DW146" s="170">
        <f t="shared" si="563"/>
        <v>0.12489389406218925</v>
      </c>
      <c r="DX146" s="272">
        <f t="shared" si="563"/>
        <v>0.35340330227968902</v>
      </c>
      <c r="DY146" s="272">
        <f t="shared" si="457"/>
        <v>6.9711857671206223</v>
      </c>
      <c r="DZ146" s="22">
        <f t="shared" si="326"/>
        <v>111.06266436708016</v>
      </c>
      <c r="EA146" s="216">
        <f t="shared" si="327"/>
        <v>7.2763633228857946E-3</v>
      </c>
      <c r="EB146" s="12">
        <f t="shared" si="458"/>
        <v>1</v>
      </c>
      <c r="EC146" s="7">
        <f>ROUND(MAX(DV146,DX146)/'Inputs-Imperial'!$E$21,0)</f>
        <v>3</v>
      </c>
      <c r="ED146" s="12">
        <f t="shared" si="459"/>
        <v>3</v>
      </c>
      <c r="EE146" s="2">
        <f t="shared" si="460"/>
        <v>2</v>
      </c>
      <c r="EF146" s="127">
        <f t="shared" si="461"/>
        <v>2</v>
      </c>
      <c r="EG146" s="2">
        <f t="shared" si="462"/>
        <v>1.5748031496062995E-2</v>
      </c>
      <c r="EH146" s="8">
        <f t="shared" si="328"/>
        <v>7.6574873045050368E-2</v>
      </c>
      <c r="EI146" s="138">
        <f t="shared" si="463"/>
        <v>0.25</v>
      </c>
      <c r="EJ146" s="12">
        <f t="shared" si="329"/>
        <v>6347.2312685786301</v>
      </c>
      <c r="EK146" s="138">
        <f t="shared" si="464"/>
        <v>0.25</v>
      </c>
      <c r="EL146" s="116">
        <f t="shared" si="465"/>
        <v>2175570</v>
      </c>
      <c r="EM146" s="2">
        <f t="shared" si="330"/>
        <v>1.5748031496062995E-2</v>
      </c>
      <c r="EN146" s="8">
        <f t="shared" si="466"/>
        <v>7.6779923716800011</v>
      </c>
      <c r="EO146" s="116">
        <f t="shared" si="467"/>
        <v>2610.6840000000002</v>
      </c>
      <c r="EP146" s="217">
        <f t="shared" si="468"/>
        <v>0.27463724538672774</v>
      </c>
      <c r="EQ146" s="207">
        <f t="shared" si="469"/>
        <v>2.7182757293613591</v>
      </c>
      <c r="ER146" s="144">
        <f t="shared" si="470"/>
        <v>15470.024010636236</v>
      </c>
      <c r="ES146" s="138">
        <f t="shared" si="331"/>
        <v>0.25</v>
      </c>
      <c r="ET146" s="116">
        <f t="shared" si="471"/>
        <v>2175570</v>
      </c>
      <c r="EU146" s="2">
        <f t="shared" si="332"/>
        <v>1.5748031496062995E-2</v>
      </c>
      <c r="EV146" s="8">
        <f t="shared" si="472"/>
        <v>7.6779923716800011</v>
      </c>
      <c r="EW146" s="116">
        <f t="shared" si="473"/>
        <v>2610.6840000000002</v>
      </c>
      <c r="EX146" s="217">
        <f t="shared" si="474"/>
        <v>0.27463724538672774</v>
      </c>
      <c r="EY146" s="207">
        <f t="shared" si="475"/>
        <v>2.7182757293613591</v>
      </c>
      <c r="EZ146" s="144">
        <f t="shared" si="476"/>
        <v>15470.024010636236</v>
      </c>
      <c r="FA146" s="138">
        <f t="shared" si="333"/>
        <v>0.25</v>
      </c>
      <c r="FB146" s="116">
        <f t="shared" si="477"/>
        <v>2175570</v>
      </c>
      <c r="FC146" s="2">
        <f t="shared" si="334"/>
        <v>1.5748031496062995E-2</v>
      </c>
      <c r="FD146" s="8">
        <f t="shared" si="478"/>
        <v>7.6779923716800011</v>
      </c>
      <c r="FE146" s="116">
        <f t="shared" si="479"/>
        <v>2610.6840000000002</v>
      </c>
      <c r="FF146" s="217">
        <f t="shared" si="480"/>
        <v>0.27463724538672774</v>
      </c>
      <c r="FG146" s="207">
        <f t="shared" si="481"/>
        <v>2.7182757293613591</v>
      </c>
      <c r="FH146" s="144">
        <f t="shared" si="482"/>
        <v>15470.024010636236</v>
      </c>
      <c r="FI146" s="128">
        <f t="shared" si="483"/>
        <v>0.25</v>
      </c>
      <c r="FJ146" s="2">
        <f t="shared" si="484"/>
        <v>1.5748031496062995E-2</v>
      </c>
      <c r="FK146" s="127">
        <f t="shared" si="485"/>
        <v>1.5748031496062995E-2</v>
      </c>
      <c r="FL146" s="216">
        <f t="shared" si="486"/>
        <v>0</v>
      </c>
      <c r="FM146" s="138">
        <f t="shared" si="487"/>
        <v>0</v>
      </c>
      <c r="FN146" s="138">
        <f t="shared" si="488"/>
        <v>0</v>
      </c>
      <c r="FO146" s="238">
        <f t="shared" si="489"/>
        <v>0.25</v>
      </c>
      <c r="FP146" s="216">
        <f t="shared" si="335"/>
        <v>0</v>
      </c>
      <c r="FQ146" s="138">
        <f t="shared" si="336"/>
        <v>0</v>
      </c>
      <c r="FR146" s="138">
        <f t="shared" si="337"/>
        <v>0</v>
      </c>
      <c r="FS146" s="238">
        <f t="shared" si="338"/>
        <v>0.25</v>
      </c>
      <c r="FT146" s="216">
        <f t="shared" si="490"/>
        <v>0</v>
      </c>
      <c r="FU146" s="138">
        <f t="shared" si="491"/>
        <v>0</v>
      </c>
      <c r="FV146" s="138">
        <f t="shared" si="492"/>
        <v>0</v>
      </c>
      <c r="FW146" s="238">
        <f t="shared" si="493"/>
        <v>1.5748031496062995E-2</v>
      </c>
      <c r="FX146" s="216">
        <f t="shared" si="339"/>
        <v>0</v>
      </c>
      <c r="FY146" s="138">
        <f t="shared" si="340"/>
        <v>0</v>
      </c>
      <c r="FZ146" s="138">
        <f t="shared" si="341"/>
        <v>0</v>
      </c>
      <c r="GA146" s="238">
        <f t="shared" si="342"/>
        <v>2.3622047244094495E-2</v>
      </c>
      <c r="GB146" s="216">
        <f t="shared" si="494"/>
        <v>0</v>
      </c>
      <c r="GC146" s="138">
        <f t="shared" si="495"/>
        <v>0</v>
      </c>
      <c r="GD146" s="138">
        <f t="shared" si="496"/>
        <v>0</v>
      </c>
      <c r="GE146" s="238">
        <f t="shared" si="497"/>
        <v>1.5748031496062995E-2</v>
      </c>
      <c r="GF146" s="216">
        <f t="shared" si="343"/>
        <v>0</v>
      </c>
      <c r="GG146" s="138">
        <f t="shared" si="344"/>
        <v>0</v>
      </c>
      <c r="GH146" s="138">
        <f t="shared" si="345"/>
        <v>0</v>
      </c>
      <c r="GI146" s="238">
        <f t="shared" si="346"/>
        <v>2.3622047244094495E-2</v>
      </c>
      <c r="GJ146" s="216">
        <f t="shared" si="498"/>
        <v>0.25</v>
      </c>
      <c r="GK146" s="216">
        <f t="shared" si="499"/>
        <v>2.3622047244094495E-2</v>
      </c>
      <c r="GL146" s="17">
        <f t="shared" si="500"/>
        <v>2.3622047244094495E-2</v>
      </c>
      <c r="GM146" s="216">
        <f t="shared" si="347"/>
        <v>3.3555056232391633E-3</v>
      </c>
      <c r="GN146" s="2">
        <f t="shared" si="501"/>
        <v>1</v>
      </c>
      <c r="GO146" s="2">
        <f t="shared" si="502"/>
        <v>2</v>
      </c>
      <c r="GP146" s="142">
        <f t="shared" si="503"/>
        <v>2</v>
      </c>
      <c r="GQ146" s="2">
        <f t="shared" si="504"/>
        <v>1.5748031496062995E-2</v>
      </c>
      <c r="GR146" s="8">
        <f t="shared" si="348"/>
        <v>3.5312615066008905E-2</v>
      </c>
      <c r="GS146" s="138">
        <f t="shared" si="505"/>
        <v>0.25</v>
      </c>
      <c r="GT146" s="12">
        <f t="shared" si="349"/>
        <v>2927.035013043881</v>
      </c>
      <c r="GU146" s="138">
        <f t="shared" si="506"/>
        <v>0.25</v>
      </c>
      <c r="GV146" s="116">
        <f t="shared" si="507"/>
        <v>2175570</v>
      </c>
      <c r="GW146" s="2">
        <f t="shared" si="350"/>
        <v>1.5748031496062995E-2</v>
      </c>
      <c r="GX146" s="8">
        <f t="shared" si="351"/>
        <v>3.8389961858400006</v>
      </c>
      <c r="GY146" s="116">
        <f t="shared" si="508"/>
        <v>2610.6840000000002</v>
      </c>
      <c r="GZ146" s="217">
        <f t="shared" si="509"/>
        <v>1.0985489815469109</v>
      </c>
      <c r="HA146" s="207">
        <f t="shared" si="510"/>
        <v>2</v>
      </c>
      <c r="HB146" s="144">
        <f t="shared" si="511"/>
        <v>45528.932458285439</v>
      </c>
      <c r="HC146" s="138">
        <f t="shared" si="352"/>
        <v>0.25</v>
      </c>
      <c r="HD146" s="116">
        <f t="shared" si="512"/>
        <v>2175570</v>
      </c>
      <c r="HE146" s="2">
        <f t="shared" si="353"/>
        <v>1.5748031496062995E-2</v>
      </c>
      <c r="HF146" s="8">
        <f t="shared" si="513"/>
        <v>3.8389961858400006</v>
      </c>
      <c r="HG146" s="116">
        <f t="shared" si="514"/>
        <v>2610.6840000000002</v>
      </c>
      <c r="HH146" s="217">
        <f t="shared" si="515"/>
        <v>1.0985489815469109</v>
      </c>
      <c r="HI146" s="207">
        <f t="shared" si="516"/>
        <v>2</v>
      </c>
      <c r="HJ146" s="144">
        <f t="shared" si="517"/>
        <v>45528.932458285439</v>
      </c>
      <c r="HK146" s="138">
        <f t="shared" si="354"/>
        <v>0.25</v>
      </c>
      <c r="HL146" s="116">
        <f t="shared" si="518"/>
        <v>2175570</v>
      </c>
      <c r="HM146" s="2">
        <f t="shared" si="355"/>
        <v>1.5748031496062995E-2</v>
      </c>
      <c r="HN146" s="8">
        <f t="shared" si="519"/>
        <v>3.8389961858400006</v>
      </c>
      <c r="HO146" s="116">
        <f t="shared" si="520"/>
        <v>2610.6840000000002</v>
      </c>
      <c r="HP146" s="217">
        <f t="shared" si="521"/>
        <v>1.0985489815469109</v>
      </c>
      <c r="HQ146" s="207">
        <f t="shared" si="522"/>
        <v>2</v>
      </c>
      <c r="HR146" s="144">
        <f t="shared" si="523"/>
        <v>45528.932458285439</v>
      </c>
      <c r="HS146" s="128">
        <f t="shared" si="524"/>
        <v>0.25</v>
      </c>
      <c r="HT146" s="2">
        <f t="shared" si="525"/>
        <v>1.5748031496062995E-2</v>
      </c>
      <c r="HU146" s="127">
        <f t="shared" si="526"/>
        <v>1.5748031496062995E-2</v>
      </c>
      <c r="HV146" s="216">
        <f t="shared" si="527"/>
        <v>0</v>
      </c>
      <c r="HW146" s="138">
        <f t="shared" si="528"/>
        <v>0</v>
      </c>
      <c r="HX146" s="138">
        <f t="shared" si="529"/>
        <v>0</v>
      </c>
      <c r="HY146" s="238">
        <f t="shared" si="530"/>
        <v>0.25</v>
      </c>
      <c r="HZ146" s="138">
        <f t="shared" si="531"/>
        <v>0</v>
      </c>
      <c r="IA146" s="138">
        <f t="shared" si="532"/>
        <v>0</v>
      </c>
      <c r="IB146" s="138">
        <f t="shared" si="533"/>
        <v>0</v>
      </c>
      <c r="IC146" s="138">
        <f t="shared" si="534"/>
        <v>0.25</v>
      </c>
      <c r="ID146" s="216">
        <f t="shared" si="535"/>
        <v>0</v>
      </c>
      <c r="IE146" s="138">
        <f t="shared" si="536"/>
        <v>0</v>
      </c>
      <c r="IF146" s="138">
        <f t="shared" si="537"/>
        <v>0</v>
      </c>
      <c r="IG146" s="238">
        <f t="shared" si="538"/>
        <v>1.5748031496062995E-2</v>
      </c>
      <c r="IH146" s="138">
        <f t="shared" si="539"/>
        <v>0</v>
      </c>
      <c r="II146" s="138">
        <f t="shared" si="540"/>
        <v>0</v>
      </c>
      <c r="IJ146" s="138">
        <f t="shared" si="541"/>
        <v>0</v>
      </c>
      <c r="IK146" s="138">
        <f t="shared" si="542"/>
        <v>1.5748031496062995E-2</v>
      </c>
      <c r="IL146" s="216">
        <f t="shared" si="543"/>
        <v>0</v>
      </c>
      <c r="IM146" s="138">
        <f t="shared" si="544"/>
        <v>0</v>
      </c>
      <c r="IN146" s="138">
        <f t="shared" si="545"/>
        <v>0</v>
      </c>
      <c r="IO146" s="238">
        <f t="shared" si="546"/>
        <v>1.5748031496062995E-2</v>
      </c>
      <c r="IP146" s="138">
        <f t="shared" si="547"/>
        <v>0</v>
      </c>
      <c r="IQ146" s="138">
        <f t="shared" si="548"/>
        <v>0</v>
      </c>
      <c r="IR146" s="138">
        <f t="shared" si="549"/>
        <v>0</v>
      </c>
      <c r="IS146" s="138">
        <f t="shared" si="550"/>
        <v>1.5748031496062995E-2</v>
      </c>
      <c r="IT146" s="17">
        <f t="shared" si="551"/>
        <v>0.25</v>
      </c>
      <c r="IU146" s="17">
        <f t="shared" si="552"/>
        <v>1.5748031496062995E-2</v>
      </c>
      <c r="IV146" s="17">
        <f t="shared" si="553"/>
        <v>1.5748031496062995E-2</v>
      </c>
      <c r="IW146" s="253">
        <f t="shared" si="554"/>
        <v>21.327756588000007</v>
      </c>
      <c r="IX146" s="116">
        <f t="shared" si="356"/>
        <v>80.388059981717262</v>
      </c>
      <c r="IY146" s="8">
        <f t="shared" si="357"/>
        <v>2.0784568522141762E-3</v>
      </c>
      <c r="IZ146" s="8">
        <f t="shared" si="555"/>
        <v>2.0784568522141762E-3</v>
      </c>
      <c r="JA146" s="8">
        <f t="shared" si="556"/>
        <v>1.0392284261070881E-3</v>
      </c>
      <c r="JB146" s="134">
        <f t="shared" si="557"/>
        <v>3.2237066028208708E-2</v>
      </c>
      <c r="JC146" s="170">
        <f t="shared" si="564"/>
        <v>2.1476328638547018E-3</v>
      </c>
      <c r="JD146" s="272">
        <f t="shared" si="565"/>
        <v>4.6342559962249626E-2</v>
      </c>
      <c r="JE146" s="8"/>
      <c r="JF146" s="8"/>
    </row>
    <row r="147" spans="1:266" x14ac:dyDescent="0.25">
      <c r="A147" s="186">
        <v>87</v>
      </c>
      <c r="B147" s="187">
        <f>A147/100*'Inputs-Imperial'!$E$5</f>
        <v>20.950788071999998</v>
      </c>
      <c r="C147" s="188">
        <f>'Inputs-Imperial'!$E$10+('Inputs-Imperial'!$E$9-'Inputs-Imperial'!$E$10)*(100-A147)/100</f>
        <v>3.5368275410000001</v>
      </c>
      <c r="D147" s="187">
        <f t="shared" si="558"/>
        <v>0.24081365600000026</v>
      </c>
      <c r="E147" s="188">
        <f t="shared" si="559"/>
        <v>0.85385943858104818</v>
      </c>
      <c r="F147" s="423">
        <f>Loads!P107</f>
        <v>78.069794483240614</v>
      </c>
      <c r="G147" s="423">
        <f>Loads!M107</f>
        <v>780.69794483240617</v>
      </c>
      <c r="H147" s="423">
        <f>Loads!N107</f>
        <v>1223.3964547177563</v>
      </c>
      <c r="I147" s="423">
        <f>Loads!V107</f>
        <v>-1112.8359566030217</v>
      </c>
      <c r="J147" s="423">
        <f>Loads!Q107</f>
        <v>122.33964547177561</v>
      </c>
      <c r="K147" s="2">
        <v>87</v>
      </c>
      <c r="L147" s="12">
        <f t="shared" si="358"/>
        <v>251.40945686399999</v>
      </c>
      <c r="M147" s="11">
        <f t="shared" si="359"/>
        <v>42.441930491999997</v>
      </c>
      <c r="N147" s="11">
        <f t="shared" si="360"/>
        <v>2.8897638720000032</v>
      </c>
      <c r="O147" s="152">
        <f t="shared" si="361"/>
        <v>122.95575915567093</v>
      </c>
      <c r="P147" s="151">
        <f t="shared" si="362"/>
        <v>78.069794483240614</v>
      </c>
      <c r="Q147" s="12">
        <f t="shared" si="363"/>
        <v>780.69794483240617</v>
      </c>
      <c r="R147" s="12">
        <f t="shared" si="364"/>
        <v>14680.757456613075</v>
      </c>
      <c r="S147" s="12">
        <f t="shared" si="365"/>
        <v>-13354.031479236261</v>
      </c>
      <c r="T147" s="152">
        <f t="shared" si="366"/>
        <v>1468.0757456613073</v>
      </c>
      <c r="U147" s="8">
        <f t="shared" si="313"/>
        <v>7.639547488559999</v>
      </c>
      <c r="V147" s="8">
        <f t="shared" si="314"/>
        <v>7.639547488559999</v>
      </c>
      <c r="W147" s="134">
        <f t="shared" si="315"/>
        <v>3.8197737442799995</v>
      </c>
      <c r="X147" s="311">
        <f t="shared" si="316"/>
        <v>10.610482622999999</v>
      </c>
      <c r="Y147" s="11">
        <f t="shared" si="317"/>
        <v>31.831447868999998</v>
      </c>
      <c r="Z147" s="11">
        <f t="shared" si="318"/>
        <v>21.220965245999999</v>
      </c>
      <c r="AA147" s="316">
        <f t="shared" si="367"/>
        <v>31.831447868999998</v>
      </c>
      <c r="AB147" s="170">
        <f t="shared" si="368"/>
        <v>5.7296606164199995</v>
      </c>
      <c r="AC147" s="11">
        <f t="shared" si="369"/>
        <v>31.831447868999998</v>
      </c>
      <c r="AD147" s="152">
        <f t="shared" si="370"/>
        <v>143.24358206811104</v>
      </c>
      <c r="AE147" s="151">
        <f t="shared" si="319"/>
        <v>2.4525995425822651</v>
      </c>
      <c r="AF147" s="12">
        <f t="shared" si="320"/>
        <v>46.613018490722112</v>
      </c>
      <c r="AG147" s="216">
        <f t="shared" si="321"/>
        <v>3.2145749924767978E-3</v>
      </c>
      <c r="AH147" s="2">
        <f t="shared" si="371"/>
        <v>1</v>
      </c>
      <c r="AI147" s="2">
        <f t="shared" si="372"/>
        <v>3</v>
      </c>
      <c r="AJ147" s="127">
        <f t="shared" si="373"/>
        <v>2</v>
      </c>
      <c r="AK147" s="2">
        <f t="shared" si="374"/>
        <v>1.5748031496062995E-2</v>
      </c>
      <c r="AL147" s="8">
        <f t="shared" si="322"/>
        <v>3.3829491604479088E-2</v>
      </c>
      <c r="AM147" s="138">
        <f t="shared" si="375"/>
        <v>0.25</v>
      </c>
      <c r="AN147" s="12">
        <f t="shared" si="323"/>
        <v>2804.1000706033446</v>
      </c>
      <c r="AO147" s="138">
        <f t="shared" si="376"/>
        <v>0.25</v>
      </c>
      <c r="AP147" s="116">
        <f t="shared" si="377"/>
        <v>2175570</v>
      </c>
      <c r="AQ147" s="2">
        <f t="shared" si="378"/>
        <v>1.5748031496062995E-2</v>
      </c>
      <c r="AR147" s="8">
        <f t="shared" si="379"/>
        <v>21.220965245999999</v>
      </c>
      <c r="AS147" s="116">
        <f t="shared" si="380"/>
        <v>2610.6840000000002</v>
      </c>
      <c r="AT147" s="217">
        <f t="shared" si="381"/>
        <v>3.5952121173804072E-2</v>
      </c>
      <c r="AU147" s="207">
        <f t="shared" si="382"/>
        <v>4.7059864099875837</v>
      </c>
      <c r="AV147" s="144">
        <f t="shared" si="383"/>
        <v>3506.0106690176899</v>
      </c>
      <c r="AW147" s="138">
        <f t="shared" si="384"/>
        <v>0.25</v>
      </c>
      <c r="AX147" s="116">
        <f t="shared" si="385"/>
        <v>2175570</v>
      </c>
      <c r="AY147" s="2">
        <f t="shared" si="386"/>
        <v>1.5748031496062995E-2</v>
      </c>
      <c r="AZ147" s="8">
        <f t="shared" si="387"/>
        <v>21.220965245999999</v>
      </c>
      <c r="BA147" s="116">
        <f t="shared" si="388"/>
        <v>2610.6840000000002</v>
      </c>
      <c r="BB147" s="217">
        <f t="shared" si="389"/>
        <v>3.5952121173804072E-2</v>
      </c>
      <c r="BC147" s="207">
        <f t="shared" si="390"/>
        <v>4.7059864099875837</v>
      </c>
      <c r="BD147" s="144">
        <f t="shared" si="391"/>
        <v>3506.0106690176899</v>
      </c>
      <c r="BE147" s="138">
        <f t="shared" si="392"/>
        <v>0.25</v>
      </c>
      <c r="BF147" s="116">
        <f t="shared" si="393"/>
        <v>2175570</v>
      </c>
      <c r="BG147" s="2">
        <f t="shared" si="394"/>
        <v>1.5748031496062995E-2</v>
      </c>
      <c r="BH147" s="8">
        <f t="shared" si="395"/>
        <v>21.220965245999999</v>
      </c>
      <c r="BI147" s="116">
        <f t="shared" si="396"/>
        <v>2610.6840000000002</v>
      </c>
      <c r="BJ147" s="217">
        <f t="shared" si="397"/>
        <v>3.5952121173804072E-2</v>
      </c>
      <c r="BK147" s="207">
        <f t="shared" si="398"/>
        <v>4.7059864099875837</v>
      </c>
      <c r="BL147" s="144">
        <f t="shared" si="399"/>
        <v>3506.0106690176899</v>
      </c>
      <c r="BM147" s="216">
        <f t="shared" si="400"/>
        <v>0.25</v>
      </c>
      <c r="BN147" s="216">
        <f t="shared" si="401"/>
        <v>2.3622047244094495E-2</v>
      </c>
      <c r="BO147" s="238">
        <f t="shared" si="402"/>
        <v>1.5748031496062995E-2</v>
      </c>
      <c r="BP147" s="216">
        <f t="shared" si="403"/>
        <v>0</v>
      </c>
      <c r="BQ147" s="138">
        <f t="shared" si="404"/>
        <v>0</v>
      </c>
      <c r="BR147" s="138">
        <f t="shared" si="405"/>
        <v>0</v>
      </c>
      <c r="BS147" s="238">
        <f t="shared" si="406"/>
        <v>0.25</v>
      </c>
      <c r="BT147" s="138">
        <f t="shared" si="407"/>
        <v>0</v>
      </c>
      <c r="BU147" s="138">
        <f t="shared" si="408"/>
        <v>0</v>
      </c>
      <c r="BV147" s="138">
        <f t="shared" si="409"/>
        <v>0</v>
      </c>
      <c r="BW147" s="238">
        <f t="shared" si="410"/>
        <v>0.75</v>
      </c>
      <c r="BX147" s="216">
        <f t="shared" si="411"/>
        <v>0</v>
      </c>
      <c r="BY147" s="138">
        <f t="shared" si="412"/>
        <v>0</v>
      </c>
      <c r="BZ147" s="138">
        <f t="shared" si="413"/>
        <v>0</v>
      </c>
      <c r="CA147" s="238">
        <f t="shared" si="414"/>
        <v>2.3622047244094495E-2</v>
      </c>
      <c r="CB147" s="138">
        <f t="shared" si="415"/>
        <v>0</v>
      </c>
      <c r="CC147" s="138">
        <f t="shared" si="416"/>
        <v>0</v>
      </c>
      <c r="CD147" s="138">
        <f t="shared" si="417"/>
        <v>0</v>
      </c>
      <c r="CE147" s="238">
        <f t="shared" si="418"/>
        <v>2.3622047244094495E-2</v>
      </c>
      <c r="CF147" s="216">
        <f t="shared" si="419"/>
        <v>0</v>
      </c>
      <c r="CG147" s="138">
        <f t="shared" si="420"/>
        <v>0</v>
      </c>
      <c r="CH147" s="138">
        <f t="shared" si="421"/>
        <v>0</v>
      </c>
      <c r="CI147" s="238">
        <f t="shared" si="422"/>
        <v>1.5748031496062995E-2</v>
      </c>
      <c r="CJ147" s="138">
        <f t="shared" si="423"/>
        <v>0</v>
      </c>
      <c r="CK147" s="138">
        <f t="shared" si="424"/>
        <v>0</v>
      </c>
      <c r="CL147" s="138">
        <f t="shared" si="425"/>
        <v>0</v>
      </c>
      <c r="CM147" s="238">
        <f t="shared" si="426"/>
        <v>1.5748031496062995E-2</v>
      </c>
      <c r="CN147" s="17">
        <f t="shared" si="427"/>
        <v>0.75</v>
      </c>
      <c r="CO147" s="17">
        <f t="shared" si="428"/>
        <v>2.3622047244094495E-2</v>
      </c>
      <c r="CP147" s="17">
        <f t="shared" si="429"/>
        <v>1.5748031496062995E-2</v>
      </c>
      <c r="CQ147" s="17">
        <f>$U147-IF('Inputs-Imperial'!$E$13,0,2)*($CO147+$CN147+$CP147)</f>
        <v>7.639547488559999</v>
      </c>
      <c r="CR147" s="116">
        <f t="shared" si="430"/>
        <v>1921.678931716451</v>
      </c>
      <c r="CS147" s="8">
        <f t="shared" si="324"/>
        <v>4.96855720151732E-2</v>
      </c>
      <c r="CT147" s="8">
        <f t="shared" si="431"/>
        <v>0.22290260656881786</v>
      </c>
      <c r="CU147" s="8">
        <f t="shared" si="325"/>
        <v>4.96855720151732E-2</v>
      </c>
      <c r="CV147" s="8">
        <f t="shared" si="432"/>
        <v>0.22290260656881786</v>
      </c>
      <c r="CW147" s="216">
        <f t="shared" si="433"/>
        <v>7.4166448819911812</v>
      </c>
      <c r="CX147" s="116">
        <f t="shared" si="434"/>
        <v>1979.4337857890889</v>
      </c>
      <c r="CY147" s="8">
        <f t="shared" si="435"/>
        <v>5.1178840694915011E-2</v>
      </c>
      <c r="CZ147" s="8">
        <f t="shared" si="436"/>
        <v>0.22622740924767495</v>
      </c>
      <c r="DA147" s="8">
        <f t="shared" si="437"/>
        <v>5.1178840694915011E-2</v>
      </c>
      <c r="DB147" s="8">
        <f t="shared" si="438"/>
        <v>0.22622740924767495</v>
      </c>
      <c r="DC147" s="216">
        <f t="shared" si="439"/>
        <v>7.4133200793123235</v>
      </c>
      <c r="DD147" s="116">
        <f t="shared" si="440"/>
        <v>1980.3215427836883</v>
      </c>
      <c r="DE147" s="8">
        <f t="shared" si="441"/>
        <v>5.1201793912208048E-2</v>
      </c>
      <c r="DF147" s="8">
        <f t="shared" si="442"/>
        <v>0.22627813396837099</v>
      </c>
      <c r="DG147" s="8">
        <f t="shared" si="443"/>
        <v>5.1201793912208048E-2</v>
      </c>
      <c r="DH147" s="8">
        <f t="shared" si="444"/>
        <v>0.22627813396837099</v>
      </c>
      <c r="DI147" s="216">
        <f t="shared" si="445"/>
        <v>7.4132693545916277</v>
      </c>
      <c r="DJ147" s="116">
        <f t="shared" si="446"/>
        <v>1980.3350929802805</v>
      </c>
      <c r="DK147" s="8">
        <f t="shared" si="447"/>
        <v>5.1202144256512441E-2</v>
      </c>
      <c r="DL147" s="8">
        <f t="shared" si="448"/>
        <v>0.22627890811233919</v>
      </c>
      <c r="DM147" s="8">
        <f t="shared" si="449"/>
        <v>5.1202144256512441E-2</v>
      </c>
      <c r="DN147" s="8">
        <f t="shared" si="450"/>
        <v>0.22627890811233919</v>
      </c>
      <c r="DO147" s="216">
        <f t="shared" si="451"/>
        <v>7.4132685804476592</v>
      </c>
      <c r="DP147" s="116">
        <f t="shared" si="452"/>
        <v>1980.3352997803513</v>
      </c>
      <c r="DQ147" s="170">
        <f t="shared" si="453"/>
        <v>5.1202149603388883E-2</v>
      </c>
      <c r="DR147" s="8">
        <f t="shared" si="454"/>
        <v>0.22627891992713081</v>
      </c>
      <c r="DS147" s="8">
        <f t="shared" si="455"/>
        <v>5.1202149603388883E-2</v>
      </c>
      <c r="DT147" s="134">
        <f t="shared" si="456"/>
        <v>0.22627891992713081</v>
      </c>
      <c r="DU147" s="170">
        <f t="shared" si="563"/>
        <v>0.12489389406218925</v>
      </c>
      <c r="DV147" s="170">
        <f t="shared" si="563"/>
        <v>0.35340330227968902</v>
      </c>
      <c r="DW147" s="170">
        <f t="shared" si="563"/>
        <v>0.12489389406218925</v>
      </c>
      <c r="DX147" s="272">
        <f t="shared" si="563"/>
        <v>0.35340330227968902</v>
      </c>
      <c r="DY147" s="272">
        <f t="shared" si="457"/>
        <v>6.9327408840006202</v>
      </c>
      <c r="DZ147" s="22">
        <f t="shared" si="326"/>
        <v>102.19164760759439</v>
      </c>
      <c r="EA147" s="216">
        <f t="shared" si="327"/>
        <v>6.6951712422412737E-3</v>
      </c>
      <c r="EB147" s="12">
        <f t="shared" si="458"/>
        <v>1</v>
      </c>
      <c r="EC147" s="7">
        <f>ROUND(MAX(DV147,DX147)/'Inputs-Imperial'!$E$21,0)</f>
        <v>3</v>
      </c>
      <c r="ED147" s="12">
        <f t="shared" si="459"/>
        <v>3</v>
      </c>
      <c r="EE147" s="2">
        <f t="shared" si="460"/>
        <v>2</v>
      </c>
      <c r="EF147" s="127">
        <f t="shared" si="461"/>
        <v>2</v>
      </c>
      <c r="EG147" s="2">
        <f t="shared" si="462"/>
        <v>1.5748031496062995E-2</v>
      </c>
      <c r="EH147" s="8">
        <f t="shared" si="328"/>
        <v>7.0458533355116856E-2</v>
      </c>
      <c r="EI147" s="138">
        <f t="shared" si="463"/>
        <v>0.25</v>
      </c>
      <c r="EJ147" s="12">
        <f t="shared" si="329"/>
        <v>5840.2526607740183</v>
      </c>
      <c r="EK147" s="138">
        <f t="shared" si="464"/>
        <v>0.25</v>
      </c>
      <c r="EL147" s="116">
        <f t="shared" si="465"/>
        <v>2175570</v>
      </c>
      <c r="EM147" s="2">
        <f t="shared" si="330"/>
        <v>1.5748031496062995E-2</v>
      </c>
      <c r="EN147" s="8">
        <f t="shared" si="466"/>
        <v>7.639547488559999</v>
      </c>
      <c r="EO147" s="116">
        <f t="shared" si="467"/>
        <v>2610.6840000000002</v>
      </c>
      <c r="EP147" s="217">
        <f t="shared" si="468"/>
        <v>0.27740834239046358</v>
      </c>
      <c r="EQ147" s="207">
        <f t="shared" si="469"/>
        <v>2.7056233132755731</v>
      </c>
      <c r="ER147" s="144">
        <f t="shared" si="470"/>
        <v>15553.384037463935</v>
      </c>
      <c r="ES147" s="138">
        <f t="shared" si="331"/>
        <v>0.25</v>
      </c>
      <c r="ET147" s="116">
        <f t="shared" si="471"/>
        <v>2175570</v>
      </c>
      <c r="EU147" s="2">
        <f t="shared" si="332"/>
        <v>1.5748031496062995E-2</v>
      </c>
      <c r="EV147" s="8">
        <f t="shared" si="472"/>
        <v>7.639547488559999</v>
      </c>
      <c r="EW147" s="116">
        <f t="shared" si="473"/>
        <v>2610.6840000000002</v>
      </c>
      <c r="EX147" s="217">
        <f t="shared" si="474"/>
        <v>0.27740834239046358</v>
      </c>
      <c r="EY147" s="207">
        <f t="shared" si="475"/>
        <v>2.7056233132755731</v>
      </c>
      <c r="EZ147" s="144">
        <f t="shared" si="476"/>
        <v>15553.384037463935</v>
      </c>
      <c r="FA147" s="138">
        <f t="shared" si="333"/>
        <v>0.25</v>
      </c>
      <c r="FB147" s="116">
        <f t="shared" si="477"/>
        <v>2175570</v>
      </c>
      <c r="FC147" s="2">
        <f t="shared" si="334"/>
        <v>1.5748031496062995E-2</v>
      </c>
      <c r="FD147" s="8">
        <f t="shared" si="478"/>
        <v>7.639547488559999</v>
      </c>
      <c r="FE147" s="116">
        <f t="shared" si="479"/>
        <v>2610.6840000000002</v>
      </c>
      <c r="FF147" s="217">
        <f t="shared" si="480"/>
        <v>0.27740834239046358</v>
      </c>
      <c r="FG147" s="207">
        <f t="shared" si="481"/>
        <v>2.7056233132755731</v>
      </c>
      <c r="FH147" s="144">
        <f t="shared" si="482"/>
        <v>15553.384037463935</v>
      </c>
      <c r="FI147" s="128">
        <f t="shared" si="483"/>
        <v>0.25</v>
      </c>
      <c r="FJ147" s="2">
        <f t="shared" si="484"/>
        <v>1.5748031496062995E-2</v>
      </c>
      <c r="FK147" s="127">
        <f t="shared" si="485"/>
        <v>1.5748031496062995E-2</v>
      </c>
      <c r="FL147" s="216">
        <f t="shared" si="486"/>
        <v>0</v>
      </c>
      <c r="FM147" s="138">
        <f t="shared" si="487"/>
        <v>0</v>
      </c>
      <c r="FN147" s="138">
        <f t="shared" si="488"/>
        <v>0</v>
      </c>
      <c r="FO147" s="238">
        <f t="shared" si="489"/>
        <v>0.25</v>
      </c>
      <c r="FP147" s="216">
        <f t="shared" si="335"/>
        <v>0</v>
      </c>
      <c r="FQ147" s="138">
        <f t="shared" si="336"/>
        <v>0</v>
      </c>
      <c r="FR147" s="138">
        <f t="shared" si="337"/>
        <v>0</v>
      </c>
      <c r="FS147" s="238">
        <f t="shared" si="338"/>
        <v>0.25</v>
      </c>
      <c r="FT147" s="216">
        <f t="shared" si="490"/>
        <v>0</v>
      </c>
      <c r="FU147" s="138">
        <f t="shared" si="491"/>
        <v>0</v>
      </c>
      <c r="FV147" s="138">
        <f t="shared" si="492"/>
        <v>0</v>
      </c>
      <c r="FW147" s="238">
        <f t="shared" si="493"/>
        <v>1.5748031496062995E-2</v>
      </c>
      <c r="FX147" s="216">
        <f t="shared" si="339"/>
        <v>0</v>
      </c>
      <c r="FY147" s="138">
        <f t="shared" si="340"/>
        <v>0</v>
      </c>
      <c r="FZ147" s="138">
        <f t="shared" si="341"/>
        <v>0</v>
      </c>
      <c r="GA147" s="238">
        <f t="shared" si="342"/>
        <v>2.3622047244094495E-2</v>
      </c>
      <c r="GB147" s="216">
        <f t="shared" si="494"/>
        <v>0</v>
      </c>
      <c r="GC147" s="138">
        <f t="shared" si="495"/>
        <v>0</v>
      </c>
      <c r="GD147" s="138">
        <f t="shared" si="496"/>
        <v>0</v>
      </c>
      <c r="GE147" s="238">
        <f t="shared" si="497"/>
        <v>1.5748031496062995E-2</v>
      </c>
      <c r="GF147" s="216">
        <f t="shared" si="343"/>
        <v>0</v>
      </c>
      <c r="GG147" s="138">
        <f t="shared" si="344"/>
        <v>0</v>
      </c>
      <c r="GH147" s="138">
        <f t="shared" si="345"/>
        <v>0</v>
      </c>
      <c r="GI147" s="238">
        <f t="shared" si="346"/>
        <v>2.3622047244094495E-2</v>
      </c>
      <c r="GJ147" s="216">
        <f t="shared" si="498"/>
        <v>0.25</v>
      </c>
      <c r="GK147" s="216">
        <f t="shared" si="499"/>
        <v>2.3622047244094495E-2</v>
      </c>
      <c r="GL147" s="17">
        <f t="shared" si="500"/>
        <v>2.3622047244094495E-2</v>
      </c>
      <c r="GM147" s="216">
        <f t="shared" si="347"/>
        <v>3.0538908826630074E-3</v>
      </c>
      <c r="GN147" s="2">
        <f t="shared" si="501"/>
        <v>1</v>
      </c>
      <c r="GO147" s="2">
        <f t="shared" si="502"/>
        <v>2</v>
      </c>
      <c r="GP147" s="142">
        <f t="shared" si="503"/>
        <v>2</v>
      </c>
      <c r="GQ147" s="2">
        <f t="shared" si="504"/>
        <v>1.5748031496062995E-2</v>
      </c>
      <c r="GR147" s="8">
        <f t="shared" si="348"/>
        <v>3.2138486803956277E-2</v>
      </c>
      <c r="GS147" s="138">
        <f t="shared" si="505"/>
        <v>0.25</v>
      </c>
      <c r="GT147" s="12">
        <f t="shared" si="349"/>
        <v>2663.9340067447683</v>
      </c>
      <c r="GU147" s="138">
        <f t="shared" si="506"/>
        <v>0.25</v>
      </c>
      <c r="GV147" s="116">
        <f t="shared" si="507"/>
        <v>2175570</v>
      </c>
      <c r="GW147" s="2">
        <f t="shared" si="350"/>
        <v>1.5748031496062995E-2</v>
      </c>
      <c r="GX147" s="8">
        <f t="shared" si="351"/>
        <v>3.8197737442799995</v>
      </c>
      <c r="GY147" s="116">
        <f t="shared" si="508"/>
        <v>2610.6840000000002</v>
      </c>
      <c r="GZ147" s="217">
        <f t="shared" si="509"/>
        <v>1.1096333695618543</v>
      </c>
      <c r="HA147" s="207">
        <f t="shared" si="510"/>
        <v>2</v>
      </c>
      <c r="HB147" s="144">
        <f t="shared" si="511"/>
        <v>45988.320580026855</v>
      </c>
      <c r="HC147" s="138">
        <f t="shared" si="352"/>
        <v>0.25</v>
      </c>
      <c r="HD147" s="116">
        <f t="shared" si="512"/>
        <v>2175570</v>
      </c>
      <c r="HE147" s="2">
        <f t="shared" si="353"/>
        <v>1.5748031496062995E-2</v>
      </c>
      <c r="HF147" s="8">
        <f t="shared" si="513"/>
        <v>3.8197737442799995</v>
      </c>
      <c r="HG147" s="116">
        <f t="shared" si="514"/>
        <v>2610.6840000000002</v>
      </c>
      <c r="HH147" s="217">
        <f t="shared" si="515"/>
        <v>1.1096333695618543</v>
      </c>
      <c r="HI147" s="207">
        <f t="shared" si="516"/>
        <v>2</v>
      </c>
      <c r="HJ147" s="144">
        <f t="shared" si="517"/>
        <v>45988.320580026855</v>
      </c>
      <c r="HK147" s="138">
        <f t="shared" si="354"/>
        <v>0.25</v>
      </c>
      <c r="HL147" s="116">
        <f t="shared" si="518"/>
        <v>2175570</v>
      </c>
      <c r="HM147" s="2">
        <f t="shared" si="355"/>
        <v>1.5748031496062995E-2</v>
      </c>
      <c r="HN147" s="8">
        <f t="shared" si="519"/>
        <v>3.8197737442799995</v>
      </c>
      <c r="HO147" s="116">
        <f t="shared" si="520"/>
        <v>2610.6840000000002</v>
      </c>
      <c r="HP147" s="217">
        <f t="shared" si="521"/>
        <v>1.1096333695618543</v>
      </c>
      <c r="HQ147" s="207">
        <f t="shared" si="522"/>
        <v>2</v>
      </c>
      <c r="HR147" s="144">
        <f t="shared" si="523"/>
        <v>45988.320580026855</v>
      </c>
      <c r="HS147" s="128">
        <f t="shared" si="524"/>
        <v>0.25</v>
      </c>
      <c r="HT147" s="2">
        <f t="shared" si="525"/>
        <v>1.5748031496062995E-2</v>
      </c>
      <c r="HU147" s="127">
        <f t="shared" si="526"/>
        <v>1.5748031496062995E-2</v>
      </c>
      <c r="HV147" s="216">
        <f t="shared" si="527"/>
        <v>0</v>
      </c>
      <c r="HW147" s="138">
        <f t="shared" si="528"/>
        <v>0</v>
      </c>
      <c r="HX147" s="138">
        <f t="shared" si="529"/>
        <v>0</v>
      </c>
      <c r="HY147" s="238">
        <f t="shared" si="530"/>
        <v>0.25</v>
      </c>
      <c r="HZ147" s="138">
        <f t="shared" si="531"/>
        <v>0</v>
      </c>
      <c r="IA147" s="138">
        <f t="shared" si="532"/>
        <v>0</v>
      </c>
      <c r="IB147" s="138">
        <f t="shared" si="533"/>
        <v>0</v>
      </c>
      <c r="IC147" s="138">
        <f t="shared" si="534"/>
        <v>0.25</v>
      </c>
      <c r="ID147" s="216">
        <f t="shared" si="535"/>
        <v>0</v>
      </c>
      <c r="IE147" s="138">
        <f t="shared" si="536"/>
        <v>0</v>
      </c>
      <c r="IF147" s="138">
        <f t="shared" si="537"/>
        <v>0</v>
      </c>
      <c r="IG147" s="238">
        <f t="shared" si="538"/>
        <v>1.5748031496062995E-2</v>
      </c>
      <c r="IH147" s="138">
        <f t="shared" si="539"/>
        <v>0</v>
      </c>
      <c r="II147" s="138">
        <f t="shared" si="540"/>
        <v>0</v>
      </c>
      <c r="IJ147" s="138">
        <f t="shared" si="541"/>
        <v>0</v>
      </c>
      <c r="IK147" s="138">
        <f t="shared" si="542"/>
        <v>1.5748031496062995E-2</v>
      </c>
      <c r="IL147" s="216">
        <f t="shared" si="543"/>
        <v>0</v>
      </c>
      <c r="IM147" s="138">
        <f t="shared" si="544"/>
        <v>0</v>
      </c>
      <c r="IN147" s="138">
        <f t="shared" si="545"/>
        <v>0</v>
      </c>
      <c r="IO147" s="238">
        <f t="shared" si="546"/>
        <v>1.5748031496062995E-2</v>
      </c>
      <c r="IP147" s="138">
        <f t="shared" si="547"/>
        <v>0</v>
      </c>
      <c r="IQ147" s="138">
        <f t="shared" si="548"/>
        <v>0</v>
      </c>
      <c r="IR147" s="138">
        <f t="shared" si="549"/>
        <v>0</v>
      </c>
      <c r="IS147" s="138">
        <f t="shared" si="550"/>
        <v>1.5748031496062995E-2</v>
      </c>
      <c r="IT147" s="17">
        <f t="shared" si="551"/>
        <v>0.25</v>
      </c>
      <c r="IU147" s="17">
        <f t="shared" si="552"/>
        <v>1.5748031496062995E-2</v>
      </c>
      <c r="IV147" s="17">
        <f t="shared" si="553"/>
        <v>1.5748031496062995E-2</v>
      </c>
      <c r="IW147" s="253">
        <f t="shared" si="554"/>
        <v>21.220965245999999</v>
      </c>
      <c r="IX147" s="116">
        <f t="shared" si="356"/>
        <v>69.18044154179222</v>
      </c>
      <c r="IY147" s="8">
        <f t="shared" si="357"/>
        <v>1.7886805925462349E-3</v>
      </c>
      <c r="IZ147" s="8">
        <f t="shared" si="555"/>
        <v>1.7886805925462349E-3</v>
      </c>
      <c r="JA147" s="8">
        <f t="shared" si="556"/>
        <v>8.9434029627311745E-4</v>
      </c>
      <c r="JB147" s="134">
        <f t="shared" si="557"/>
        <v>2.9905522838986068E-2</v>
      </c>
      <c r="JC147" s="170">
        <f t="shared" si="564"/>
        <v>2.1476328638547018E-3</v>
      </c>
      <c r="JD147" s="272">
        <f t="shared" si="565"/>
        <v>4.6342559962249626E-2</v>
      </c>
      <c r="JE147" s="8"/>
      <c r="JF147" s="8"/>
    </row>
    <row r="148" spans="1:266" x14ac:dyDescent="0.25">
      <c r="A148" s="186">
        <v>88</v>
      </c>
      <c r="B148" s="187">
        <f>A148/100*'Inputs-Imperial'!$E$5</f>
        <v>21.191601727999998</v>
      </c>
      <c r="C148" s="188">
        <f>'Inputs-Imperial'!$E$10+('Inputs-Imperial'!$E$9-'Inputs-Imperial'!$E$10)*(100-A148)/100</f>
        <v>3.5190289840000002</v>
      </c>
      <c r="D148" s="187">
        <f t="shared" si="558"/>
        <v>0.24081365600000026</v>
      </c>
      <c r="E148" s="188">
        <f t="shared" si="559"/>
        <v>0.84957330299835365</v>
      </c>
      <c r="F148" s="423">
        <f>Loads!P108</f>
        <v>70.995519190580012</v>
      </c>
      <c r="G148" s="423">
        <f>Loads!M108</f>
        <v>709.95519190580012</v>
      </c>
      <c r="H148" s="423">
        <f>Loads!N108</f>
        <v>1035.3937283909781</v>
      </c>
      <c r="I148" s="423">
        <f>Loads!V108</f>
        <v>-995.01701424962357</v>
      </c>
      <c r="J148" s="423">
        <f>Loads!Q108</f>
        <v>103.53937283909779</v>
      </c>
      <c r="K148" s="2">
        <v>88</v>
      </c>
      <c r="L148" s="12">
        <f t="shared" si="358"/>
        <v>254.299220736</v>
      </c>
      <c r="M148" s="11">
        <f t="shared" si="359"/>
        <v>42.228347808000002</v>
      </c>
      <c r="N148" s="11">
        <f t="shared" si="360"/>
        <v>2.8897638720000032</v>
      </c>
      <c r="O148" s="152">
        <f t="shared" si="361"/>
        <v>122.33855563176292</v>
      </c>
      <c r="P148" s="151">
        <f t="shared" si="362"/>
        <v>70.995519190580012</v>
      </c>
      <c r="Q148" s="12">
        <f t="shared" si="363"/>
        <v>709.95519190580012</v>
      </c>
      <c r="R148" s="12">
        <f t="shared" si="364"/>
        <v>12424.724740691738</v>
      </c>
      <c r="S148" s="12">
        <f t="shared" si="365"/>
        <v>-11940.204170995483</v>
      </c>
      <c r="T148" s="152">
        <f t="shared" si="366"/>
        <v>1242.4724740691736</v>
      </c>
      <c r="U148" s="8">
        <f t="shared" si="313"/>
        <v>7.6011026054400004</v>
      </c>
      <c r="V148" s="8">
        <f t="shared" si="314"/>
        <v>7.6011026054400004</v>
      </c>
      <c r="W148" s="134">
        <f t="shared" si="315"/>
        <v>3.8005513027200002</v>
      </c>
      <c r="X148" s="311">
        <f t="shared" si="316"/>
        <v>10.557086952000001</v>
      </c>
      <c r="Y148" s="11">
        <f t="shared" si="317"/>
        <v>31.671260856000004</v>
      </c>
      <c r="Z148" s="11">
        <f t="shared" si="318"/>
        <v>21.114173904000005</v>
      </c>
      <c r="AA148" s="316">
        <f t="shared" si="367"/>
        <v>31.671260856000004</v>
      </c>
      <c r="AB148" s="170">
        <f t="shared" si="368"/>
        <v>5.7008269540800001</v>
      </c>
      <c r="AC148" s="11">
        <f t="shared" si="369"/>
        <v>31.671260856000004</v>
      </c>
      <c r="AD148" s="152">
        <f t="shared" si="370"/>
        <v>141.80550573076886</v>
      </c>
      <c r="AE148" s="151">
        <f t="shared" si="319"/>
        <v>2.2416385477476237</v>
      </c>
      <c r="AF148" s="12">
        <f t="shared" si="320"/>
        <v>42.100636747014207</v>
      </c>
      <c r="AG148" s="216">
        <f t="shared" si="321"/>
        <v>2.9051212434603362E-3</v>
      </c>
      <c r="AH148" s="2">
        <f t="shared" si="371"/>
        <v>1</v>
      </c>
      <c r="AI148" s="2">
        <f t="shared" si="372"/>
        <v>3</v>
      </c>
      <c r="AJ148" s="127">
        <f t="shared" si="373"/>
        <v>2</v>
      </c>
      <c r="AK148" s="2">
        <f t="shared" si="374"/>
        <v>1.5748031496062995E-2</v>
      </c>
      <c r="AL148" s="8">
        <f t="shared" si="322"/>
        <v>3.0572867313918995E-2</v>
      </c>
      <c r="AM148" s="138">
        <f t="shared" si="375"/>
        <v>0.25</v>
      </c>
      <c r="AN148" s="12">
        <f t="shared" si="323"/>
        <v>2534.1610330956382</v>
      </c>
      <c r="AO148" s="138">
        <f t="shared" si="376"/>
        <v>0.25</v>
      </c>
      <c r="AP148" s="116">
        <f t="shared" si="377"/>
        <v>2175570</v>
      </c>
      <c r="AQ148" s="2">
        <f t="shared" si="378"/>
        <v>1.5748031496062995E-2</v>
      </c>
      <c r="AR148" s="8">
        <f t="shared" si="379"/>
        <v>21.114173904000005</v>
      </c>
      <c r="AS148" s="116">
        <f t="shared" si="380"/>
        <v>2610.6840000000002</v>
      </c>
      <c r="AT148" s="217">
        <f t="shared" si="381"/>
        <v>3.631671840485564E-2</v>
      </c>
      <c r="AU148" s="207">
        <f t="shared" si="382"/>
        <v>4.7005280890227397</v>
      </c>
      <c r="AV148" s="144">
        <f t="shared" si="383"/>
        <v>3537.4580361809035</v>
      </c>
      <c r="AW148" s="138">
        <f t="shared" si="384"/>
        <v>0.25</v>
      </c>
      <c r="AX148" s="116">
        <f t="shared" si="385"/>
        <v>2175570</v>
      </c>
      <c r="AY148" s="2">
        <f t="shared" si="386"/>
        <v>1.5748031496062995E-2</v>
      </c>
      <c r="AZ148" s="8">
        <f t="shared" si="387"/>
        <v>21.114173904000005</v>
      </c>
      <c r="BA148" s="116">
        <f t="shared" si="388"/>
        <v>2610.6840000000002</v>
      </c>
      <c r="BB148" s="217">
        <f t="shared" si="389"/>
        <v>3.631671840485564E-2</v>
      </c>
      <c r="BC148" s="207">
        <f t="shared" si="390"/>
        <v>4.7005280890227397</v>
      </c>
      <c r="BD148" s="144">
        <f t="shared" si="391"/>
        <v>3537.4580361809035</v>
      </c>
      <c r="BE148" s="138">
        <f t="shared" si="392"/>
        <v>0.25</v>
      </c>
      <c r="BF148" s="116">
        <f t="shared" si="393"/>
        <v>2175570</v>
      </c>
      <c r="BG148" s="2">
        <f t="shared" si="394"/>
        <v>1.5748031496062995E-2</v>
      </c>
      <c r="BH148" s="8">
        <f t="shared" si="395"/>
        <v>21.114173904000005</v>
      </c>
      <c r="BI148" s="116">
        <f t="shared" si="396"/>
        <v>2610.6840000000002</v>
      </c>
      <c r="BJ148" s="217">
        <f t="shared" si="397"/>
        <v>3.631671840485564E-2</v>
      </c>
      <c r="BK148" s="207">
        <f t="shared" si="398"/>
        <v>4.7005280890227397</v>
      </c>
      <c r="BL148" s="144">
        <f t="shared" si="399"/>
        <v>3537.4580361809035</v>
      </c>
      <c r="BM148" s="216">
        <f t="shared" si="400"/>
        <v>0.25</v>
      </c>
      <c r="BN148" s="216">
        <f t="shared" si="401"/>
        <v>2.3622047244094495E-2</v>
      </c>
      <c r="BO148" s="238">
        <f t="shared" si="402"/>
        <v>1.5748031496062995E-2</v>
      </c>
      <c r="BP148" s="216">
        <f t="shared" si="403"/>
        <v>0</v>
      </c>
      <c r="BQ148" s="138">
        <f t="shared" si="404"/>
        <v>0</v>
      </c>
      <c r="BR148" s="138">
        <f t="shared" si="405"/>
        <v>0</v>
      </c>
      <c r="BS148" s="238">
        <f t="shared" si="406"/>
        <v>0.25</v>
      </c>
      <c r="BT148" s="138">
        <f t="shared" si="407"/>
        <v>0</v>
      </c>
      <c r="BU148" s="138">
        <f t="shared" si="408"/>
        <v>0</v>
      </c>
      <c r="BV148" s="138">
        <f t="shared" si="409"/>
        <v>0</v>
      </c>
      <c r="BW148" s="238">
        <f t="shared" si="410"/>
        <v>0.75</v>
      </c>
      <c r="BX148" s="216">
        <f t="shared" si="411"/>
        <v>0</v>
      </c>
      <c r="BY148" s="138">
        <f t="shared" si="412"/>
        <v>0</v>
      </c>
      <c r="BZ148" s="138">
        <f t="shared" si="413"/>
        <v>0</v>
      </c>
      <c r="CA148" s="238">
        <f t="shared" si="414"/>
        <v>2.3622047244094495E-2</v>
      </c>
      <c r="CB148" s="138">
        <f t="shared" si="415"/>
        <v>0</v>
      </c>
      <c r="CC148" s="138">
        <f t="shared" si="416"/>
        <v>0</v>
      </c>
      <c r="CD148" s="138">
        <f t="shared" si="417"/>
        <v>0</v>
      </c>
      <c r="CE148" s="238">
        <f t="shared" si="418"/>
        <v>2.3622047244094495E-2</v>
      </c>
      <c r="CF148" s="216">
        <f t="shared" si="419"/>
        <v>0</v>
      </c>
      <c r="CG148" s="138">
        <f t="shared" si="420"/>
        <v>0</v>
      </c>
      <c r="CH148" s="138">
        <f t="shared" si="421"/>
        <v>0</v>
      </c>
      <c r="CI148" s="238">
        <f t="shared" si="422"/>
        <v>1.5748031496062995E-2</v>
      </c>
      <c r="CJ148" s="138">
        <f t="shared" si="423"/>
        <v>0</v>
      </c>
      <c r="CK148" s="138">
        <f t="shared" si="424"/>
        <v>0</v>
      </c>
      <c r="CL148" s="138">
        <f t="shared" si="425"/>
        <v>0</v>
      </c>
      <c r="CM148" s="238">
        <f t="shared" si="426"/>
        <v>1.5748031496062995E-2</v>
      </c>
      <c r="CN148" s="17">
        <f t="shared" si="427"/>
        <v>0.75</v>
      </c>
      <c r="CO148" s="17">
        <f t="shared" si="428"/>
        <v>2.3622047244094495E-2</v>
      </c>
      <c r="CP148" s="17">
        <f t="shared" si="429"/>
        <v>1.5748031496062995E-2</v>
      </c>
      <c r="CQ148" s="17">
        <f>$U148-IF('Inputs-Imperial'!$E$13,0,2)*($CO148+$CN148+$CP148)</f>
        <v>7.6011026054400004</v>
      </c>
      <c r="CR148" s="116">
        <f t="shared" si="430"/>
        <v>1634.5950562224407</v>
      </c>
      <c r="CS148" s="8">
        <f t="shared" si="324"/>
        <v>4.2262934271254098E-2</v>
      </c>
      <c r="CT148" s="8">
        <f t="shared" si="431"/>
        <v>0.2055795083933564</v>
      </c>
      <c r="CU148" s="8">
        <f t="shared" si="325"/>
        <v>4.2262934271254098E-2</v>
      </c>
      <c r="CV148" s="8">
        <f t="shared" si="432"/>
        <v>0.2055795083933564</v>
      </c>
      <c r="CW148" s="216">
        <f t="shared" si="433"/>
        <v>7.3955230970466443</v>
      </c>
      <c r="CX148" s="116">
        <f t="shared" si="434"/>
        <v>1680.0332549368243</v>
      </c>
      <c r="CY148" s="8">
        <f t="shared" si="435"/>
        <v>4.3437752216750718E-2</v>
      </c>
      <c r="CZ148" s="8">
        <f t="shared" si="436"/>
        <v>0.20841725508400383</v>
      </c>
      <c r="DA148" s="8">
        <f t="shared" si="437"/>
        <v>4.3437752216750718E-2</v>
      </c>
      <c r="DB148" s="8">
        <f t="shared" si="438"/>
        <v>0.20841725508400383</v>
      </c>
      <c r="DC148" s="216">
        <f t="shared" si="439"/>
        <v>7.3926853503559959</v>
      </c>
      <c r="DD148" s="116">
        <f t="shared" si="440"/>
        <v>1680.6781503413267</v>
      </c>
      <c r="DE148" s="8">
        <f t="shared" si="441"/>
        <v>4.3454426176450137E-2</v>
      </c>
      <c r="DF148" s="8">
        <f t="shared" si="442"/>
        <v>0.20845725263576256</v>
      </c>
      <c r="DG148" s="8">
        <f t="shared" si="443"/>
        <v>4.3454426176450137E-2</v>
      </c>
      <c r="DH148" s="8">
        <f t="shared" si="444"/>
        <v>0.20845725263576256</v>
      </c>
      <c r="DI148" s="216">
        <f t="shared" si="445"/>
        <v>7.3926453528042382</v>
      </c>
      <c r="DJ148" s="116">
        <f t="shared" si="446"/>
        <v>1680.6872435695418</v>
      </c>
      <c r="DK148" s="8">
        <f t="shared" si="447"/>
        <v>4.3454661284530821E-2</v>
      </c>
      <c r="DL148" s="8">
        <f t="shared" si="448"/>
        <v>0.20845781655896434</v>
      </c>
      <c r="DM148" s="8">
        <f t="shared" si="449"/>
        <v>4.3454661284530821E-2</v>
      </c>
      <c r="DN148" s="8">
        <f t="shared" si="450"/>
        <v>0.20845781655896434</v>
      </c>
      <c r="DO148" s="216">
        <f t="shared" si="451"/>
        <v>7.3926447888810367</v>
      </c>
      <c r="DP148" s="116">
        <f t="shared" si="452"/>
        <v>1680.6873717751512</v>
      </c>
      <c r="DQ148" s="170">
        <f t="shared" si="453"/>
        <v>4.3454664599324427E-2</v>
      </c>
      <c r="DR148" s="8">
        <f t="shared" si="454"/>
        <v>0.20845782450971809</v>
      </c>
      <c r="DS148" s="8">
        <f t="shared" si="455"/>
        <v>4.3454664599324427E-2</v>
      </c>
      <c r="DT148" s="134">
        <f t="shared" si="456"/>
        <v>0.20845782450971809</v>
      </c>
      <c r="DU148" s="170">
        <f t="shared" si="563"/>
        <v>0.12489389406218925</v>
      </c>
      <c r="DV148" s="170">
        <f t="shared" si="563"/>
        <v>0.35340330227968902</v>
      </c>
      <c r="DW148" s="170">
        <f t="shared" si="563"/>
        <v>0.12489389406218925</v>
      </c>
      <c r="DX148" s="272">
        <f t="shared" si="563"/>
        <v>0.35340330227968902</v>
      </c>
      <c r="DY148" s="272">
        <f t="shared" si="457"/>
        <v>6.8942960008806216</v>
      </c>
      <c r="DZ148" s="22">
        <f t="shared" si="326"/>
        <v>93.40160615615099</v>
      </c>
      <c r="EA148" s="216">
        <f t="shared" si="327"/>
        <v>6.1192843266119857E-3</v>
      </c>
      <c r="EB148" s="12">
        <f t="shared" si="458"/>
        <v>1</v>
      </c>
      <c r="EC148" s="7">
        <f>ROUND(MAX(DV148,DX148)/'Inputs-Imperial'!$E$21,0)</f>
        <v>3</v>
      </c>
      <c r="ED148" s="12">
        <f t="shared" si="459"/>
        <v>3</v>
      </c>
      <c r="EE148" s="2">
        <f t="shared" si="460"/>
        <v>2</v>
      </c>
      <c r="EF148" s="127">
        <f t="shared" si="461"/>
        <v>2</v>
      </c>
      <c r="EG148" s="2">
        <f t="shared" si="462"/>
        <v>1.5748031496062995E-2</v>
      </c>
      <c r="EH148" s="8">
        <f t="shared" si="328"/>
        <v>6.4398024073795135E-2</v>
      </c>
      <c r="EI148" s="138">
        <f t="shared" si="463"/>
        <v>0.25</v>
      </c>
      <c r="EJ148" s="12">
        <f t="shared" si="329"/>
        <v>5337.9017918240288</v>
      </c>
      <c r="EK148" s="138">
        <f t="shared" si="464"/>
        <v>0.25</v>
      </c>
      <c r="EL148" s="116">
        <f t="shared" si="465"/>
        <v>2175570</v>
      </c>
      <c r="EM148" s="2">
        <f t="shared" si="330"/>
        <v>1.5748031496062995E-2</v>
      </c>
      <c r="EN148" s="8">
        <f t="shared" si="466"/>
        <v>7.6011026054400004</v>
      </c>
      <c r="EO148" s="116">
        <f t="shared" si="467"/>
        <v>2610.6840000000002</v>
      </c>
      <c r="EP148" s="217">
        <f t="shared" si="468"/>
        <v>0.28022159263005902</v>
      </c>
      <c r="EQ148" s="207">
        <f t="shared" si="469"/>
        <v>2.6928275030509368</v>
      </c>
      <c r="ER148" s="144">
        <f t="shared" si="470"/>
        <v>15636.810648346289</v>
      </c>
      <c r="ES148" s="138">
        <f t="shared" si="331"/>
        <v>0.25</v>
      </c>
      <c r="ET148" s="116">
        <f t="shared" si="471"/>
        <v>2175570</v>
      </c>
      <c r="EU148" s="2">
        <f t="shared" si="332"/>
        <v>1.5748031496062995E-2</v>
      </c>
      <c r="EV148" s="8">
        <f t="shared" si="472"/>
        <v>7.6011026054400004</v>
      </c>
      <c r="EW148" s="116">
        <f t="shared" si="473"/>
        <v>2610.6840000000002</v>
      </c>
      <c r="EX148" s="217">
        <f t="shared" si="474"/>
        <v>0.28022159263005902</v>
      </c>
      <c r="EY148" s="207">
        <f t="shared" si="475"/>
        <v>2.6928275030509368</v>
      </c>
      <c r="EZ148" s="144">
        <f t="shared" si="476"/>
        <v>15636.810648346289</v>
      </c>
      <c r="FA148" s="138">
        <f t="shared" si="333"/>
        <v>0.25</v>
      </c>
      <c r="FB148" s="116">
        <f t="shared" si="477"/>
        <v>2175570</v>
      </c>
      <c r="FC148" s="2">
        <f t="shared" si="334"/>
        <v>1.5748031496062995E-2</v>
      </c>
      <c r="FD148" s="8">
        <f t="shared" si="478"/>
        <v>7.6011026054400004</v>
      </c>
      <c r="FE148" s="116">
        <f t="shared" si="479"/>
        <v>2610.6840000000002</v>
      </c>
      <c r="FF148" s="217">
        <f t="shared" si="480"/>
        <v>0.28022159263005902</v>
      </c>
      <c r="FG148" s="207">
        <f t="shared" si="481"/>
        <v>2.6928275030509368</v>
      </c>
      <c r="FH148" s="144">
        <f t="shared" si="482"/>
        <v>15636.810648346289</v>
      </c>
      <c r="FI148" s="128">
        <f t="shared" si="483"/>
        <v>0.25</v>
      </c>
      <c r="FJ148" s="2">
        <f t="shared" si="484"/>
        <v>1.5748031496062995E-2</v>
      </c>
      <c r="FK148" s="127">
        <f t="shared" si="485"/>
        <v>1.5748031496062995E-2</v>
      </c>
      <c r="FL148" s="216">
        <f t="shared" si="486"/>
        <v>0</v>
      </c>
      <c r="FM148" s="138">
        <f t="shared" si="487"/>
        <v>0</v>
      </c>
      <c r="FN148" s="138">
        <f t="shared" si="488"/>
        <v>0</v>
      </c>
      <c r="FO148" s="238">
        <f t="shared" si="489"/>
        <v>0.25</v>
      </c>
      <c r="FP148" s="216">
        <f t="shared" si="335"/>
        <v>0</v>
      </c>
      <c r="FQ148" s="138">
        <f t="shared" si="336"/>
        <v>0</v>
      </c>
      <c r="FR148" s="138">
        <f t="shared" si="337"/>
        <v>0</v>
      </c>
      <c r="FS148" s="238">
        <f t="shared" si="338"/>
        <v>0.25</v>
      </c>
      <c r="FT148" s="216">
        <f t="shared" si="490"/>
        <v>0</v>
      </c>
      <c r="FU148" s="138">
        <f t="shared" si="491"/>
        <v>0</v>
      </c>
      <c r="FV148" s="138">
        <f t="shared" si="492"/>
        <v>0</v>
      </c>
      <c r="FW148" s="238">
        <f t="shared" si="493"/>
        <v>1.5748031496062995E-2</v>
      </c>
      <c r="FX148" s="216">
        <f t="shared" si="339"/>
        <v>0</v>
      </c>
      <c r="FY148" s="138">
        <f t="shared" si="340"/>
        <v>0</v>
      </c>
      <c r="FZ148" s="138">
        <f t="shared" si="341"/>
        <v>0</v>
      </c>
      <c r="GA148" s="238">
        <f t="shared" si="342"/>
        <v>2.3622047244094495E-2</v>
      </c>
      <c r="GB148" s="216">
        <f t="shared" si="494"/>
        <v>0</v>
      </c>
      <c r="GC148" s="138">
        <f t="shared" si="495"/>
        <v>0</v>
      </c>
      <c r="GD148" s="138">
        <f t="shared" si="496"/>
        <v>0</v>
      </c>
      <c r="GE148" s="238">
        <f t="shared" si="497"/>
        <v>1.5748031496062995E-2</v>
      </c>
      <c r="GF148" s="216">
        <f t="shared" si="343"/>
        <v>0</v>
      </c>
      <c r="GG148" s="138">
        <f t="shared" si="344"/>
        <v>0</v>
      </c>
      <c r="GH148" s="138">
        <f t="shared" si="345"/>
        <v>0</v>
      </c>
      <c r="GI148" s="238">
        <f t="shared" si="346"/>
        <v>2.3622047244094495E-2</v>
      </c>
      <c r="GJ148" s="216">
        <f t="shared" si="498"/>
        <v>0.25</v>
      </c>
      <c r="GK148" s="216">
        <f t="shared" si="499"/>
        <v>2.3622047244094495E-2</v>
      </c>
      <c r="GL148" s="17">
        <f t="shared" si="500"/>
        <v>2.3622047244094495E-2</v>
      </c>
      <c r="GM148" s="216">
        <f t="shared" si="347"/>
        <v>2.7582584196216486E-3</v>
      </c>
      <c r="GN148" s="2">
        <f t="shared" si="501"/>
        <v>1</v>
      </c>
      <c r="GO148" s="2">
        <f t="shared" si="502"/>
        <v>2</v>
      </c>
      <c r="GP148" s="142">
        <f t="shared" si="503"/>
        <v>2</v>
      </c>
      <c r="GQ148" s="2">
        <f t="shared" si="504"/>
        <v>1.5748031496062995E-2</v>
      </c>
      <c r="GR148" s="8">
        <f t="shared" si="348"/>
        <v>2.9027314736147912E-2</v>
      </c>
      <c r="GS148" s="138">
        <f t="shared" si="505"/>
        <v>0.25</v>
      </c>
      <c r="GT148" s="12">
        <f t="shared" si="349"/>
        <v>2406.0513900918618</v>
      </c>
      <c r="GU148" s="138">
        <f t="shared" si="506"/>
        <v>0.25</v>
      </c>
      <c r="GV148" s="116">
        <f t="shared" si="507"/>
        <v>2175570</v>
      </c>
      <c r="GW148" s="2">
        <f t="shared" si="350"/>
        <v>1.5748031496062995E-2</v>
      </c>
      <c r="GX148" s="8">
        <f t="shared" si="351"/>
        <v>3.8005513027200002</v>
      </c>
      <c r="GY148" s="116">
        <f t="shared" si="508"/>
        <v>2610.6840000000002</v>
      </c>
      <c r="GZ148" s="217">
        <f t="shared" si="509"/>
        <v>1.1208863705202361</v>
      </c>
      <c r="HA148" s="207">
        <f t="shared" si="510"/>
        <v>2</v>
      </c>
      <c r="HB148" s="144">
        <f t="shared" si="511"/>
        <v>46454.696799197118</v>
      </c>
      <c r="HC148" s="138">
        <f t="shared" si="352"/>
        <v>0.25</v>
      </c>
      <c r="HD148" s="116">
        <f t="shared" si="512"/>
        <v>2175570</v>
      </c>
      <c r="HE148" s="2">
        <f t="shared" si="353"/>
        <v>1.5748031496062995E-2</v>
      </c>
      <c r="HF148" s="8">
        <f t="shared" si="513"/>
        <v>3.8005513027200002</v>
      </c>
      <c r="HG148" s="116">
        <f t="shared" si="514"/>
        <v>2610.6840000000002</v>
      </c>
      <c r="HH148" s="217">
        <f t="shared" si="515"/>
        <v>1.1208863705202361</v>
      </c>
      <c r="HI148" s="207">
        <f t="shared" si="516"/>
        <v>2</v>
      </c>
      <c r="HJ148" s="144">
        <f t="shared" si="517"/>
        <v>46454.696799197118</v>
      </c>
      <c r="HK148" s="138">
        <f t="shared" si="354"/>
        <v>0.25</v>
      </c>
      <c r="HL148" s="116">
        <f t="shared" si="518"/>
        <v>2175570</v>
      </c>
      <c r="HM148" s="2">
        <f t="shared" si="355"/>
        <v>1.5748031496062995E-2</v>
      </c>
      <c r="HN148" s="8">
        <f t="shared" si="519"/>
        <v>3.8005513027200002</v>
      </c>
      <c r="HO148" s="116">
        <f t="shared" si="520"/>
        <v>2610.6840000000002</v>
      </c>
      <c r="HP148" s="217">
        <f t="shared" si="521"/>
        <v>1.1208863705202361</v>
      </c>
      <c r="HQ148" s="207">
        <f t="shared" si="522"/>
        <v>2</v>
      </c>
      <c r="HR148" s="144">
        <f t="shared" si="523"/>
        <v>46454.696799197118</v>
      </c>
      <c r="HS148" s="128">
        <f t="shared" si="524"/>
        <v>0.25</v>
      </c>
      <c r="HT148" s="2">
        <f t="shared" si="525"/>
        <v>1.5748031496062995E-2</v>
      </c>
      <c r="HU148" s="127">
        <f t="shared" si="526"/>
        <v>1.5748031496062995E-2</v>
      </c>
      <c r="HV148" s="216">
        <f t="shared" si="527"/>
        <v>0</v>
      </c>
      <c r="HW148" s="138">
        <f t="shared" si="528"/>
        <v>0</v>
      </c>
      <c r="HX148" s="138">
        <f t="shared" si="529"/>
        <v>0</v>
      </c>
      <c r="HY148" s="238">
        <f t="shared" si="530"/>
        <v>0.25</v>
      </c>
      <c r="HZ148" s="138">
        <f t="shared" si="531"/>
        <v>0</v>
      </c>
      <c r="IA148" s="138">
        <f t="shared" si="532"/>
        <v>0</v>
      </c>
      <c r="IB148" s="138">
        <f t="shared" si="533"/>
        <v>0</v>
      </c>
      <c r="IC148" s="138">
        <f t="shared" si="534"/>
        <v>0.25</v>
      </c>
      <c r="ID148" s="216">
        <f t="shared" si="535"/>
        <v>0</v>
      </c>
      <c r="IE148" s="138">
        <f t="shared" si="536"/>
        <v>0</v>
      </c>
      <c r="IF148" s="138">
        <f t="shared" si="537"/>
        <v>0</v>
      </c>
      <c r="IG148" s="238">
        <f t="shared" si="538"/>
        <v>1.5748031496062995E-2</v>
      </c>
      <c r="IH148" s="138">
        <f t="shared" si="539"/>
        <v>0</v>
      </c>
      <c r="II148" s="138">
        <f t="shared" si="540"/>
        <v>0</v>
      </c>
      <c r="IJ148" s="138">
        <f t="shared" si="541"/>
        <v>0</v>
      </c>
      <c r="IK148" s="138">
        <f t="shared" si="542"/>
        <v>1.5748031496062995E-2</v>
      </c>
      <c r="IL148" s="216">
        <f t="shared" si="543"/>
        <v>0</v>
      </c>
      <c r="IM148" s="138">
        <f t="shared" si="544"/>
        <v>0</v>
      </c>
      <c r="IN148" s="138">
        <f t="shared" si="545"/>
        <v>0</v>
      </c>
      <c r="IO148" s="238">
        <f t="shared" si="546"/>
        <v>1.5748031496062995E-2</v>
      </c>
      <c r="IP148" s="138">
        <f t="shared" si="547"/>
        <v>0</v>
      </c>
      <c r="IQ148" s="138">
        <f t="shared" si="548"/>
        <v>0</v>
      </c>
      <c r="IR148" s="138">
        <f t="shared" si="549"/>
        <v>0</v>
      </c>
      <c r="IS148" s="138">
        <f t="shared" si="550"/>
        <v>1.5748031496062995E-2</v>
      </c>
      <c r="IT148" s="17">
        <f t="shared" si="551"/>
        <v>0.25</v>
      </c>
      <c r="IU148" s="17">
        <f t="shared" si="552"/>
        <v>1.5748031496062995E-2</v>
      </c>
      <c r="IV148" s="17">
        <f t="shared" si="553"/>
        <v>1.5748031496062995E-2</v>
      </c>
      <c r="IW148" s="253">
        <f t="shared" si="554"/>
        <v>21.114173904000005</v>
      </c>
      <c r="IX148" s="116">
        <f t="shared" si="356"/>
        <v>58.845422024007846</v>
      </c>
      <c r="IY148" s="8">
        <f t="shared" si="357"/>
        <v>1.5214656337651472E-3</v>
      </c>
      <c r="IZ148" s="8">
        <f t="shared" si="555"/>
        <v>1.5214656337651472E-3</v>
      </c>
      <c r="JA148" s="8">
        <f t="shared" si="556"/>
        <v>7.6073281688257359E-4</v>
      </c>
      <c r="JB148" s="134">
        <f t="shared" si="557"/>
        <v>2.7581385332912007E-2</v>
      </c>
      <c r="JC148" s="170">
        <f t="shared" si="564"/>
        <v>2.1476328638547018E-3</v>
      </c>
      <c r="JD148" s="272">
        <f t="shared" si="565"/>
        <v>4.6342559962249626E-2</v>
      </c>
      <c r="JE148" s="8"/>
      <c r="JF148" s="8"/>
    </row>
    <row r="149" spans="1:266" x14ac:dyDescent="0.25">
      <c r="A149" s="186">
        <v>89</v>
      </c>
      <c r="B149" s="187">
        <f>A149/100*'Inputs-Imperial'!$E$5</f>
        <v>21.432415383999999</v>
      </c>
      <c r="C149" s="188">
        <f>'Inputs-Imperial'!$E$10+('Inputs-Imperial'!$E$9-'Inputs-Imperial'!$E$10)*(100-A149)/100</f>
        <v>3.5012304270000003</v>
      </c>
      <c r="D149" s="187">
        <f t="shared" si="558"/>
        <v>0.24081365600000026</v>
      </c>
      <c r="E149" s="188">
        <f t="shared" si="559"/>
        <v>0.84528716741565935</v>
      </c>
      <c r="F149" s="423">
        <f>Loads!P109</f>
        <v>64.056476184030103</v>
      </c>
      <c r="G149" s="423">
        <f>Loads!M109</f>
        <v>640.56476184030112</v>
      </c>
      <c r="H149" s="423">
        <f>Loads!N109</f>
        <v>864.42682303196057</v>
      </c>
      <c r="I149" s="423">
        <f>Loads!V109</f>
        <v>-881.72800540231628</v>
      </c>
      <c r="J149" s="423">
        <f>Loads!Q109</f>
        <v>86.442682303196037</v>
      </c>
      <c r="K149" s="2">
        <v>89</v>
      </c>
      <c r="L149" s="12">
        <f t="shared" si="358"/>
        <v>257.188984608</v>
      </c>
      <c r="M149" s="11">
        <f t="shared" si="359"/>
        <v>42.014765124000007</v>
      </c>
      <c r="N149" s="11">
        <f t="shared" si="360"/>
        <v>2.8897638720000032</v>
      </c>
      <c r="O149" s="152">
        <f t="shared" si="361"/>
        <v>121.72135210785494</v>
      </c>
      <c r="P149" s="151">
        <f t="shared" si="362"/>
        <v>64.056476184030103</v>
      </c>
      <c r="Q149" s="12">
        <f t="shared" si="363"/>
        <v>640.56476184030112</v>
      </c>
      <c r="R149" s="12">
        <f t="shared" si="364"/>
        <v>10373.121876383528</v>
      </c>
      <c r="S149" s="12">
        <f t="shared" si="365"/>
        <v>-10580.736064827795</v>
      </c>
      <c r="T149" s="152">
        <f t="shared" si="366"/>
        <v>1037.3121876383525</v>
      </c>
      <c r="U149" s="8">
        <f t="shared" si="313"/>
        <v>7.5626577223200009</v>
      </c>
      <c r="V149" s="8">
        <f t="shared" si="314"/>
        <v>7.5626577223200009</v>
      </c>
      <c r="W149" s="134">
        <f t="shared" si="315"/>
        <v>3.7813288611600004</v>
      </c>
      <c r="X149" s="311">
        <f t="shared" si="316"/>
        <v>10.503691281000002</v>
      </c>
      <c r="Y149" s="11">
        <f t="shared" si="317"/>
        <v>31.511073843000005</v>
      </c>
      <c r="Z149" s="11">
        <f t="shared" si="318"/>
        <v>21.007382562000004</v>
      </c>
      <c r="AA149" s="316">
        <f t="shared" si="367"/>
        <v>31.511073843000005</v>
      </c>
      <c r="AB149" s="170">
        <f t="shared" si="368"/>
        <v>5.6719932917400007</v>
      </c>
      <c r="AC149" s="11">
        <f t="shared" si="369"/>
        <v>31.511073843000005</v>
      </c>
      <c r="AD149" s="152">
        <f t="shared" si="370"/>
        <v>140.37468455332674</v>
      </c>
      <c r="AE149" s="151">
        <f t="shared" si="319"/>
        <v>2.0328242859378105</v>
      </c>
      <c r="AF149" s="12">
        <f t="shared" si="320"/>
        <v>37.687479400205859</v>
      </c>
      <c r="AG149" s="216">
        <f t="shared" si="321"/>
        <v>2.6023089087840114E-3</v>
      </c>
      <c r="AH149" s="2">
        <f t="shared" si="371"/>
        <v>1</v>
      </c>
      <c r="AI149" s="2">
        <f t="shared" si="372"/>
        <v>3</v>
      </c>
      <c r="AJ149" s="127">
        <f t="shared" si="373"/>
        <v>2</v>
      </c>
      <c r="AK149" s="2">
        <f t="shared" si="374"/>
        <v>1.5748031496062995E-2</v>
      </c>
      <c r="AL149" s="8">
        <f t="shared" si="322"/>
        <v>2.7386135830708966E-2</v>
      </c>
      <c r="AM149" s="138">
        <f t="shared" si="375"/>
        <v>0.25</v>
      </c>
      <c r="AN149" s="12">
        <f t="shared" si="323"/>
        <v>2270.0153556631103</v>
      </c>
      <c r="AO149" s="138">
        <f t="shared" si="376"/>
        <v>0.25</v>
      </c>
      <c r="AP149" s="116">
        <f t="shared" si="377"/>
        <v>2175570</v>
      </c>
      <c r="AQ149" s="2">
        <f t="shared" si="378"/>
        <v>1.5748031496062995E-2</v>
      </c>
      <c r="AR149" s="8">
        <f t="shared" si="379"/>
        <v>21.007382562000004</v>
      </c>
      <c r="AS149" s="116">
        <f t="shared" si="380"/>
        <v>2610.6840000000002</v>
      </c>
      <c r="AT149" s="217">
        <f t="shared" si="381"/>
        <v>3.6686890063329633E-2</v>
      </c>
      <c r="AU149" s="207">
        <f t="shared" si="382"/>
        <v>4.6949971963051924</v>
      </c>
      <c r="AV149" s="144">
        <f t="shared" si="383"/>
        <v>3569.3101040678698</v>
      </c>
      <c r="AW149" s="138">
        <f t="shared" si="384"/>
        <v>0.25</v>
      </c>
      <c r="AX149" s="116">
        <f t="shared" si="385"/>
        <v>2175570</v>
      </c>
      <c r="AY149" s="2">
        <f t="shared" si="386"/>
        <v>1.5748031496062995E-2</v>
      </c>
      <c r="AZ149" s="8">
        <f t="shared" si="387"/>
        <v>21.007382562000004</v>
      </c>
      <c r="BA149" s="116">
        <f t="shared" si="388"/>
        <v>2610.6840000000002</v>
      </c>
      <c r="BB149" s="217">
        <f t="shared" si="389"/>
        <v>3.6686890063329633E-2</v>
      </c>
      <c r="BC149" s="207">
        <f t="shared" si="390"/>
        <v>4.6949971963051924</v>
      </c>
      <c r="BD149" s="144">
        <f t="shared" si="391"/>
        <v>3569.3101040678698</v>
      </c>
      <c r="BE149" s="138">
        <f t="shared" si="392"/>
        <v>0.25</v>
      </c>
      <c r="BF149" s="116">
        <f t="shared" si="393"/>
        <v>2175570</v>
      </c>
      <c r="BG149" s="2">
        <f t="shared" si="394"/>
        <v>1.5748031496062995E-2</v>
      </c>
      <c r="BH149" s="8">
        <f t="shared" si="395"/>
        <v>21.007382562000004</v>
      </c>
      <c r="BI149" s="116">
        <f t="shared" si="396"/>
        <v>2610.6840000000002</v>
      </c>
      <c r="BJ149" s="217">
        <f t="shared" si="397"/>
        <v>3.6686890063329633E-2</v>
      </c>
      <c r="BK149" s="207">
        <f t="shared" si="398"/>
        <v>4.6949971963051924</v>
      </c>
      <c r="BL149" s="144">
        <f t="shared" si="399"/>
        <v>3569.3101040678698</v>
      </c>
      <c r="BM149" s="216">
        <f t="shared" si="400"/>
        <v>0.25</v>
      </c>
      <c r="BN149" s="216">
        <f t="shared" si="401"/>
        <v>2.3622047244094495E-2</v>
      </c>
      <c r="BO149" s="238">
        <f t="shared" si="402"/>
        <v>1.5748031496062995E-2</v>
      </c>
      <c r="BP149" s="216">
        <f t="shared" si="403"/>
        <v>0</v>
      </c>
      <c r="BQ149" s="138">
        <f t="shared" si="404"/>
        <v>0</v>
      </c>
      <c r="BR149" s="138">
        <f t="shared" si="405"/>
        <v>0</v>
      </c>
      <c r="BS149" s="238">
        <f t="shared" si="406"/>
        <v>0.25</v>
      </c>
      <c r="BT149" s="138">
        <f t="shared" si="407"/>
        <v>0</v>
      </c>
      <c r="BU149" s="138">
        <f t="shared" si="408"/>
        <v>0</v>
      </c>
      <c r="BV149" s="138">
        <f t="shared" si="409"/>
        <v>0</v>
      </c>
      <c r="BW149" s="238">
        <f t="shared" si="410"/>
        <v>0.75</v>
      </c>
      <c r="BX149" s="216">
        <f t="shared" si="411"/>
        <v>0</v>
      </c>
      <c r="BY149" s="138">
        <f t="shared" si="412"/>
        <v>0</v>
      </c>
      <c r="BZ149" s="138">
        <f t="shared" si="413"/>
        <v>0</v>
      </c>
      <c r="CA149" s="238">
        <f t="shared" si="414"/>
        <v>2.3622047244094495E-2</v>
      </c>
      <c r="CB149" s="138">
        <f t="shared" si="415"/>
        <v>0</v>
      </c>
      <c r="CC149" s="138">
        <f t="shared" si="416"/>
        <v>0</v>
      </c>
      <c r="CD149" s="138">
        <f t="shared" si="417"/>
        <v>0</v>
      </c>
      <c r="CE149" s="238">
        <f t="shared" si="418"/>
        <v>2.3622047244094495E-2</v>
      </c>
      <c r="CF149" s="216">
        <f t="shared" si="419"/>
        <v>0</v>
      </c>
      <c r="CG149" s="138">
        <f t="shared" si="420"/>
        <v>0</v>
      </c>
      <c r="CH149" s="138">
        <f t="shared" si="421"/>
        <v>0</v>
      </c>
      <c r="CI149" s="238">
        <f t="shared" si="422"/>
        <v>1.5748031496062995E-2</v>
      </c>
      <c r="CJ149" s="138">
        <f t="shared" si="423"/>
        <v>0</v>
      </c>
      <c r="CK149" s="138">
        <f t="shared" si="424"/>
        <v>0</v>
      </c>
      <c r="CL149" s="138">
        <f t="shared" si="425"/>
        <v>0</v>
      </c>
      <c r="CM149" s="238">
        <f t="shared" si="426"/>
        <v>1.5748031496062995E-2</v>
      </c>
      <c r="CN149" s="17">
        <f t="shared" si="427"/>
        <v>0.75</v>
      </c>
      <c r="CO149" s="17">
        <f t="shared" si="428"/>
        <v>2.3622047244094495E-2</v>
      </c>
      <c r="CP149" s="17">
        <f t="shared" si="429"/>
        <v>1.5748031496062995E-2</v>
      </c>
      <c r="CQ149" s="17">
        <f>$U149-IF('Inputs-Imperial'!$E$13,0,2)*($CO149+$CN149+$CP149)</f>
        <v>7.5626577223200009</v>
      </c>
      <c r="CR149" s="116">
        <f t="shared" si="430"/>
        <v>1371.6238731483088</v>
      </c>
      <c r="CS149" s="8">
        <f t="shared" si="324"/>
        <v>3.5463737257175068E-2</v>
      </c>
      <c r="CT149" s="8">
        <f t="shared" si="431"/>
        <v>0.18831818089917676</v>
      </c>
      <c r="CU149" s="8">
        <f t="shared" si="325"/>
        <v>3.5463737257175068E-2</v>
      </c>
      <c r="CV149" s="8">
        <f t="shared" si="432"/>
        <v>0.18831818089917676</v>
      </c>
      <c r="CW149" s="216">
        <f t="shared" si="433"/>
        <v>7.3743395414208237</v>
      </c>
      <c r="CX149" s="116">
        <f t="shared" si="434"/>
        <v>1406.6509709946072</v>
      </c>
      <c r="CY149" s="8">
        <f t="shared" si="435"/>
        <v>3.6369373138279461E-2</v>
      </c>
      <c r="CZ149" s="8">
        <f t="shared" si="436"/>
        <v>0.19070755920591995</v>
      </c>
      <c r="DA149" s="8">
        <f t="shared" si="437"/>
        <v>3.6369373138279461E-2</v>
      </c>
      <c r="DB149" s="8">
        <f t="shared" si="438"/>
        <v>0.19070755920591995</v>
      </c>
      <c r="DC149" s="216">
        <f t="shared" si="439"/>
        <v>7.3719501631140805</v>
      </c>
      <c r="DD149" s="116">
        <f t="shared" si="440"/>
        <v>1407.1068912383537</v>
      </c>
      <c r="DE149" s="8">
        <f t="shared" si="441"/>
        <v>3.6381161089809745E-2</v>
      </c>
      <c r="DF149" s="8">
        <f t="shared" si="442"/>
        <v>0.19073846253393609</v>
      </c>
      <c r="DG149" s="8">
        <f t="shared" si="443"/>
        <v>3.6381161089809745E-2</v>
      </c>
      <c r="DH149" s="8">
        <f t="shared" si="444"/>
        <v>0.19073846253393609</v>
      </c>
      <c r="DI149" s="216">
        <f t="shared" si="445"/>
        <v>7.3719192597860648</v>
      </c>
      <c r="DJ149" s="116">
        <f t="shared" si="446"/>
        <v>1407.1127898767245</v>
      </c>
      <c r="DK149" s="8">
        <f t="shared" si="447"/>
        <v>3.6381313600833687E-2</v>
      </c>
      <c r="DL149" s="8">
        <f t="shared" si="448"/>
        <v>0.19073886232447149</v>
      </c>
      <c r="DM149" s="8">
        <f t="shared" si="449"/>
        <v>3.6381313600833687E-2</v>
      </c>
      <c r="DN149" s="8">
        <f t="shared" si="450"/>
        <v>0.19073886232447149</v>
      </c>
      <c r="DO149" s="216">
        <f t="shared" si="451"/>
        <v>7.3719188599955299</v>
      </c>
      <c r="DP149" s="116">
        <f t="shared" si="452"/>
        <v>1407.1128661866223</v>
      </c>
      <c r="DQ149" s="170">
        <f t="shared" si="453"/>
        <v>3.6381315573848466E-2</v>
      </c>
      <c r="DR149" s="8">
        <f t="shared" si="454"/>
        <v>0.19073886749650285</v>
      </c>
      <c r="DS149" s="8">
        <f t="shared" si="455"/>
        <v>3.6381315573848466E-2</v>
      </c>
      <c r="DT149" s="134">
        <f t="shared" si="456"/>
        <v>0.19073886749650285</v>
      </c>
      <c r="DU149" s="170">
        <f t="shared" si="563"/>
        <v>0.12489389406218925</v>
      </c>
      <c r="DV149" s="170">
        <f t="shared" si="563"/>
        <v>0.35340330227968902</v>
      </c>
      <c r="DW149" s="170">
        <f t="shared" si="563"/>
        <v>0.12489389406218925</v>
      </c>
      <c r="DX149" s="272">
        <f t="shared" si="563"/>
        <v>0.35340330227968902</v>
      </c>
      <c r="DY149" s="272">
        <f t="shared" si="457"/>
        <v>6.8558511177606221</v>
      </c>
      <c r="DZ149" s="22">
        <f t="shared" si="326"/>
        <v>84.701011914075451</v>
      </c>
      <c r="EA149" s="216">
        <f t="shared" si="327"/>
        <v>5.5492576196971921E-3</v>
      </c>
      <c r="EB149" s="12">
        <f t="shared" si="458"/>
        <v>1</v>
      </c>
      <c r="EC149" s="7">
        <f>ROUND(MAX(DV149,DX149)/'Inputs-Imperial'!$E$21,0)</f>
        <v>3</v>
      </c>
      <c r="ED149" s="12">
        <f t="shared" si="459"/>
        <v>3</v>
      </c>
      <c r="EE149" s="2">
        <f t="shared" si="460"/>
        <v>2</v>
      </c>
      <c r="EF149" s="127">
        <f t="shared" si="461"/>
        <v>2</v>
      </c>
      <c r="EG149" s="2">
        <f t="shared" si="462"/>
        <v>1.5748031496062995E-2</v>
      </c>
      <c r="EH149" s="8">
        <f t="shared" si="328"/>
        <v>5.8399186360867807E-2</v>
      </c>
      <c r="EI149" s="138">
        <f t="shared" si="463"/>
        <v>0.25</v>
      </c>
      <c r="EJ149" s="12">
        <f t="shared" si="329"/>
        <v>4840.6628308894115</v>
      </c>
      <c r="EK149" s="138">
        <f t="shared" si="464"/>
        <v>0.25</v>
      </c>
      <c r="EL149" s="116">
        <f t="shared" si="465"/>
        <v>2175570</v>
      </c>
      <c r="EM149" s="2">
        <f t="shared" si="330"/>
        <v>1.5748031496062995E-2</v>
      </c>
      <c r="EN149" s="8">
        <f t="shared" si="466"/>
        <v>7.5626577223200009</v>
      </c>
      <c r="EO149" s="116">
        <f t="shared" si="467"/>
        <v>2610.6840000000002</v>
      </c>
      <c r="EP149" s="217">
        <f t="shared" si="468"/>
        <v>0.28307785542692621</v>
      </c>
      <c r="EQ149" s="207">
        <f t="shared" si="469"/>
        <v>2.6798796652982668</v>
      </c>
      <c r="ER149" s="144">
        <f t="shared" si="470"/>
        <v>15720.242310450189</v>
      </c>
      <c r="ES149" s="138">
        <f t="shared" si="331"/>
        <v>0.25</v>
      </c>
      <c r="ET149" s="116">
        <f t="shared" si="471"/>
        <v>2175570</v>
      </c>
      <c r="EU149" s="2">
        <f t="shared" si="332"/>
        <v>1.5748031496062995E-2</v>
      </c>
      <c r="EV149" s="8">
        <f t="shared" si="472"/>
        <v>7.5626577223200009</v>
      </c>
      <c r="EW149" s="116">
        <f t="shared" si="473"/>
        <v>2610.6840000000002</v>
      </c>
      <c r="EX149" s="217">
        <f t="shared" si="474"/>
        <v>0.28307785542692621</v>
      </c>
      <c r="EY149" s="207">
        <f t="shared" si="475"/>
        <v>2.6798796652982668</v>
      </c>
      <c r="EZ149" s="144">
        <f t="shared" si="476"/>
        <v>15720.242310450189</v>
      </c>
      <c r="FA149" s="138">
        <f t="shared" si="333"/>
        <v>0.25</v>
      </c>
      <c r="FB149" s="116">
        <f t="shared" si="477"/>
        <v>2175570</v>
      </c>
      <c r="FC149" s="2">
        <f t="shared" si="334"/>
        <v>1.5748031496062995E-2</v>
      </c>
      <c r="FD149" s="8">
        <f t="shared" si="478"/>
        <v>7.5626577223200009</v>
      </c>
      <c r="FE149" s="116">
        <f t="shared" si="479"/>
        <v>2610.6840000000002</v>
      </c>
      <c r="FF149" s="217">
        <f t="shared" si="480"/>
        <v>0.28307785542692621</v>
      </c>
      <c r="FG149" s="207">
        <f t="shared" si="481"/>
        <v>2.6798796652982668</v>
      </c>
      <c r="FH149" s="144">
        <f t="shared" si="482"/>
        <v>15720.242310450189</v>
      </c>
      <c r="FI149" s="128">
        <f t="shared" si="483"/>
        <v>0.25</v>
      </c>
      <c r="FJ149" s="2">
        <f t="shared" si="484"/>
        <v>1.5748031496062995E-2</v>
      </c>
      <c r="FK149" s="127">
        <f t="shared" si="485"/>
        <v>1.5748031496062995E-2</v>
      </c>
      <c r="FL149" s="216">
        <f t="shared" si="486"/>
        <v>0</v>
      </c>
      <c r="FM149" s="138">
        <f t="shared" si="487"/>
        <v>0</v>
      </c>
      <c r="FN149" s="138">
        <f t="shared" si="488"/>
        <v>0</v>
      </c>
      <c r="FO149" s="238">
        <f t="shared" si="489"/>
        <v>0.25</v>
      </c>
      <c r="FP149" s="216">
        <f t="shared" si="335"/>
        <v>0</v>
      </c>
      <c r="FQ149" s="138">
        <f t="shared" si="336"/>
        <v>0</v>
      </c>
      <c r="FR149" s="138">
        <f t="shared" si="337"/>
        <v>0</v>
      </c>
      <c r="FS149" s="238">
        <f t="shared" si="338"/>
        <v>0.25</v>
      </c>
      <c r="FT149" s="216">
        <f t="shared" si="490"/>
        <v>0</v>
      </c>
      <c r="FU149" s="138">
        <f t="shared" si="491"/>
        <v>0</v>
      </c>
      <c r="FV149" s="138">
        <f t="shared" si="492"/>
        <v>0</v>
      </c>
      <c r="FW149" s="238">
        <f t="shared" si="493"/>
        <v>1.5748031496062995E-2</v>
      </c>
      <c r="FX149" s="216">
        <f t="shared" si="339"/>
        <v>0</v>
      </c>
      <c r="FY149" s="138">
        <f t="shared" si="340"/>
        <v>0</v>
      </c>
      <c r="FZ149" s="138">
        <f t="shared" si="341"/>
        <v>0</v>
      </c>
      <c r="GA149" s="238">
        <f t="shared" si="342"/>
        <v>2.3622047244094495E-2</v>
      </c>
      <c r="GB149" s="216">
        <f t="shared" si="494"/>
        <v>0</v>
      </c>
      <c r="GC149" s="138">
        <f t="shared" si="495"/>
        <v>0</v>
      </c>
      <c r="GD149" s="138">
        <f t="shared" si="496"/>
        <v>0</v>
      </c>
      <c r="GE149" s="238">
        <f t="shared" si="497"/>
        <v>1.5748031496062995E-2</v>
      </c>
      <c r="GF149" s="216">
        <f t="shared" si="343"/>
        <v>0</v>
      </c>
      <c r="GG149" s="138">
        <f t="shared" si="344"/>
        <v>0</v>
      </c>
      <c r="GH149" s="138">
        <f t="shared" si="345"/>
        <v>0</v>
      </c>
      <c r="GI149" s="238">
        <f t="shared" si="346"/>
        <v>2.3622047244094495E-2</v>
      </c>
      <c r="GJ149" s="216">
        <f t="shared" si="498"/>
        <v>0.25</v>
      </c>
      <c r="GK149" s="216">
        <f t="shared" si="499"/>
        <v>2.3622047244094495E-2</v>
      </c>
      <c r="GL149" s="17">
        <f t="shared" si="500"/>
        <v>2.3622047244094495E-2</v>
      </c>
      <c r="GM149" s="216">
        <f t="shared" si="347"/>
        <v>2.4691267259112784E-3</v>
      </c>
      <c r="GN149" s="2">
        <f t="shared" si="501"/>
        <v>1</v>
      </c>
      <c r="GO149" s="2">
        <f t="shared" si="502"/>
        <v>2</v>
      </c>
      <c r="GP149" s="142">
        <f t="shared" si="503"/>
        <v>2</v>
      </c>
      <c r="GQ149" s="2">
        <f t="shared" si="504"/>
        <v>1.5748031496062995E-2</v>
      </c>
      <c r="GR149" s="8">
        <f t="shared" si="348"/>
        <v>2.5984555358048139E-2</v>
      </c>
      <c r="GS149" s="138">
        <f t="shared" si="505"/>
        <v>0.25</v>
      </c>
      <c r="GT149" s="12">
        <f t="shared" si="349"/>
        <v>2153.8394477217648</v>
      </c>
      <c r="GU149" s="138">
        <f t="shared" si="506"/>
        <v>0.25</v>
      </c>
      <c r="GV149" s="116">
        <f t="shared" si="507"/>
        <v>2175570</v>
      </c>
      <c r="GW149" s="2">
        <f t="shared" si="350"/>
        <v>1.5748031496062995E-2</v>
      </c>
      <c r="GX149" s="8">
        <f t="shared" si="351"/>
        <v>3.7813288611600004</v>
      </c>
      <c r="GY149" s="116">
        <f t="shared" si="508"/>
        <v>2610.6840000000002</v>
      </c>
      <c r="GZ149" s="217">
        <f t="shared" si="509"/>
        <v>1.1323114217077048</v>
      </c>
      <c r="HA149" s="207">
        <f t="shared" si="510"/>
        <v>2</v>
      </c>
      <c r="HB149" s="144">
        <f t="shared" si="511"/>
        <v>46928.203572754224</v>
      </c>
      <c r="HC149" s="138">
        <f t="shared" si="352"/>
        <v>0.25</v>
      </c>
      <c r="HD149" s="116">
        <f t="shared" si="512"/>
        <v>2175570</v>
      </c>
      <c r="HE149" s="2">
        <f t="shared" si="353"/>
        <v>1.5748031496062995E-2</v>
      </c>
      <c r="HF149" s="8">
        <f t="shared" si="513"/>
        <v>3.7813288611600004</v>
      </c>
      <c r="HG149" s="116">
        <f t="shared" si="514"/>
        <v>2610.6840000000002</v>
      </c>
      <c r="HH149" s="217">
        <f t="shared" si="515"/>
        <v>1.1323114217077048</v>
      </c>
      <c r="HI149" s="207">
        <f t="shared" si="516"/>
        <v>2</v>
      </c>
      <c r="HJ149" s="144">
        <f t="shared" si="517"/>
        <v>46928.203572754224</v>
      </c>
      <c r="HK149" s="138">
        <f t="shared" si="354"/>
        <v>0.25</v>
      </c>
      <c r="HL149" s="116">
        <f t="shared" si="518"/>
        <v>2175570</v>
      </c>
      <c r="HM149" s="2">
        <f t="shared" si="355"/>
        <v>1.5748031496062995E-2</v>
      </c>
      <c r="HN149" s="8">
        <f t="shared" si="519"/>
        <v>3.7813288611600004</v>
      </c>
      <c r="HO149" s="116">
        <f t="shared" si="520"/>
        <v>2610.6840000000002</v>
      </c>
      <c r="HP149" s="217">
        <f t="shared" si="521"/>
        <v>1.1323114217077048</v>
      </c>
      <c r="HQ149" s="207">
        <f t="shared" si="522"/>
        <v>2</v>
      </c>
      <c r="HR149" s="144">
        <f t="shared" si="523"/>
        <v>46928.203572754224</v>
      </c>
      <c r="HS149" s="128">
        <f t="shared" si="524"/>
        <v>0.25</v>
      </c>
      <c r="HT149" s="2">
        <f t="shared" si="525"/>
        <v>1.5748031496062995E-2</v>
      </c>
      <c r="HU149" s="127">
        <f t="shared" si="526"/>
        <v>1.5748031496062995E-2</v>
      </c>
      <c r="HV149" s="216">
        <f t="shared" si="527"/>
        <v>0</v>
      </c>
      <c r="HW149" s="138">
        <f t="shared" si="528"/>
        <v>0</v>
      </c>
      <c r="HX149" s="138">
        <f t="shared" si="529"/>
        <v>0</v>
      </c>
      <c r="HY149" s="238">
        <f t="shared" si="530"/>
        <v>0.25</v>
      </c>
      <c r="HZ149" s="138">
        <f t="shared" si="531"/>
        <v>0</v>
      </c>
      <c r="IA149" s="138">
        <f t="shared" si="532"/>
        <v>0</v>
      </c>
      <c r="IB149" s="138">
        <f t="shared" si="533"/>
        <v>0</v>
      </c>
      <c r="IC149" s="138">
        <f t="shared" si="534"/>
        <v>0.25</v>
      </c>
      <c r="ID149" s="216">
        <f t="shared" si="535"/>
        <v>0</v>
      </c>
      <c r="IE149" s="138">
        <f t="shared" si="536"/>
        <v>0</v>
      </c>
      <c r="IF149" s="138">
        <f t="shared" si="537"/>
        <v>0</v>
      </c>
      <c r="IG149" s="238">
        <f t="shared" si="538"/>
        <v>1.5748031496062995E-2</v>
      </c>
      <c r="IH149" s="138">
        <f t="shared" si="539"/>
        <v>0</v>
      </c>
      <c r="II149" s="138">
        <f t="shared" si="540"/>
        <v>0</v>
      </c>
      <c r="IJ149" s="138">
        <f t="shared" si="541"/>
        <v>0</v>
      </c>
      <c r="IK149" s="138">
        <f t="shared" si="542"/>
        <v>1.5748031496062995E-2</v>
      </c>
      <c r="IL149" s="216">
        <f t="shared" si="543"/>
        <v>0</v>
      </c>
      <c r="IM149" s="138">
        <f t="shared" si="544"/>
        <v>0</v>
      </c>
      <c r="IN149" s="138">
        <f t="shared" si="545"/>
        <v>0</v>
      </c>
      <c r="IO149" s="238">
        <f t="shared" si="546"/>
        <v>1.5748031496062995E-2</v>
      </c>
      <c r="IP149" s="138">
        <f t="shared" si="547"/>
        <v>0</v>
      </c>
      <c r="IQ149" s="138">
        <f t="shared" si="548"/>
        <v>0</v>
      </c>
      <c r="IR149" s="138">
        <f t="shared" si="549"/>
        <v>0</v>
      </c>
      <c r="IS149" s="138">
        <f t="shared" si="550"/>
        <v>1.5748031496062995E-2</v>
      </c>
      <c r="IT149" s="17">
        <f t="shared" si="551"/>
        <v>0.25</v>
      </c>
      <c r="IU149" s="17">
        <f t="shared" si="552"/>
        <v>1.5748031496062995E-2</v>
      </c>
      <c r="IV149" s="17">
        <f t="shared" si="553"/>
        <v>1.5748031496062995E-2</v>
      </c>
      <c r="IW149" s="253">
        <f t="shared" si="554"/>
        <v>21.007382562000004</v>
      </c>
      <c r="IX149" s="116">
        <f t="shared" si="356"/>
        <v>49.378459433339103</v>
      </c>
      <c r="IY149" s="8">
        <f t="shared" si="357"/>
        <v>1.2766945412583022E-3</v>
      </c>
      <c r="IZ149" s="8">
        <f t="shared" si="555"/>
        <v>1.2766945412583022E-3</v>
      </c>
      <c r="JA149" s="8">
        <f t="shared" si="556"/>
        <v>6.3834727062915108E-4</v>
      </c>
      <c r="JB149" s="134">
        <f t="shared" si="557"/>
        <v>2.52655352333797E-2</v>
      </c>
      <c r="JC149" s="170">
        <f t="shared" si="564"/>
        <v>2.1476328638547018E-3</v>
      </c>
      <c r="JD149" s="272">
        <f t="shared" si="565"/>
        <v>4.6342559962249626E-2</v>
      </c>
      <c r="JE149" s="8"/>
      <c r="JF149" s="8"/>
    </row>
    <row r="150" spans="1:266" x14ac:dyDescent="0.25">
      <c r="A150" s="186">
        <v>90</v>
      </c>
      <c r="B150" s="187">
        <f>A150/100*'Inputs-Imperial'!$E$5</f>
        <v>21.673229039999999</v>
      </c>
      <c r="C150" s="188">
        <f>'Inputs-Imperial'!$E$10+('Inputs-Imperial'!$E$9-'Inputs-Imperial'!$E$10)*(100-A150)/100</f>
        <v>3.4834318700000004</v>
      </c>
      <c r="D150" s="187">
        <f t="shared" si="558"/>
        <v>0.24081365600000026</v>
      </c>
      <c r="E150" s="188">
        <f t="shared" si="559"/>
        <v>0.84100103183296493</v>
      </c>
      <c r="F150" s="423">
        <f>Loads!P110</f>
        <v>57.258823884279124</v>
      </c>
      <c r="G150" s="423">
        <f>Loads!M110</f>
        <v>572.58823884279127</v>
      </c>
      <c r="H150" s="423">
        <f>Loads!N110</f>
        <v>710.17008082842813</v>
      </c>
      <c r="I150" s="423">
        <f>Loads!V110</f>
        <v>-773.08426899028905</v>
      </c>
      <c r="J150" s="423">
        <f>Loads!Q110</f>
        <v>71.017008082842807</v>
      </c>
      <c r="K150" s="2">
        <v>90</v>
      </c>
      <c r="L150" s="12">
        <f t="shared" si="358"/>
        <v>260.07874848</v>
      </c>
      <c r="M150" s="11">
        <f t="shared" si="359"/>
        <v>41.801182440000005</v>
      </c>
      <c r="N150" s="11">
        <f t="shared" si="360"/>
        <v>2.8897638720000032</v>
      </c>
      <c r="O150" s="152">
        <f t="shared" si="361"/>
        <v>121.10414858394694</v>
      </c>
      <c r="P150" s="151">
        <f t="shared" si="362"/>
        <v>57.258823884279124</v>
      </c>
      <c r="Q150" s="12">
        <f t="shared" si="363"/>
        <v>572.58823884279127</v>
      </c>
      <c r="R150" s="12">
        <f t="shared" si="364"/>
        <v>8522.0409699411375</v>
      </c>
      <c r="S150" s="12">
        <f t="shared" si="365"/>
        <v>-9277.0112278834677</v>
      </c>
      <c r="T150" s="152">
        <f t="shared" si="366"/>
        <v>852.20409699411368</v>
      </c>
      <c r="U150" s="8">
        <f t="shared" si="313"/>
        <v>7.5242128392000005</v>
      </c>
      <c r="V150" s="8">
        <f t="shared" si="314"/>
        <v>7.5242128392000005</v>
      </c>
      <c r="W150" s="134">
        <f t="shared" si="315"/>
        <v>3.7621064196000003</v>
      </c>
      <c r="X150" s="311">
        <f t="shared" si="316"/>
        <v>10.450295610000001</v>
      </c>
      <c r="Y150" s="11">
        <f t="shared" si="317"/>
        <v>31.350886830000004</v>
      </c>
      <c r="Z150" s="11">
        <f t="shared" si="318"/>
        <v>20.900591220000003</v>
      </c>
      <c r="AA150" s="316">
        <f t="shared" si="367"/>
        <v>31.350886830000004</v>
      </c>
      <c r="AB150" s="170">
        <f t="shared" si="368"/>
        <v>5.6431596294000004</v>
      </c>
      <c r="AC150" s="11">
        <f t="shared" si="369"/>
        <v>31.350886830000004</v>
      </c>
      <c r="AD150" s="152">
        <f t="shared" si="370"/>
        <v>138.95111853578473</v>
      </c>
      <c r="AE150" s="151">
        <f t="shared" si="319"/>
        <v>1.8263860985740135</v>
      </c>
      <c r="AF150" s="12">
        <f t="shared" si="320"/>
        <v>33.382283372891003</v>
      </c>
      <c r="AG150" s="216">
        <f t="shared" si="321"/>
        <v>2.3067254207320624E-3</v>
      </c>
      <c r="AH150" s="2">
        <f t="shared" si="371"/>
        <v>1</v>
      </c>
      <c r="AI150" s="2">
        <f t="shared" si="372"/>
        <v>3</v>
      </c>
      <c r="AJ150" s="127">
        <f t="shared" si="373"/>
        <v>2</v>
      </c>
      <c r="AK150" s="2">
        <f t="shared" si="374"/>
        <v>1.5748031496062995E-2</v>
      </c>
      <c r="AL150" s="8">
        <f t="shared" si="322"/>
        <v>2.4275479165091225E-2</v>
      </c>
      <c r="AM150" s="138">
        <f t="shared" si="375"/>
        <v>0.25</v>
      </c>
      <c r="AN150" s="12">
        <f t="shared" si="323"/>
        <v>2012.1754602942251</v>
      </c>
      <c r="AO150" s="138">
        <f t="shared" si="376"/>
        <v>0.25</v>
      </c>
      <c r="AP150" s="116">
        <f t="shared" si="377"/>
        <v>2175570</v>
      </c>
      <c r="AQ150" s="2">
        <f t="shared" si="378"/>
        <v>1.5748031496062995E-2</v>
      </c>
      <c r="AR150" s="8">
        <f t="shared" si="379"/>
        <v>20.900591220000003</v>
      </c>
      <c r="AS150" s="116">
        <f t="shared" si="380"/>
        <v>2610.6840000000002</v>
      </c>
      <c r="AT150" s="217">
        <f t="shared" si="381"/>
        <v>3.7062750369700657E-2</v>
      </c>
      <c r="AU150" s="207">
        <f t="shared" si="382"/>
        <v>4.6893925098111104</v>
      </c>
      <c r="AV150" s="144">
        <f t="shared" si="383"/>
        <v>3601.5734467573966</v>
      </c>
      <c r="AW150" s="138">
        <f t="shared" si="384"/>
        <v>0.25</v>
      </c>
      <c r="AX150" s="116">
        <f t="shared" si="385"/>
        <v>2175570</v>
      </c>
      <c r="AY150" s="2">
        <f t="shared" si="386"/>
        <v>1.5748031496062995E-2</v>
      </c>
      <c r="AZ150" s="8">
        <f t="shared" si="387"/>
        <v>20.900591220000003</v>
      </c>
      <c r="BA150" s="116">
        <f t="shared" si="388"/>
        <v>2610.6840000000002</v>
      </c>
      <c r="BB150" s="217">
        <f t="shared" si="389"/>
        <v>3.7062750369700657E-2</v>
      </c>
      <c r="BC150" s="207">
        <f t="shared" si="390"/>
        <v>4.6893925098111104</v>
      </c>
      <c r="BD150" s="144">
        <f t="shared" si="391"/>
        <v>3601.5734467573966</v>
      </c>
      <c r="BE150" s="138">
        <f t="shared" si="392"/>
        <v>0.25</v>
      </c>
      <c r="BF150" s="116">
        <f t="shared" si="393"/>
        <v>2175570</v>
      </c>
      <c r="BG150" s="2">
        <f t="shared" si="394"/>
        <v>1.5748031496062995E-2</v>
      </c>
      <c r="BH150" s="8">
        <f t="shared" si="395"/>
        <v>20.900591220000003</v>
      </c>
      <c r="BI150" s="116">
        <f t="shared" si="396"/>
        <v>2610.6840000000002</v>
      </c>
      <c r="BJ150" s="217">
        <f t="shared" si="397"/>
        <v>3.7062750369700657E-2</v>
      </c>
      <c r="BK150" s="207">
        <f t="shared" si="398"/>
        <v>4.6893925098111104</v>
      </c>
      <c r="BL150" s="144">
        <f t="shared" si="399"/>
        <v>3601.5734467573966</v>
      </c>
      <c r="BM150" s="216">
        <f t="shared" si="400"/>
        <v>0.25</v>
      </c>
      <c r="BN150" s="216">
        <f t="shared" si="401"/>
        <v>2.3622047244094495E-2</v>
      </c>
      <c r="BO150" s="238">
        <f t="shared" si="402"/>
        <v>1.5748031496062995E-2</v>
      </c>
      <c r="BP150" s="216">
        <f t="shared" si="403"/>
        <v>0</v>
      </c>
      <c r="BQ150" s="138">
        <f t="shared" si="404"/>
        <v>0</v>
      </c>
      <c r="BR150" s="138">
        <f t="shared" si="405"/>
        <v>0</v>
      </c>
      <c r="BS150" s="238">
        <f t="shared" si="406"/>
        <v>0.25</v>
      </c>
      <c r="BT150" s="138">
        <f t="shared" si="407"/>
        <v>0</v>
      </c>
      <c r="BU150" s="138">
        <f t="shared" si="408"/>
        <v>0</v>
      </c>
      <c r="BV150" s="138">
        <f t="shared" si="409"/>
        <v>0</v>
      </c>
      <c r="BW150" s="238">
        <f t="shared" si="410"/>
        <v>0.75</v>
      </c>
      <c r="BX150" s="216">
        <f t="shared" si="411"/>
        <v>0</v>
      </c>
      <c r="BY150" s="138">
        <f t="shared" si="412"/>
        <v>0</v>
      </c>
      <c r="BZ150" s="138">
        <f t="shared" si="413"/>
        <v>0</v>
      </c>
      <c r="CA150" s="238">
        <f t="shared" si="414"/>
        <v>2.3622047244094495E-2</v>
      </c>
      <c r="CB150" s="138">
        <f t="shared" si="415"/>
        <v>0</v>
      </c>
      <c r="CC150" s="138">
        <f t="shared" si="416"/>
        <v>0</v>
      </c>
      <c r="CD150" s="138">
        <f t="shared" si="417"/>
        <v>0</v>
      </c>
      <c r="CE150" s="238">
        <f t="shared" si="418"/>
        <v>2.3622047244094495E-2</v>
      </c>
      <c r="CF150" s="216">
        <f t="shared" si="419"/>
        <v>0</v>
      </c>
      <c r="CG150" s="138">
        <f t="shared" si="420"/>
        <v>0</v>
      </c>
      <c r="CH150" s="138">
        <f t="shared" si="421"/>
        <v>0</v>
      </c>
      <c r="CI150" s="238">
        <f t="shared" si="422"/>
        <v>1.5748031496062995E-2</v>
      </c>
      <c r="CJ150" s="138">
        <f t="shared" si="423"/>
        <v>0</v>
      </c>
      <c r="CK150" s="138">
        <f t="shared" si="424"/>
        <v>0</v>
      </c>
      <c r="CL150" s="138">
        <f t="shared" si="425"/>
        <v>0</v>
      </c>
      <c r="CM150" s="238">
        <f t="shared" si="426"/>
        <v>1.5748031496062995E-2</v>
      </c>
      <c r="CN150" s="17">
        <f t="shared" si="427"/>
        <v>0.75</v>
      </c>
      <c r="CO150" s="17">
        <f t="shared" si="428"/>
        <v>2.3622047244094495E-2</v>
      </c>
      <c r="CP150" s="17">
        <f t="shared" si="429"/>
        <v>1.5748031496062995E-2</v>
      </c>
      <c r="CQ150" s="17">
        <f>$U150-IF('Inputs-Imperial'!$E$13,0,2)*($CO150+$CN150+$CP150)</f>
        <v>7.5242128392000005</v>
      </c>
      <c r="CR150" s="116">
        <f t="shared" si="430"/>
        <v>1132.615617349712</v>
      </c>
      <c r="CS150" s="8">
        <f t="shared" si="324"/>
        <v>2.9284108751233606E-2</v>
      </c>
      <c r="CT150" s="8">
        <f t="shared" si="431"/>
        <v>0.17112600255727825</v>
      </c>
      <c r="CU150" s="8">
        <f t="shared" si="325"/>
        <v>2.9284108751233606E-2</v>
      </c>
      <c r="CV150" s="8">
        <f t="shared" si="432"/>
        <v>0.17112600255727825</v>
      </c>
      <c r="CW150" s="216">
        <f t="shared" si="433"/>
        <v>7.3530868366427224</v>
      </c>
      <c r="CX150" s="116">
        <f t="shared" si="434"/>
        <v>1158.9746128759357</v>
      </c>
      <c r="CY150" s="8">
        <f t="shared" si="435"/>
        <v>2.9965628306269795E-2</v>
      </c>
      <c r="CZ150" s="8">
        <f t="shared" si="436"/>
        <v>0.17310582978706926</v>
      </c>
      <c r="DA150" s="8">
        <f t="shared" si="437"/>
        <v>2.9965628306269795E-2</v>
      </c>
      <c r="DB150" s="8">
        <f t="shared" si="438"/>
        <v>0.17310582978706926</v>
      </c>
      <c r="DC150" s="216">
        <f t="shared" si="439"/>
        <v>7.3511070094129316</v>
      </c>
      <c r="DD150" s="116">
        <f t="shared" si="440"/>
        <v>1159.286752189684</v>
      </c>
      <c r="DE150" s="8">
        <f t="shared" si="441"/>
        <v>2.9973698759713417E-2</v>
      </c>
      <c r="DF150" s="8">
        <f t="shared" si="442"/>
        <v>0.1731291389677469</v>
      </c>
      <c r="DG150" s="8">
        <f t="shared" si="443"/>
        <v>2.9973698759713417E-2</v>
      </c>
      <c r="DH150" s="8">
        <f t="shared" si="444"/>
        <v>0.1731291389677469</v>
      </c>
      <c r="DI150" s="216">
        <f t="shared" si="445"/>
        <v>7.3510837002322535</v>
      </c>
      <c r="DJ150" s="116">
        <f t="shared" si="446"/>
        <v>1159.2904281135975</v>
      </c>
      <c r="DK150" s="8">
        <f t="shared" si="447"/>
        <v>2.9973793801803598E-2</v>
      </c>
      <c r="DL150" s="8">
        <f t="shared" si="448"/>
        <v>0.17312941345075827</v>
      </c>
      <c r="DM150" s="8">
        <f t="shared" si="449"/>
        <v>2.9973793801803598E-2</v>
      </c>
      <c r="DN150" s="8">
        <f t="shared" si="450"/>
        <v>0.17312941345075827</v>
      </c>
      <c r="DO150" s="216">
        <f t="shared" si="451"/>
        <v>7.351083425749243</v>
      </c>
      <c r="DP150" s="116">
        <f t="shared" si="452"/>
        <v>1159.2904714004858</v>
      </c>
      <c r="DQ150" s="170">
        <f t="shared" si="453"/>
        <v>2.9973794920998782E-2</v>
      </c>
      <c r="DR150" s="8">
        <f t="shared" si="454"/>
        <v>0.17312941668300849</v>
      </c>
      <c r="DS150" s="8">
        <f t="shared" si="455"/>
        <v>2.9973794920998782E-2</v>
      </c>
      <c r="DT150" s="134">
        <f t="shared" si="456"/>
        <v>0.17312941668300849</v>
      </c>
      <c r="DU150" s="170">
        <f>MAX(DQ$150:DQ$160)</f>
        <v>2.9973794920998782E-2</v>
      </c>
      <c r="DV150" s="170">
        <f>MAX(DR$150:DR$160)</f>
        <v>0.17312941668300849</v>
      </c>
      <c r="DW150" s="170">
        <f>MAX(DS$150:DS$160)</f>
        <v>2.9973794920998782E-2</v>
      </c>
      <c r="DX150" s="272">
        <f>MAX(DT$150:DT$160)</f>
        <v>0.17312941668300849</v>
      </c>
      <c r="DY150" s="272">
        <f t="shared" si="457"/>
        <v>7.1779540058339837</v>
      </c>
      <c r="DZ150" s="22">
        <f t="shared" si="326"/>
        <v>76.099420773917231</v>
      </c>
      <c r="EA150" s="216">
        <f t="shared" si="327"/>
        <v>4.9857171837875856E-3</v>
      </c>
      <c r="EB150" s="12">
        <f t="shared" si="458"/>
        <v>1</v>
      </c>
      <c r="EC150" s="7">
        <f>ROUND(MAX(DV150,DX150)/'Inputs-Imperial'!$E$21,0)</f>
        <v>1</v>
      </c>
      <c r="ED150" s="12">
        <f t="shared" si="459"/>
        <v>1</v>
      </c>
      <c r="EE150" s="2">
        <f t="shared" si="460"/>
        <v>2</v>
      </c>
      <c r="EF150" s="127">
        <f t="shared" si="461"/>
        <v>2</v>
      </c>
      <c r="EG150" s="2">
        <f t="shared" si="462"/>
        <v>1.5748031496062995E-2</v>
      </c>
      <c r="EH150" s="8">
        <f t="shared" si="328"/>
        <v>5.2468608760405704E-2</v>
      </c>
      <c r="EI150" s="138">
        <f t="shared" si="463"/>
        <v>0.25</v>
      </c>
      <c r="EJ150" s="12">
        <f t="shared" si="329"/>
        <v>4349.0818972293691</v>
      </c>
      <c r="EK150" s="138">
        <f t="shared" si="464"/>
        <v>0.25</v>
      </c>
      <c r="EL150" s="116">
        <f t="shared" si="465"/>
        <v>2175570</v>
      </c>
      <c r="EM150" s="2">
        <f t="shared" si="330"/>
        <v>1.5748031496062995E-2</v>
      </c>
      <c r="EN150" s="8">
        <f t="shared" si="466"/>
        <v>7.5242128392000005</v>
      </c>
      <c r="EO150" s="116">
        <f t="shared" si="467"/>
        <v>2610.6840000000002</v>
      </c>
      <c r="EP150" s="217">
        <f t="shared" si="468"/>
        <v>0.28597801211188784</v>
      </c>
      <c r="EQ150" s="207">
        <f t="shared" si="469"/>
        <v>2.6667705148618834</v>
      </c>
      <c r="ER150" s="144">
        <f t="shared" si="470"/>
        <v>15803.611085997805</v>
      </c>
      <c r="ES150" s="138">
        <f t="shared" si="331"/>
        <v>0.25</v>
      </c>
      <c r="ET150" s="116">
        <f t="shared" si="471"/>
        <v>2175570</v>
      </c>
      <c r="EU150" s="2">
        <f t="shared" si="332"/>
        <v>1.5748031496062995E-2</v>
      </c>
      <c r="EV150" s="8">
        <f t="shared" si="472"/>
        <v>7.5242128392000005</v>
      </c>
      <c r="EW150" s="116">
        <f t="shared" si="473"/>
        <v>2610.6840000000002</v>
      </c>
      <c r="EX150" s="217">
        <f t="shared" si="474"/>
        <v>0.28597801211188784</v>
      </c>
      <c r="EY150" s="207">
        <f t="shared" si="475"/>
        <v>2.6667705148618834</v>
      </c>
      <c r="EZ150" s="144">
        <f t="shared" si="476"/>
        <v>15803.611085997805</v>
      </c>
      <c r="FA150" s="138">
        <f t="shared" si="333"/>
        <v>0.25</v>
      </c>
      <c r="FB150" s="116">
        <f t="shared" si="477"/>
        <v>2175570</v>
      </c>
      <c r="FC150" s="2">
        <f t="shared" si="334"/>
        <v>1.5748031496062995E-2</v>
      </c>
      <c r="FD150" s="8">
        <f t="shared" si="478"/>
        <v>7.5242128392000005</v>
      </c>
      <c r="FE150" s="116">
        <f t="shared" si="479"/>
        <v>2610.6840000000002</v>
      </c>
      <c r="FF150" s="217">
        <f t="shared" si="480"/>
        <v>0.28597801211188784</v>
      </c>
      <c r="FG150" s="207">
        <f t="shared" si="481"/>
        <v>2.6667705148618834</v>
      </c>
      <c r="FH150" s="144">
        <f t="shared" si="482"/>
        <v>15803.611085997805</v>
      </c>
      <c r="FI150" s="128">
        <f t="shared" si="483"/>
        <v>0.25</v>
      </c>
      <c r="FJ150" s="2">
        <f t="shared" si="484"/>
        <v>1.5748031496062995E-2</v>
      </c>
      <c r="FK150" s="127">
        <f t="shared" si="485"/>
        <v>1.5748031496062995E-2</v>
      </c>
      <c r="FL150" s="216">
        <f t="shared" si="486"/>
        <v>0</v>
      </c>
      <c r="FM150" s="138">
        <f t="shared" si="487"/>
        <v>0</v>
      </c>
      <c r="FN150" s="138">
        <f t="shared" si="488"/>
        <v>0</v>
      </c>
      <c r="FO150" s="238">
        <f t="shared" si="489"/>
        <v>0.25</v>
      </c>
      <c r="FP150" s="216">
        <f t="shared" si="335"/>
        <v>0</v>
      </c>
      <c r="FQ150" s="138">
        <f t="shared" si="336"/>
        <v>0</v>
      </c>
      <c r="FR150" s="138">
        <f t="shared" si="337"/>
        <v>0</v>
      </c>
      <c r="FS150" s="238">
        <f t="shared" si="338"/>
        <v>0.25</v>
      </c>
      <c r="FT150" s="216">
        <f t="shared" si="490"/>
        <v>0</v>
      </c>
      <c r="FU150" s="138">
        <f t="shared" si="491"/>
        <v>0</v>
      </c>
      <c r="FV150" s="138">
        <f t="shared" si="492"/>
        <v>0</v>
      </c>
      <c r="FW150" s="238">
        <f t="shared" si="493"/>
        <v>1.5748031496062995E-2</v>
      </c>
      <c r="FX150" s="216">
        <f t="shared" si="339"/>
        <v>0</v>
      </c>
      <c r="FY150" s="138">
        <f t="shared" si="340"/>
        <v>0</v>
      </c>
      <c r="FZ150" s="138">
        <f t="shared" si="341"/>
        <v>0</v>
      </c>
      <c r="GA150" s="238">
        <f t="shared" si="342"/>
        <v>2.3622047244094495E-2</v>
      </c>
      <c r="GB150" s="216">
        <f t="shared" si="494"/>
        <v>0</v>
      </c>
      <c r="GC150" s="138">
        <f t="shared" si="495"/>
        <v>0</v>
      </c>
      <c r="GD150" s="138">
        <f t="shared" si="496"/>
        <v>0</v>
      </c>
      <c r="GE150" s="238">
        <f t="shared" si="497"/>
        <v>1.5748031496062995E-2</v>
      </c>
      <c r="GF150" s="216">
        <f t="shared" si="343"/>
        <v>0</v>
      </c>
      <c r="GG150" s="138">
        <f t="shared" si="344"/>
        <v>0</v>
      </c>
      <c r="GH150" s="138">
        <f t="shared" si="345"/>
        <v>0</v>
      </c>
      <c r="GI150" s="238">
        <f t="shared" si="346"/>
        <v>2.3622047244094495E-2</v>
      </c>
      <c r="GJ150" s="216">
        <f t="shared" si="498"/>
        <v>0.25</v>
      </c>
      <c r="GK150" s="216">
        <f t="shared" si="499"/>
        <v>2.3622047244094495E-2</v>
      </c>
      <c r="GL150" s="17">
        <f t="shared" si="500"/>
        <v>2.3622047244094495E-2</v>
      </c>
      <c r="GM150" s="216">
        <f t="shared" si="347"/>
        <v>2.1870682083211606E-3</v>
      </c>
      <c r="GN150" s="2">
        <f t="shared" si="501"/>
        <v>1</v>
      </c>
      <c r="GO150" s="2">
        <f t="shared" si="502"/>
        <v>2</v>
      </c>
      <c r="GP150" s="142">
        <f t="shared" si="503"/>
        <v>2</v>
      </c>
      <c r="GQ150" s="2">
        <f t="shared" si="504"/>
        <v>1.5748031496062995E-2</v>
      </c>
      <c r="GR150" s="8">
        <f t="shared" si="348"/>
        <v>2.301623255484149E-2</v>
      </c>
      <c r="GS150" s="138">
        <f t="shared" si="505"/>
        <v>0.25</v>
      </c>
      <c r="GT150" s="12">
        <f t="shared" si="349"/>
        <v>1907.7974947607206</v>
      </c>
      <c r="GU150" s="138">
        <f t="shared" si="506"/>
        <v>0.25</v>
      </c>
      <c r="GV150" s="116">
        <f t="shared" si="507"/>
        <v>2175570</v>
      </c>
      <c r="GW150" s="2">
        <f t="shared" si="350"/>
        <v>1.5748031496062995E-2</v>
      </c>
      <c r="GX150" s="8">
        <f t="shared" si="351"/>
        <v>3.7621064196000003</v>
      </c>
      <c r="GY150" s="116">
        <f t="shared" si="508"/>
        <v>2610.6840000000002</v>
      </c>
      <c r="GZ150" s="217">
        <f t="shared" si="509"/>
        <v>1.1439120484475513</v>
      </c>
      <c r="HA150" s="207">
        <f t="shared" si="510"/>
        <v>2</v>
      </c>
      <c r="HB150" s="144">
        <f t="shared" si="511"/>
        <v>47408.987006341791</v>
      </c>
      <c r="HC150" s="138">
        <f t="shared" si="352"/>
        <v>0.25</v>
      </c>
      <c r="HD150" s="116">
        <f t="shared" si="512"/>
        <v>2175570</v>
      </c>
      <c r="HE150" s="2">
        <f t="shared" si="353"/>
        <v>1.5748031496062995E-2</v>
      </c>
      <c r="HF150" s="8">
        <f t="shared" si="513"/>
        <v>3.7621064196000003</v>
      </c>
      <c r="HG150" s="116">
        <f t="shared" si="514"/>
        <v>2610.6840000000002</v>
      </c>
      <c r="HH150" s="217">
        <f t="shared" si="515"/>
        <v>1.1439120484475513</v>
      </c>
      <c r="HI150" s="207">
        <f t="shared" si="516"/>
        <v>2</v>
      </c>
      <c r="HJ150" s="144">
        <f t="shared" si="517"/>
        <v>47408.987006341791</v>
      </c>
      <c r="HK150" s="138">
        <f t="shared" si="354"/>
        <v>0.25</v>
      </c>
      <c r="HL150" s="116">
        <f t="shared" si="518"/>
        <v>2175570</v>
      </c>
      <c r="HM150" s="2">
        <f t="shared" si="355"/>
        <v>1.5748031496062995E-2</v>
      </c>
      <c r="HN150" s="8">
        <f t="shared" si="519"/>
        <v>3.7621064196000003</v>
      </c>
      <c r="HO150" s="116">
        <f t="shared" si="520"/>
        <v>2610.6840000000002</v>
      </c>
      <c r="HP150" s="217">
        <f t="shared" si="521"/>
        <v>1.1439120484475513</v>
      </c>
      <c r="HQ150" s="207">
        <f t="shared" si="522"/>
        <v>2</v>
      </c>
      <c r="HR150" s="144">
        <f t="shared" si="523"/>
        <v>47408.987006341791</v>
      </c>
      <c r="HS150" s="128">
        <f t="shared" si="524"/>
        <v>0.25</v>
      </c>
      <c r="HT150" s="2">
        <f t="shared" si="525"/>
        <v>1.5748031496062995E-2</v>
      </c>
      <c r="HU150" s="127">
        <f t="shared" si="526"/>
        <v>1.5748031496062995E-2</v>
      </c>
      <c r="HV150" s="216">
        <f t="shared" si="527"/>
        <v>0</v>
      </c>
      <c r="HW150" s="138">
        <f t="shared" si="528"/>
        <v>0</v>
      </c>
      <c r="HX150" s="138">
        <f t="shared" si="529"/>
        <v>0</v>
      </c>
      <c r="HY150" s="238">
        <f t="shared" si="530"/>
        <v>0.25</v>
      </c>
      <c r="HZ150" s="138">
        <f t="shared" si="531"/>
        <v>0</v>
      </c>
      <c r="IA150" s="138">
        <f t="shared" si="532"/>
        <v>0</v>
      </c>
      <c r="IB150" s="138">
        <f t="shared" si="533"/>
        <v>0</v>
      </c>
      <c r="IC150" s="138">
        <f t="shared" si="534"/>
        <v>0.25</v>
      </c>
      <c r="ID150" s="216">
        <f t="shared" si="535"/>
        <v>0</v>
      </c>
      <c r="IE150" s="138">
        <f t="shared" si="536"/>
        <v>0</v>
      </c>
      <c r="IF150" s="138">
        <f t="shared" si="537"/>
        <v>0</v>
      </c>
      <c r="IG150" s="238">
        <f t="shared" si="538"/>
        <v>1.5748031496062995E-2</v>
      </c>
      <c r="IH150" s="138">
        <f t="shared" si="539"/>
        <v>0</v>
      </c>
      <c r="II150" s="138">
        <f t="shared" si="540"/>
        <v>0</v>
      </c>
      <c r="IJ150" s="138">
        <f t="shared" si="541"/>
        <v>0</v>
      </c>
      <c r="IK150" s="138">
        <f t="shared" si="542"/>
        <v>1.5748031496062995E-2</v>
      </c>
      <c r="IL150" s="216">
        <f t="shared" si="543"/>
        <v>0</v>
      </c>
      <c r="IM150" s="138">
        <f t="shared" si="544"/>
        <v>0</v>
      </c>
      <c r="IN150" s="138">
        <f t="shared" si="545"/>
        <v>0</v>
      </c>
      <c r="IO150" s="238">
        <f t="shared" si="546"/>
        <v>1.5748031496062995E-2</v>
      </c>
      <c r="IP150" s="138">
        <f t="shared" si="547"/>
        <v>0</v>
      </c>
      <c r="IQ150" s="138">
        <f t="shared" si="548"/>
        <v>0</v>
      </c>
      <c r="IR150" s="138">
        <f t="shared" si="549"/>
        <v>0</v>
      </c>
      <c r="IS150" s="138">
        <f t="shared" si="550"/>
        <v>1.5748031496062995E-2</v>
      </c>
      <c r="IT150" s="17">
        <f t="shared" si="551"/>
        <v>0.25</v>
      </c>
      <c r="IU150" s="17">
        <f t="shared" si="552"/>
        <v>1.5748031496062995E-2</v>
      </c>
      <c r="IV150" s="17">
        <f t="shared" si="553"/>
        <v>1.5748031496062995E-2</v>
      </c>
      <c r="IW150" s="253">
        <f t="shared" si="554"/>
        <v>20.900591220000003</v>
      </c>
      <c r="IX150" s="116">
        <f t="shared" si="356"/>
        <v>40.774162224589624</v>
      </c>
      <c r="IY150" s="8">
        <f t="shared" si="357"/>
        <v>1.0542279150444096E-3</v>
      </c>
      <c r="IZ150" s="8">
        <f t="shared" si="555"/>
        <v>1.0542279150444096E-3</v>
      </c>
      <c r="JA150" s="8">
        <f t="shared" si="556"/>
        <v>5.2711395752220482E-4</v>
      </c>
      <c r="JB150" s="134">
        <f t="shared" si="557"/>
        <v>2.2958962466152619E-2</v>
      </c>
      <c r="JC150" s="170">
        <f>MAX(JA$150:JA$160)</f>
        <v>5.2711395752220482E-4</v>
      </c>
      <c r="JD150" s="272">
        <f>MAX(JB$150:JB$160)</f>
        <v>2.2958962466152619E-2</v>
      </c>
      <c r="JE150" s="8"/>
      <c r="JF150" s="8"/>
    </row>
    <row r="151" spans="1:266" x14ac:dyDescent="0.25">
      <c r="A151" s="186">
        <v>91</v>
      </c>
      <c r="B151" s="187">
        <f>A151/100*'Inputs-Imperial'!$E$5</f>
        <v>21.914042695999999</v>
      </c>
      <c r="C151" s="188">
        <f>'Inputs-Imperial'!$E$10+('Inputs-Imperial'!$E$9-'Inputs-Imperial'!$E$10)*(100-A151)/100</f>
        <v>3.4656333130000001</v>
      </c>
      <c r="D151" s="187">
        <f t="shared" si="558"/>
        <v>0.24081365600000026</v>
      </c>
      <c r="E151" s="188">
        <f t="shared" si="559"/>
        <v>0.8367148962502704</v>
      </c>
      <c r="F151" s="423">
        <f>Loads!P111</f>
        <v>50.609573406962888</v>
      </c>
      <c r="G151" s="423">
        <f>Loads!M111</f>
        <v>506.09573406962892</v>
      </c>
      <c r="H151" s="423">
        <f>Loads!N111</f>
        <v>572.28301365009418</v>
      </c>
      <c r="I151" s="423">
        <f>Loads!V111</f>
        <v>-669.21652282427499</v>
      </c>
      <c r="J151" s="423">
        <f>Loads!Q111</f>
        <v>57.228301365009415</v>
      </c>
      <c r="K151" s="2">
        <v>91</v>
      </c>
      <c r="L151" s="12">
        <f t="shared" si="358"/>
        <v>262.968512352</v>
      </c>
      <c r="M151" s="11">
        <f t="shared" si="359"/>
        <v>41.587599756000003</v>
      </c>
      <c r="N151" s="11">
        <f t="shared" si="360"/>
        <v>2.8897638720000032</v>
      </c>
      <c r="O151" s="152">
        <f t="shared" si="361"/>
        <v>120.48694506003895</v>
      </c>
      <c r="P151" s="151">
        <f t="shared" si="362"/>
        <v>50.609573406962888</v>
      </c>
      <c r="Q151" s="12">
        <f t="shared" si="363"/>
        <v>506.09573406962892</v>
      </c>
      <c r="R151" s="12">
        <f t="shared" si="364"/>
        <v>6867.3961638011297</v>
      </c>
      <c r="S151" s="12">
        <f t="shared" si="365"/>
        <v>-8030.5982738912999</v>
      </c>
      <c r="T151" s="152">
        <f t="shared" si="366"/>
        <v>686.73961638011292</v>
      </c>
      <c r="U151" s="8">
        <f t="shared" si="313"/>
        <v>7.4857679560800001</v>
      </c>
      <c r="V151" s="8">
        <f t="shared" si="314"/>
        <v>7.4857679560800001</v>
      </c>
      <c r="W151" s="134">
        <f t="shared" si="315"/>
        <v>3.7428839780400001</v>
      </c>
      <c r="X151" s="311">
        <f t="shared" si="316"/>
        <v>10.396899939000001</v>
      </c>
      <c r="Y151" s="11">
        <f t="shared" si="317"/>
        <v>31.190699817000002</v>
      </c>
      <c r="Z151" s="11">
        <f t="shared" si="318"/>
        <v>20.793799878000002</v>
      </c>
      <c r="AA151" s="316">
        <f t="shared" si="367"/>
        <v>31.190699817000002</v>
      </c>
      <c r="AB151" s="170">
        <f t="shared" si="368"/>
        <v>5.6143259670600001</v>
      </c>
      <c r="AC151" s="11">
        <f t="shared" si="369"/>
        <v>31.190699817000002</v>
      </c>
      <c r="AD151" s="152">
        <f t="shared" si="370"/>
        <v>137.53480767814281</v>
      </c>
      <c r="AE151" s="151">
        <f t="shared" si="319"/>
        <v>1.6225853765351854</v>
      </c>
      <c r="AF151" s="12">
        <f t="shared" si="320"/>
        <v>29.19478497648538</v>
      </c>
      <c r="AG151" s="216">
        <f t="shared" si="321"/>
        <v>2.019025787130071E-3</v>
      </c>
      <c r="AH151" s="2">
        <f t="shared" si="371"/>
        <v>1</v>
      </c>
      <c r="AI151" s="2">
        <f t="shared" si="372"/>
        <v>3</v>
      </c>
      <c r="AJ151" s="127">
        <f t="shared" si="373"/>
        <v>2</v>
      </c>
      <c r="AK151" s="2">
        <f t="shared" si="374"/>
        <v>1.5748031496062995E-2</v>
      </c>
      <c r="AL151" s="8">
        <f t="shared" si="322"/>
        <v>2.1247790477682101E-2</v>
      </c>
      <c r="AM151" s="138">
        <f t="shared" si="375"/>
        <v>0.25</v>
      </c>
      <c r="AN151" s="12">
        <f t="shared" si="323"/>
        <v>1761.2127156751251</v>
      </c>
      <c r="AO151" s="138">
        <f t="shared" si="376"/>
        <v>0.25</v>
      </c>
      <c r="AP151" s="116">
        <f t="shared" si="377"/>
        <v>2175570</v>
      </c>
      <c r="AQ151" s="2">
        <f t="shared" si="378"/>
        <v>1.5748031496062995E-2</v>
      </c>
      <c r="AR151" s="8">
        <f t="shared" si="379"/>
        <v>20.793799878000002</v>
      </c>
      <c r="AS151" s="116">
        <f t="shared" si="380"/>
        <v>2610.6840000000002</v>
      </c>
      <c r="AT151" s="217">
        <f t="shared" si="381"/>
        <v>3.7444416484983423E-2</v>
      </c>
      <c r="AU151" s="207">
        <f t="shared" si="382"/>
        <v>4.6837127837243298</v>
      </c>
      <c r="AV151" s="144">
        <f t="shared" si="383"/>
        <v>3634.2547625708467</v>
      </c>
      <c r="AW151" s="138">
        <f t="shared" si="384"/>
        <v>0.25</v>
      </c>
      <c r="AX151" s="116">
        <f t="shared" si="385"/>
        <v>2175570</v>
      </c>
      <c r="AY151" s="2">
        <f t="shared" si="386"/>
        <v>1.5748031496062995E-2</v>
      </c>
      <c r="AZ151" s="8">
        <f t="shared" si="387"/>
        <v>20.793799878000002</v>
      </c>
      <c r="BA151" s="116">
        <f t="shared" si="388"/>
        <v>2610.6840000000002</v>
      </c>
      <c r="BB151" s="217">
        <f t="shared" si="389"/>
        <v>3.7444416484983423E-2</v>
      </c>
      <c r="BC151" s="207">
        <f t="shared" si="390"/>
        <v>4.6837127837243298</v>
      </c>
      <c r="BD151" s="144">
        <f t="shared" si="391"/>
        <v>3634.2547625708467</v>
      </c>
      <c r="BE151" s="138">
        <f t="shared" si="392"/>
        <v>0.25</v>
      </c>
      <c r="BF151" s="116">
        <f t="shared" si="393"/>
        <v>2175570</v>
      </c>
      <c r="BG151" s="2">
        <f t="shared" si="394"/>
        <v>1.5748031496062995E-2</v>
      </c>
      <c r="BH151" s="8">
        <f t="shared" si="395"/>
        <v>20.793799878000002</v>
      </c>
      <c r="BI151" s="116">
        <f t="shared" si="396"/>
        <v>2610.6840000000002</v>
      </c>
      <c r="BJ151" s="217">
        <f t="shared" si="397"/>
        <v>3.7444416484983423E-2</v>
      </c>
      <c r="BK151" s="207">
        <f t="shared" si="398"/>
        <v>4.6837127837243298</v>
      </c>
      <c r="BL151" s="144">
        <f t="shared" si="399"/>
        <v>3634.2547625708467</v>
      </c>
      <c r="BM151" s="216">
        <f t="shared" si="400"/>
        <v>0.25</v>
      </c>
      <c r="BN151" s="216">
        <f t="shared" si="401"/>
        <v>2.3622047244094495E-2</v>
      </c>
      <c r="BO151" s="238">
        <f t="shared" si="402"/>
        <v>1.5748031496062995E-2</v>
      </c>
      <c r="BP151" s="216">
        <f t="shared" si="403"/>
        <v>0</v>
      </c>
      <c r="BQ151" s="138">
        <f t="shared" si="404"/>
        <v>0</v>
      </c>
      <c r="BR151" s="138">
        <f t="shared" si="405"/>
        <v>0</v>
      </c>
      <c r="BS151" s="238">
        <f t="shared" si="406"/>
        <v>0.25</v>
      </c>
      <c r="BT151" s="138">
        <f t="shared" si="407"/>
        <v>0</v>
      </c>
      <c r="BU151" s="138">
        <f t="shared" si="408"/>
        <v>0</v>
      </c>
      <c r="BV151" s="138">
        <f t="shared" si="409"/>
        <v>0</v>
      </c>
      <c r="BW151" s="238">
        <f t="shared" si="410"/>
        <v>0.75</v>
      </c>
      <c r="BX151" s="216">
        <f t="shared" si="411"/>
        <v>0</v>
      </c>
      <c r="BY151" s="138">
        <f t="shared" si="412"/>
        <v>0</v>
      </c>
      <c r="BZ151" s="138">
        <f t="shared" si="413"/>
        <v>0</v>
      </c>
      <c r="CA151" s="238">
        <f t="shared" si="414"/>
        <v>2.3622047244094495E-2</v>
      </c>
      <c r="CB151" s="138">
        <f t="shared" si="415"/>
        <v>0</v>
      </c>
      <c r="CC151" s="138">
        <f t="shared" si="416"/>
        <v>0</v>
      </c>
      <c r="CD151" s="138">
        <f t="shared" si="417"/>
        <v>0</v>
      </c>
      <c r="CE151" s="238">
        <f t="shared" si="418"/>
        <v>2.3622047244094495E-2</v>
      </c>
      <c r="CF151" s="216">
        <f t="shared" si="419"/>
        <v>0</v>
      </c>
      <c r="CG151" s="138">
        <f t="shared" si="420"/>
        <v>0</v>
      </c>
      <c r="CH151" s="138">
        <f t="shared" si="421"/>
        <v>0</v>
      </c>
      <c r="CI151" s="238">
        <f t="shared" si="422"/>
        <v>1.5748031496062995E-2</v>
      </c>
      <c r="CJ151" s="138">
        <f t="shared" si="423"/>
        <v>0</v>
      </c>
      <c r="CK151" s="138">
        <f t="shared" si="424"/>
        <v>0</v>
      </c>
      <c r="CL151" s="138">
        <f t="shared" si="425"/>
        <v>0</v>
      </c>
      <c r="CM151" s="238">
        <f t="shared" si="426"/>
        <v>1.5748031496062995E-2</v>
      </c>
      <c r="CN151" s="17">
        <f t="shared" si="427"/>
        <v>0.75</v>
      </c>
      <c r="CO151" s="17">
        <f t="shared" si="428"/>
        <v>2.3622047244094495E-2</v>
      </c>
      <c r="CP151" s="17">
        <f t="shared" si="429"/>
        <v>1.5748031496062995E-2</v>
      </c>
      <c r="CQ151" s="17">
        <f>$U151-IF('Inputs-Imperial'!$E$13,0,2)*($CO151+$CN151+$CP151)</f>
        <v>7.4857679560800001</v>
      </c>
      <c r="CR151" s="116">
        <f t="shared" si="430"/>
        <v>917.39367344714128</v>
      </c>
      <c r="CS151" s="8">
        <f t="shared" si="324"/>
        <v>2.3719482311027315E-2</v>
      </c>
      <c r="CT151" s="8">
        <f t="shared" si="431"/>
        <v>0.15401130578963129</v>
      </c>
      <c r="CU151" s="8">
        <f t="shared" si="325"/>
        <v>2.3719482311027315E-2</v>
      </c>
      <c r="CV151" s="8">
        <f t="shared" si="432"/>
        <v>0.15401130578963129</v>
      </c>
      <c r="CW151" s="216">
        <f t="shared" si="433"/>
        <v>7.3317566502903695</v>
      </c>
      <c r="CX151" s="116">
        <f t="shared" si="434"/>
        <v>936.66449820441744</v>
      </c>
      <c r="CY151" s="8">
        <f t="shared" si="435"/>
        <v>2.4217735133320682E-2</v>
      </c>
      <c r="CZ151" s="8">
        <f t="shared" si="436"/>
        <v>0.15562048429856745</v>
      </c>
      <c r="DA151" s="8">
        <f t="shared" si="437"/>
        <v>2.4217735133320682E-2</v>
      </c>
      <c r="DB151" s="8">
        <f t="shared" si="438"/>
        <v>0.15562048429856745</v>
      </c>
      <c r="DC151" s="216">
        <f t="shared" si="439"/>
        <v>7.3301474717814319</v>
      </c>
      <c r="DD151" s="116">
        <f t="shared" si="440"/>
        <v>936.87012304162545</v>
      </c>
      <c r="DE151" s="8">
        <f t="shared" si="441"/>
        <v>2.4223051623754432E-2</v>
      </c>
      <c r="DF151" s="8">
        <f t="shared" si="442"/>
        <v>0.15563756495060707</v>
      </c>
      <c r="DG151" s="8">
        <f t="shared" si="443"/>
        <v>2.4223051623754432E-2</v>
      </c>
      <c r="DH151" s="8">
        <f t="shared" si="444"/>
        <v>0.15563756495060707</v>
      </c>
      <c r="DI151" s="216">
        <f t="shared" si="445"/>
        <v>7.3301303911293925</v>
      </c>
      <c r="DJ151" s="116">
        <f t="shared" si="446"/>
        <v>936.87230613411134</v>
      </c>
      <c r="DK151" s="8">
        <f t="shared" si="447"/>
        <v>2.422310806825051E-2</v>
      </c>
      <c r="DL151" s="8">
        <f t="shared" si="448"/>
        <v>0.15563774628363941</v>
      </c>
      <c r="DM151" s="8">
        <f t="shared" si="449"/>
        <v>2.422310806825051E-2</v>
      </c>
      <c r="DN151" s="8">
        <f t="shared" si="450"/>
        <v>0.15563774628363941</v>
      </c>
      <c r="DO151" s="216">
        <f t="shared" si="451"/>
        <v>7.3301302097963603</v>
      </c>
      <c r="DP151" s="116">
        <f t="shared" si="452"/>
        <v>936.87232931049311</v>
      </c>
      <c r="DQ151" s="170">
        <f t="shared" si="453"/>
        <v>2.4223108667482653E-2</v>
      </c>
      <c r="DR151" s="8">
        <f t="shared" si="454"/>
        <v>0.15563774820872556</v>
      </c>
      <c r="DS151" s="8">
        <f t="shared" si="455"/>
        <v>2.4223108667482653E-2</v>
      </c>
      <c r="DT151" s="134">
        <f t="shared" si="456"/>
        <v>0.15563774820872556</v>
      </c>
      <c r="DU151" s="170">
        <f t="shared" ref="DU151:DX160" si="566">MAX(DQ$150:DQ$160)</f>
        <v>2.9973794920998782E-2</v>
      </c>
      <c r="DV151" s="170">
        <f t="shared" si="566"/>
        <v>0.17312941668300849</v>
      </c>
      <c r="DW151" s="170">
        <f t="shared" si="566"/>
        <v>2.9973794920998782E-2</v>
      </c>
      <c r="DX151" s="272">
        <f t="shared" si="566"/>
        <v>0.17312941668300849</v>
      </c>
      <c r="DY151" s="272">
        <f t="shared" si="457"/>
        <v>7.1395091227139833</v>
      </c>
      <c r="DZ151" s="22">
        <f t="shared" si="326"/>
        <v>67.607724022299408</v>
      </c>
      <c r="EA151" s="216">
        <f t="shared" si="327"/>
        <v>4.4293765706332061E-3</v>
      </c>
      <c r="EB151" s="12">
        <f t="shared" si="458"/>
        <v>1</v>
      </c>
      <c r="EC151" s="7">
        <f>ROUND(MAX(DV151,DX151)/'Inputs-Imperial'!$E$21,0)</f>
        <v>1</v>
      </c>
      <c r="ED151" s="12">
        <f t="shared" si="459"/>
        <v>1</v>
      </c>
      <c r="EE151" s="2">
        <f t="shared" si="460"/>
        <v>2</v>
      </c>
      <c r="EF151" s="127">
        <f t="shared" si="461"/>
        <v>2</v>
      </c>
      <c r="EG151" s="2">
        <f t="shared" si="462"/>
        <v>1.5748031496062995E-2</v>
      </c>
      <c r="EH151" s="8">
        <f t="shared" si="328"/>
        <v>4.6613800536617581E-2</v>
      </c>
      <c r="EI151" s="138">
        <f t="shared" si="463"/>
        <v>0.25</v>
      </c>
      <c r="EJ151" s="12">
        <f t="shared" si="329"/>
        <v>3863.7814278744104</v>
      </c>
      <c r="EK151" s="138">
        <f t="shared" si="464"/>
        <v>0.25</v>
      </c>
      <c r="EL151" s="116">
        <f t="shared" si="465"/>
        <v>2175570</v>
      </c>
      <c r="EM151" s="2">
        <f t="shared" si="330"/>
        <v>1.5748031496062995E-2</v>
      </c>
      <c r="EN151" s="8">
        <f t="shared" si="466"/>
        <v>7.4857679560800001</v>
      </c>
      <c r="EO151" s="116">
        <f t="shared" si="467"/>
        <v>2610.6840000000002</v>
      </c>
      <c r="EP151" s="217">
        <f t="shared" si="468"/>
        <v>0.28892296670511902</v>
      </c>
      <c r="EQ151" s="207">
        <f t="shared" si="469"/>
        <v>2.6534900684272684</v>
      </c>
      <c r="ER151" s="144">
        <f t="shared" si="470"/>
        <v>15886.842057182806</v>
      </c>
      <c r="ES151" s="138">
        <f t="shared" si="331"/>
        <v>0.25</v>
      </c>
      <c r="ET151" s="116">
        <f t="shared" si="471"/>
        <v>2175570</v>
      </c>
      <c r="EU151" s="2">
        <f t="shared" si="332"/>
        <v>1.5748031496062995E-2</v>
      </c>
      <c r="EV151" s="8">
        <f t="shared" si="472"/>
        <v>7.4857679560800001</v>
      </c>
      <c r="EW151" s="116">
        <f t="shared" si="473"/>
        <v>2610.6840000000002</v>
      </c>
      <c r="EX151" s="217">
        <f t="shared" si="474"/>
        <v>0.28892296670511902</v>
      </c>
      <c r="EY151" s="207">
        <f t="shared" si="475"/>
        <v>2.6534900684272684</v>
      </c>
      <c r="EZ151" s="144">
        <f t="shared" si="476"/>
        <v>15886.842057182806</v>
      </c>
      <c r="FA151" s="138">
        <f t="shared" si="333"/>
        <v>0.25</v>
      </c>
      <c r="FB151" s="116">
        <f t="shared" si="477"/>
        <v>2175570</v>
      </c>
      <c r="FC151" s="2">
        <f t="shared" si="334"/>
        <v>1.5748031496062995E-2</v>
      </c>
      <c r="FD151" s="8">
        <f t="shared" si="478"/>
        <v>7.4857679560800001</v>
      </c>
      <c r="FE151" s="116">
        <f t="shared" si="479"/>
        <v>2610.6840000000002</v>
      </c>
      <c r="FF151" s="217">
        <f t="shared" si="480"/>
        <v>0.28892296670511902</v>
      </c>
      <c r="FG151" s="207">
        <f t="shared" si="481"/>
        <v>2.6534900684272684</v>
      </c>
      <c r="FH151" s="144">
        <f t="shared" si="482"/>
        <v>15886.842057182806</v>
      </c>
      <c r="FI151" s="128">
        <f t="shared" si="483"/>
        <v>0.25</v>
      </c>
      <c r="FJ151" s="2">
        <f t="shared" si="484"/>
        <v>1.5748031496062995E-2</v>
      </c>
      <c r="FK151" s="127">
        <f t="shared" si="485"/>
        <v>1.5748031496062995E-2</v>
      </c>
      <c r="FL151" s="216">
        <f t="shared" si="486"/>
        <v>0</v>
      </c>
      <c r="FM151" s="138">
        <f t="shared" si="487"/>
        <v>0</v>
      </c>
      <c r="FN151" s="138">
        <f t="shared" si="488"/>
        <v>0</v>
      </c>
      <c r="FO151" s="238">
        <f t="shared" si="489"/>
        <v>0.25</v>
      </c>
      <c r="FP151" s="216">
        <f t="shared" si="335"/>
        <v>0</v>
      </c>
      <c r="FQ151" s="138">
        <f t="shared" si="336"/>
        <v>0</v>
      </c>
      <c r="FR151" s="138">
        <f t="shared" si="337"/>
        <v>0</v>
      </c>
      <c r="FS151" s="238">
        <f t="shared" si="338"/>
        <v>0.25</v>
      </c>
      <c r="FT151" s="216">
        <f t="shared" si="490"/>
        <v>0</v>
      </c>
      <c r="FU151" s="138">
        <f t="shared" si="491"/>
        <v>0</v>
      </c>
      <c r="FV151" s="138">
        <f t="shared" si="492"/>
        <v>0</v>
      </c>
      <c r="FW151" s="238">
        <f t="shared" si="493"/>
        <v>1.5748031496062995E-2</v>
      </c>
      <c r="FX151" s="216">
        <f t="shared" si="339"/>
        <v>0</v>
      </c>
      <c r="FY151" s="138">
        <f t="shared" si="340"/>
        <v>0</v>
      </c>
      <c r="FZ151" s="138">
        <f t="shared" si="341"/>
        <v>0</v>
      </c>
      <c r="GA151" s="238">
        <f t="shared" si="342"/>
        <v>2.3622047244094495E-2</v>
      </c>
      <c r="GB151" s="216">
        <f t="shared" si="494"/>
        <v>0</v>
      </c>
      <c r="GC151" s="138">
        <f t="shared" si="495"/>
        <v>0</v>
      </c>
      <c r="GD151" s="138">
        <f t="shared" si="496"/>
        <v>0</v>
      </c>
      <c r="GE151" s="238">
        <f t="shared" si="497"/>
        <v>1.5748031496062995E-2</v>
      </c>
      <c r="GF151" s="216">
        <f t="shared" si="343"/>
        <v>0</v>
      </c>
      <c r="GG151" s="138">
        <f t="shared" si="344"/>
        <v>0</v>
      </c>
      <c r="GH151" s="138">
        <f t="shared" si="345"/>
        <v>0</v>
      </c>
      <c r="GI151" s="238">
        <f t="shared" si="346"/>
        <v>2.3622047244094495E-2</v>
      </c>
      <c r="GJ151" s="216">
        <f t="shared" si="498"/>
        <v>0.25</v>
      </c>
      <c r="GK151" s="216">
        <f t="shared" si="499"/>
        <v>2.3622047244094495E-2</v>
      </c>
      <c r="GL151" s="17">
        <f t="shared" si="500"/>
        <v>2.3622047244094495E-2</v>
      </c>
      <c r="GM151" s="216">
        <f t="shared" si="347"/>
        <v>1.9127207494348741E-3</v>
      </c>
      <c r="GN151" s="2">
        <f t="shared" si="501"/>
        <v>1</v>
      </c>
      <c r="GO151" s="2">
        <f t="shared" si="502"/>
        <v>2</v>
      </c>
      <c r="GP151" s="142">
        <f t="shared" si="503"/>
        <v>2</v>
      </c>
      <c r="GQ151" s="2">
        <f t="shared" si="504"/>
        <v>1.5748031496062995E-2</v>
      </c>
      <c r="GR151" s="8">
        <f t="shared" si="348"/>
        <v>2.0129059264803278E-2</v>
      </c>
      <c r="GS151" s="138">
        <f t="shared" si="505"/>
        <v>0.25</v>
      </c>
      <c r="GT151" s="12">
        <f t="shared" si="349"/>
        <v>1668.4819614061391</v>
      </c>
      <c r="GU151" s="138">
        <f t="shared" si="506"/>
        <v>0.25</v>
      </c>
      <c r="GV151" s="116">
        <f t="shared" si="507"/>
        <v>2175570</v>
      </c>
      <c r="GW151" s="2">
        <f t="shared" si="350"/>
        <v>1.5748031496062995E-2</v>
      </c>
      <c r="GX151" s="8">
        <f t="shared" si="351"/>
        <v>3.7428839780400001</v>
      </c>
      <c r="GY151" s="116">
        <f t="shared" si="508"/>
        <v>2610.6840000000002</v>
      </c>
      <c r="GZ151" s="217">
        <f t="shared" si="509"/>
        <v>1.1556918668204761</v>
      </c>
      <c r="HA151" s="207">
        <f t="shared" si="510"/>
        <v>2</v>
      </c>
      <c r="HB151" s="144">
        <f t="shared" si="511"/>
        <v>47897.196967008771</v>
      </c>
      <c r="HC151" s="138">
        <f t="shared" si="352"/>
        <v>0.25</v>
      </c>
      <c r="HD151" s="116">
        <f t="shared" si="512"/>
        <v>2175570</v>
      </c>
      <c r="HE151" s="2">
        <f t="shared" si="353"/>
        <v>1.5748031496062995E-2</v>
      </c>
      <c r="HF151" s="8">
        <f t="shared" si="513"/>
        <v>3.7428839780400001</v>
      </c>
      <c r="HG151" s="116">
        <f t="shared" si="514"/>
        <v>2610.6840000000002</v>
      </c>
      <c r="HH151" s="217">
        <f t="shared" si="515"/>
        <v>1.1556918668204761</v>
      </c>
      <c r="HI151" s="207">
        <f t="shared" si="516"/>
        <v>2</v>
      </c>
      <c r="HJ151" s="144">
        <f t="shared" si="517"/>
        <v>47897.196967008771</v>
      </c>
      <c r="HK151" s="138">
        <f t="shared" si="354"/>
        <v>0.25</v>
      </c>
      <c r="HL151" s="116">
        <f t="shared" si="518"/>
        <v>2175570</v>
      </c>
      <c r="HM151" s="2">
        <f t="shared" si="355"/>
        <v>1.5748031496062995E-2</v>
      </c>
      <c r="HN151" s="8">
        <f t="shared" si="519"/>
        <v>3.7428839780400001</v>
      </c>
      <c r="HO151" s="116">
        <f t="shared" si="520"/>
        <v>2610.6840000000002</v>
      </c>
      <c r="HP151" s="217">
        <f t="shared" si="521"/>
        <v>1.1556918668204761</v>
      </c>
      <c r="HQ151" s="207">
        <f t="shared" si="522"/>
        <v>2</v>
      </c>
      <c r="HR151" s="144">
        <f t="shared" si="523"/>
        <v>47897.196967008771</v>
      </c>
      <c r="HS151" s="128">
        <f t="shared" si="524"/>
        <v>0.25</v>
      </c>
      <c r="HT151" s="2">
        <f t="shared" si="525"/>
        <v>1.5748031496062995E-2</v>
      </c>
      <c r="HU151" s="127">
        <f t="shared" si="526"/>
        <v>1.5748031496062995E-2</v>
      </c>
      <c r="HV151" s="216">
        <f t="shared" si="527"/>
        <v>0</v>
      </c>
      <c r="HW151" s="138">
        <f t="shared" si="528"/>
        <v>0</v>
      </c>
      <c r="HX151" s="138">
        <f t="shared" si="529"/>
        <v>0</v>
      </c>
      <c r="HY151" s="238">
        <f t="shared" si="530"/>
        <v>0.25</v>
      </c>
      <c r="HZ151" s="138">
        <f t="shared" si="531"/>
        <v>0</v>
      </c>
      <c r="IA151" s="138">
        <f t="shared" si="532"/>
        <v>0</v>
      </c>
      <c r="IB151" s="138">
        <f t="shared" si="533"/>
        <v>0</v>
      </c>
      <c r="IC151" s="138">
        <f t="shared" si="534"/>
        <v>0.25</v>
      </c>
      <c r="ID151" s="216">
        <f t="shared" si="535"/>
        <v>0</v>
      </c>
      <c r="IE151" s="138">
        <f t="shared" si="536"/>
        <v>0</v>
      </c>
      <c r="IF151" s="138">
        <f t="shared" si="537"/>
        <v>0</v>
      </c>
      <c r="IG151" s="238">
        <f t="shared" si="538"/>
        <v>1.5748031496062995E-2</v>
      </c>
      <c r="IH151" s="138">
        <f t="shared" si="539"/>
        <v>0</v>
      </c>
      <c r="II151" s="138">
        <f t="shared" si="540"/>
        <v>0</v>
      </c>
      <c r="IJ151" s="138">
        <f t="shared" si="541"/>
        <v>0</v>
      </c>
      <c r="IK151" s="138">
        <f t="shared" si="542"/>
        <v>1.5748031496062995E-2</v>
      </c>
      <c r="IL151" s="216">
        <f t="shared" si="543"/>
        <v>0</v>
      </c>
      <c r="IM151" s="138">
        <f t="shared" si="544"/>
        <v>0</v>
      </c>
      <c r="IN151" s="138">
        <f t="shared" si="545"/>
        <v>0</v>
      </c>
      <c r="IO151" s="238">
        <f t="shared" si="546"/>
        <v>1.5748031496062995E-2</v>
      </c>
      <c r="IP151" s="138">
        <f t="shared" si="547"/>
        <v>0</v>
      </c>
      <c r="IQ151" s="138">
        <f t="shared" si="548"/>
        <v>0</v>
      </c>
      <c r="IR151" s="138">
        <f t="shared" si="549"/>
        <v>0</v>
      </c>
      <c r="IS151" s="138">
        <f t="shared" si="550"/>
        <v>1.5748031496062995E-2</v>
      </c>
      <c r="IT151" s="17">
        <f t="shared" si="551"/>
        <v>0.25</v>
      </c>
      <c r="IU151" s="17">
        <f t="shared" si="552"/>
        <v>1.5748031496062995E-2</v>
      </c>
      <c r="IV151" s="17">
        <f t="shared" si="553"/>
        <v>1.5748031496062995E-2</v>
      </c>
      <c r="IW151" s="253">
        <f t="shared" si="554"/>
        <v>20.793799878000002</v>
      </c>
      <c r="IX151" s="116">
        <f t="shared" si="356"/>
        <v>33.026172244097083</v>
      </c>
      <c r="IY151" s="8">
        <f t="shared" si="357"/>
        <v>8.5390136319698324E-4</v>
      </c>
      <c r="IZ151" s="8">
        <f t="shared" si="555"/>
        <v>8.5390136319698324E-4</v>
      </c>
      <c r="JA151" s="8">
        <f t="shared" si="556"/>
        <v>4.2695068159849162E-4</v>
      </c>
      <c r="JB151" s="134">
        <f t="shared" si="557"/>
        <v>2.0662784942947349E-2</v>
      </c>
      <c r="JC151" s="170">
        <f t="shared" ref="JC151:JC160" si="567">MAX(JA$150:JA$160)</f>
        <v>5.2711395752220482E-4</v>
      </c>
      <c r="JD151" s="272">
        <f t="shared" ref="JD151:JD160" si="568">MAX(JB$150:JB$160)</f>
        <v>2.2958962466152619E-2</v>
      </c>
      <c r="JE151" s="8"/>
      <c r="JF151" s="8"/>
    </row>
    <row r="152" spans="1:266" x14ac:dyDescent="0.25">
      <c r="A152" s="186">
        <v>92</v>
      </c>
      <c r="B152" s="187">
        <f>A152/100*'Inputs-Imperial'!$E$5</f>
        <v>22.154856351999999</v>
      </c>
      <c r="C152" s="188">
        <f>'Inputs-Imperial'!$E$10+('Inputs-Imperial'!$E$9-'Inputs-Imperial'!$E$10)*(100-A152)/100</f>
        <v>3.4478347560000002</v>
      </c>
      <c r="D152" s="187">
        <f t="shared" si="558"/>
        <v>0.24081365600000026</v>
      </c>
      <c r="E152" s="188">
        <f t="shared" si="559"/>
        <v>0.8324287606675761</v>
      </c>
      <c r="F152" s="423">
        <f>Loads!P112</f>
        <v>44.116819987246238</v>
      </c>
      <c r="G152" s="423">
        <f>Loads!M112</f>
        <v>441.16819987246242</v>
      </c>
      <c r="H152" s="423">
        <f>Loads!N112</f>
        <v>450.40824964278295</v>
      </c>
      <c r="I152" s="423">
        <f>Loads!V112</f>
        <v>-570.27529457668811</v>
      </c>
      <c r="J152" s="423">
        <f>Loads!Q112</f>
        <v>45.040824964278293</v>
      </c>
      <c r="K152" s="2">
        <v>92</v>
      </c>
      <c r="L152" s="12">
        <f t="shared" si="358"/>
        <v>265.85827622400001</v>
      </c>
      <c r="M152" s="11">
        <f t="shared" si="359"/>
        <v>41.374017072000001</v>
      </c>
      <c r="N152" s="11">
        <f t="shared" si="360"/>
        <v>2.8897638720000032</v>
      </c>
      <c r="O152" s="152">
        <f t="shared" si="361"/>
        <v>119.86974153613096</v>
      </c>
      <c r="P152" s="151">
        <f t="shared" si="362"/>
        <v>44.116819987246238</v>
      </c>
      <c r="Q152" s="12">
        <f t="shared" si="363"/>
        <v>441.16819987246242</v>
      </c>
      <c r="R152" s="12">
        <f t="shared" si="364"/>
        <v>5404.8989957133954</v>
      </c>
      <c r="S152" s="12">
        <f t="shared" si="365"/>
        <v>-6843.3035349202573</v>
      </c>
      <c r="T152" s="152">
        <f t="shared" si="366"/>
        <v>540.48989957133949</v>
      </c>
      <c r="U152" s="8">
        <f t="shared" si="313"/>
        <v>7.4473230729599997</v>
      </c>
      <c r="V152" s="8">
        <f t="shared" si="314"/>
        <v>7.4473230729599997</v>
      </c>
      <c r="W152" s="134">
        <f t="shared" si="315"/>
        <v>3.7236615364799999</v>
      </c>
      <c r="X152" s="311">
        <f t="shared" si="316"/>
        <v>10.343504268</v>
      </c>
      <c r="Y152" s="11">
        <f t="shared" si="317"/>
        <v>31.030512804000001</v>
      </c>
      <c r="Z152" s="11">
        <f t="shared" si="318"/>
        <v>20.687008536</v>
      </c>
      <c r="AA152" s="316">
        <f t="shared" si="367"/>
        <v>31.030512804000001</v>
      </c>
      <c r="AB152" s="170">
        <f t="shared" si="368"/>
        <v>5.5854923047199998</v>
      </c>
      <c r="AC152" s="11">
        <f t="shared" si="369"/>
        <v>31.030512804000001</v>
      </c>
      <c r="AD152" s="152">
        <f t="shared" si="370"/>
        <v>136.12575198040099</v>
      </c>
      <c r="AE152" s="151">
        <f t="shared" si="319"/>
        <v>1.4217238453616319</v>
      </c>
      <c r="AF152" s="12">
        <f t="shared" si="320"/>
        <v>25.135962282528059</v>
      </c>
      <c r="AG152" s="216">
        <f t="shared" si="321"/>
        <v>1.7399490133154798E-3</v>
      </c>
      <c r="AH152" s="2">
        <f t="shared" si="371"/>
        <v>1</v>
      </c>
      <c r="AI152" s="2">
        <f t="shared" si="372"/>
        <v>3</v>
      </c>
      <c r="AJ152" s="127">
        <f t="shared" si="373"/>
        <v>2</v>
      </c>
      <c r="AK152" s="2">
        <f t="shared" si="374"/>
        <v>1.5748031496062995E-2</v>
      </c>
      <c r="AL152" s="8">
        <f t="shared" si="322"/>
        <v>1.8310846900736148E-2</v>
      </c>
      <c r="AM152" s="138">
        <f t="shared" si="375"/>
        <v>0.25</v>
      </c>
      <c r="AN152" s="12">
        <f t="shared" si="323"/>
        <v>1517.7717622088956</v>
      </c>
      <c r="AO152" s="138">
        <f t="shared" si="376"/>
        <v>0.25</v>
      </c>
      <c r="AP152" s="116">
        <f t="shared" si="377"/>
        <v>2175570</v>
      </c>
      <c r="AQ152" s="2">
        <f t="shared" si="378"/>
        <v>1.5748031496062995E-2</v>
      </c>
      <c r="AR152" s="8">
        <f t="shared" si="379"/>
        <v>20.687008536</v>
      </c>
      <c r="AS152" s="116">
        <f t="shared" si="380"/>
        <v>2610.6840000000002</v>
      </c>
      <c r="AT152" s="217">
        <f t="shared" si="381"/>
        <v>3.783200860204574E-2</v>
      </c>
      <c r="AU152" s="207">
        <f t="shared" si="382"/>
        <v>4.6779567479530364</v>
      </c>
      <c r="AV152" s="144">
        <f t="shared" si="383"/>
        <v>3667.3608766196644</v>
      </c>
      <c r="AW152" s="138">
        <f t="shared" si="384"/>
        <v>0.25</v>
      </c>
      <c r="AX152" s="116">
        <f t="shared" si="385"/>
        <v>2175570</v>
      </c>
      <c r="AY152" s="2">
        <f t="shared" si="386"/>
        <v>1.5748031496062995E-2</v>
      </c>
      <c r="AZ152" s="8">
        <f t="shared" si="387"/>
        <v>20.687008536</v>
      </c>
      <c r="BA152" s="116">
        <f t="shared" si="388"/>
        <v>2610.6840000000002</v>
      </c>
      <c r="BB152" s="217">
        <f t="shared" si="389"/>
        <v>3.783200860204574E-2</v>
      </c>
      <c r="BC152" s="207">
        <f t="shared" si="390"/>
        <v>4.6779567479530364</v>
      </c>
      <c r="BD152" s="144">
        <f t="shared" si="391"/>
        <v>3667.3608766196644</v>
      </c>
      <c r="BE152" s="138">
        <f t="shared" si="392"/>
        <v>0.25</v>
      </c>
      <c r="BF152" s="116">
        <f t="shared" si="393"/>
        <v>2175570</v>
      </c>
      <c r="BG152" s="2">
        <f t="shared" si="394"/>
        <v>1.5748031496062995E-2</v>
      </c>
      <c r="BH152" s="8">
        <f t="shared" si="395"/>
        <v>20.687008536</v>
      </c>
      <c r="BI152" s="116">
        <f t="shared" si="396"/>
        <v>2610.6840000000002</v>
      </c>
      <c r="BJ152" s="217">
        <f t="shared" si="397"/>
        <v>3.783200860204574E-2</v>
      </c>
      <c r="BK152" s="207">
        <f t="shared" si="398"/>
        <v>4.6779567479530364</v>
      </c>
      <c r="BL152" s="144">
        <f t="shared" si="399"/>
        <v>3667.3608766196644</v>
      </c>
      <c r="BM152" s="216">
        <f t="shared" si="400"/>
        <v>0.25</v>
      </c>
      <c r="BN152" s="216">
        <f t="shared" si="401"/>
        <v>2.3622047244094495E-2</v>
      </c>
      <c r="BO152" s="238">
        <f t="shared" si="402"/>
        <v>1.5748031496062995E-2</v>
      </c>
      <c r="BP152" s="216">
        <f t="shared" si="403"/>
        <v>0</v>
      </c>
      <c r="BQ152" s="138">
        <f t="shared" si="404"/>
        <v>0</v>
      </c>
      <c r="BR152" s="138">
        <f t="shared" si="405"/>
        <v>0</v>
      </c>
      <c r="BS152" s="238">
        <f t="shared" si="406"/>
        <v>0.25</v>
      </c>
      <c r="BT152" s="138">
        <f t="shared" si="407"/>
        <v>0</v>
      </c>
      <c r="BU152" s="138">
        <f t="shared" si="408"/>
        <v>0</v>
      </c>
      <c r="BV152" s="138">
        <f t="shared" si="409"/>
        <v>0</v>
      </c>
      <c r="BW152" s="238">
        <f t="shared" si="410"/>
        <v>0.75</v>
      </c>
      <c r="BX152" s="216">
        <f t="shared" si="411"/>
        <v>0</v>
      </c>
      <c r="BY152" s="138">
        <f t="shared" si="412"/>
        <v>0</v>
      </c>
      <c r="BZ152" s="138">
        <f t="shared" si="413"/>
        <v>0</v>
      </c>
      <c r="CA152" s="238">
        <f t="shared" si="414"/>
        <v>2.3622047244094495E-2</v>
      </c>
      <c r="CB152" s="138">
        <f t="shared" si="415"/>
        <v>0</v>
      </c>
      <c r="CC152" s="138">
        <f t="shared" si="416"/>
        <v>0</v>
      </c>
      <c r="CD152" s="138">
        <f t="shared" si="417"/>
        <v>0</v>
      </c>
      <c r="CE152" s="238">
        <f t="shared" si="418"/>
        <v>2.3622047244094495E-2</v>
      </c>
      <c r="CF152" s="216">
        <f t="shared" si="419"/>
        <v>0</v>
      </c>
      <c r="CG152" s="138">
        <f t="shared" si="420"/>
        <v>0</v>
      </c>
      <c r="CH152" s="138">
        <f t="shared" si="421"/>
        <v>0</v>
      </c>
      <c r="CI152" s="238">
        <f t="shared" si="422"/>
        <v>1.5748031496062995E-2</v>
      </c>
      <c r="CJ152" s="138">
        <f t="shared" si="423"/>
        <v>0</v>
      </c>
      <c r="CK152" s="138">
        <f t="shared" si="424"/>
        <v>0</v>
      </c>
      <c r="CL152" s="138">
        <f t="shared" si="425"/>
        <v>0</v>
      </c>
      <c r="CM152" s="238">
        <f t="shared" si="426"/>
        <v>1.5748031496062995E-2</v>
      </c>
      <c r="CN152" s="17">
        <f t="shared" si="427"/>
        <v>0.75</v>
      </c>
      <c r="CO152" s="17">
        <f t="shared" si="428"/>
        <v>2.3622047244094495E-2</v>
      </c>
      <c r="CP152" s="17">
        <f t="shared" si="429"/>
        <v>1.5748031496062995E-2</v>
      </c>
      <c r="CQ152" s="17">
        <f>$U152-IF('Inputs-Imperial'!$E$13,0,2)*($CO152+$CN152+$CP152)</f>
        <v>7.4473230729599997</v>
      </c>
      <c r="CR152" s="116">
        <f t="shared" si="430"/>
        <v>725.75057410060413</v>
      </c>
      <c r="CS152" s="8">
        <f t="shared" si="324"/>
        <v>1.8764493807672922E-2</v>
      </c>
      <c r="CT152" s="8">
        <f t="shared" si="431"/>
        <v>0.13698355305536838</v>
      </c>
      <c r="CU152" s="8">
        <f t="shared" si="325"/>
        <v>1.8764493807672922E-2</v>
      </c>
      <c r="CV152" s="8">
        <f t="shared" si="432"/>
        <v>0.13698355305536838</v>
      </c>
      <c r="CW152" s="216">
        <f t="shared" si="433"/>
        <v>7.3103395199046322</v>
      </c>
      <c r="CX152" s="116">
        <f t="shared" si="434"/>
        <v>739.34992772865155</v>
      </c>
      <c r="CY152" s="8">
        <f t="shared" si="435"/>
        <v>1.9116109081636835E-2</v>
      </c>
      <c r="CZ152" s="8">
        <f t="shared" si="436"/>
        <v>0.13826101793939186</v>
      </c>
      <c r="DA152" s="8">
        <f t="shared" si="437"/>
        <v>1.9116109081636835E-2</v>
      </c>
      <c r="DB152" s="8">
        <f t="shared" si="438"/>
        <v>0.13826101793939186</v>
      </c>
      <c r="DC152" s="216">
        <f t="shared" si="439"/>
        <v>7.3090620550206076</v>
      </c>
      <c r="DD152" s="116">
        <f t="shared" si="440"/>
        <v>739.47914999582758</v>
      </c>
      <c r="DE152" s="8">
        <f t="shared" si="441"/>
        <v>1.9119450161229148E-2</v>
      </c>
      <c r="DF152" s="8">
        <f t="shared" si="442"/>
        <v>0.13827309991907011</v>
      </c>
      <c r="DG152" s="8">
        <f t="shared" si="443"/>
        <v>1.9119450161229148E-2</v>
      </c>
      <c r="DH152" s="8">
        <f t="shared" si="444"/>
        <v>0.13827309991907011</v>
      </c>
      <c r="DI152" s="216">
        <f t="shared" si="445"/>
        <v>7.3090499730409295</v>
      </c>
      <c r="DJ152" s="116">
        <f t="shared" si="446"/>
        <v>739.48037236701066</v>
      </c>
      <c r="DK152" s="8">
        <f t="shared" si="447"/>
        <v>1.9119481765994359E-2</v>
      </c>
      <c r="DL152" s="8">
        <f t="shared" si="448"/>
        <v>0.13827321420287575</v>
      </c>
      <c r="DM152" s="8">
        <f t="shared" si="449"/>
        <v>1.9119481765994359E-2</v>
      </c>
      <c r="DN152" s="8">
        <f t="shared" si="450"/>
        <v>0.13827321420287575</v>
      </c>
      <c r="DO152" s="216">
        <f t="shared" si="451"/>
        <v>7.309049858757124</v>
      </c>
      <c r="DP152" s="116">
        <f t="shared" si="452"/>
        <v>739.48038392947535</v>
      </c>
      <c r="DQ152" s="170">
        <f t="shared" si="453"/>
        <v>1.9119482064945272E-2</v>
      </c>
      <c r="DR152" s="8">
        <f t="shared" si="454"/>
        <v>0.13827321528389103</v>
      </c>
      <c r="DS152" s="8">
        <f t="shared" si="455"/>
        <v>1.9119482064945272E-2</v>
      </c>
      <c r="DT152" s="134">
        <f t="shared" si="456"/>
        <v>0.13827321528389103</v>
      </c>
      <c r="DU152" s="170">
        <f t="shared" si="566"/>
        <v>2.9973794920998782E-2</v>
      </c>
      <c r="DV152" s="170">
        <f t="shared" si="566"/>
        <v>0.17312941668300849</v>
      </c>
      <c r="DW152" s="170">
        <f t="shared" si="566"/>
        <v>2.9973794920998782E-2</v>
      </c>
      <c r="DX152" s="272">
        <f t="shared" si="566"/>
        <v>0.17312941668300849</v>
      </c>
      <c r="DY152" s="272">
        <f t="shared" si="457"/>
        <v>7.1010642395939829</v>
      </c>
      <c r="DZ152" s="22">
        <f t="shared" si="326"/>
        <v>59.238493556734674</v>
      </c>
      <c r="EA152" s="216">
        <f t="shared" si="327"/>
        <v>3.881059438611798E-3</v>
      </c>
      <c r="EB152" s="12">
        <f t="shared" si="458"/>
        <v>1</v>
      </c>
      <c r="EC152" s="7">
        <f>ROUND(MAX(DV152,DX152)/'Inputs-Imperial'!$E$21,0)</f>
        <v>1</v>
      </c>
      <c r="ED152" s="12">
        <f t="shared" si="459"/>
        <v>1</v>
      </c>
      <c r="EE152" s="2">
        <f t="shared" si="460"/>
        <v>2</v>
      </c>
      <c r="EF152" s="127">
        <f t="shared" si="461"/>
        <v>2</v>
      </c>
      <c r="EG152" s="2">
        <f t="shared" si="462"/>
        <v>1.5748031496062995E-2</v>
      </c>
      <c r="EH152" s="8">
        <f t="shared" si="328"/>
        <v>4.0843429692035652E-2</v>
      </c>
      <c r="EI152" s="138">
        <f t="shared" si="463"/>
        <v>0.25</v>
      </c>
      <c r="EJ152" s="12">
        <f t="shared" si="329"/>
        <v>3385.4799067673857</v>
      </c>
      <c r="EK152" s="138">
        <f t="shared" si="464"/>
        <v>0.25</v>
      </c>
      <c r="EL152" s="116">
        <f t="shared" si="465"/>
        <v>2175570</v>
      </c>
      <c r="EM152" s="2">
        <f t="shared" si="330"/>
        <v>1.5748031496062995E-2</v>
      </c>
      <c r="EN152" s="8">
        <f t="shared" si="466"/>
        <v>7.4473230729599997</v>
      </c>
      <c r="EO152" s="116">
        <f t="shared" si="467"/>
        <v>2610.6840000000002</v>
      </c>
      <c r="EP152" s="217">
        <f t="shared" si="468"/>
        <v>0.29191364662072339</v>
      </c>
      <c r="EQ152" s="207">
        <f t="shared" si="469"/>
        <v>2.6400275948501948</v>
      </c>
      <c r="ER152" s="144">
        <f t="shared" si="470"/>
        <v>15969.85270065829</v>
      </c>
      <c r="ES152" s="138">
        <f t="shared" si="331"/>
        <v>0.25</v>
      </c>
      <c r="ET152" s="116">
        <f t="shared" si="471"/>
        <v>2175570</v>
      </c>
      <c r="EU152" s="2">
        <f t="shared" si="332"/>
        <v>1.5748031496062995E-2</v>
      </c>
      <c r="EV152" s="8">
        <f t="shared" si="472"/>
        <v>7.4473230729599997</v>
      </c>
      <c r="EW152" s="116">
        <f t="shared" si="473"/>
        <v>2610.6840000000002</v>
      </c>
      <c r="EX152" s="217">
        <f t="shared" si="474"/>
        <v>0.29191364662072339</v>
      </c>
      <c r="EY152" s="207">
        <f t="shared" si="475"/>
        <v>2.6400275948501948</v>
      </c>
      <c r="EZ152" s="144">
        <f t="shared" si="476"/>
        <v>15969.85270065829</v>
      </c>
      <c r="FA152" s="138">
        <f t="shared" si="333"/>
        <v>0.25</v>
      </c>
      <c r="FB152" s="116">
        <f t="shared" si="477"/>
        <v>2175570</v>
      </c>
      <c r="FC152" s="2">
        <f t="shared" si="334"/>
        <v>1.5748031496062995E-2</v>
      </c>
      <c r="FD152" s="8">
        <f t="shared" si="478"/>
        <v>7.4473230729599997</v>
      </c>
      <c r="FE152" s="116">
        <f t="shared" si="479"/>
        <v>2610.6840000000002</v>
      </c>
      <c r="FF152" s="217">
        <f t="shared" si="480"/>
        <v>0.29191364662072339</v>
      </c>
      <c r="FG152" s="207">
        <f t="shared" si="481"/>
        <v>2.6400275948501948</v>
      </c>
      <c r="FH152" s="144">
        <f t="shared" si="482"/>
        <v>15969.85270065829</v>
      </c>
      <c r="FI152" s="128">
        <f t="shared" si="483"/>
        <v>0.25</v>
      </c>
      <c r="FJ152" s="2">
        <f t="shared" si="484"/>
        <v>1.5748031496062995E-2</v>
      </c>
      <c r="FK152" s="127">
        <f t="shared" si="485"/>
        <v>1.5748031496062995E-2</v>
      </c>
      <c r="FL152" s="216">
        <f t="shared" si="486"/>
        <v>0</v>
      </c>
      <c r="FM152" s="138">
        <f t="shared" si="487"/>
        <v>0</v>
      </c>
      <c r="FN152" s="138">
        <f t="shared" si="488"/>
        <v>0</v>
      </c>
      <c r="FO152" s="238">
        <f t="shared" si="489"/>
        <v>0.25</v>
      </c>
      <c r="FP152" s="216">
        <f t="shared" si="335"/>
        <v>0</v>
      </c>
      <c r="FQ152" s="138">
        <f t="shared" si="336"/>
        <v>0</v>
      </c>
      <c r="FR152" s="138">
        <f t="shared" si="337"/>
        <v>0</v>
      </c>
      <c r="FS152" s="238">
        <f t="shared" si="338"/>
        <v>0.25</v>
      </c>
      <c r="FT152" s="216">
        <f t="shared" si="490"/>
        <v>0</v>
      </c>
      <c r="FU152" s="138">
        <f t="shared" si="491"/>
        <v>0</v>
      </c>
      <c r="FV152" s="138">
        <f t="shared" si="492"/>
        <v>0</v>
      </c>
      <c r="FW152" s="238">
        <f t="shared" si="493"/>
        <v>1.5748031496062995E-2</v>
      </c>
      <c r="FX152" s="216">
        <f t="shared" si="339"/>
        <v>0</v>
      </c>
      <c r="FY152" s="138">
        <f t="shared" si="340"/>
        <v>0</v>
      </c>
      <c r="FZ152" s="138">
        <f t="shared" si="341"/>
        <v>0</v>
      </c>
      <c r="GA152" s="238">
        <f t="shared" si="342"/>
        <v>2.3622047244094495E-2</v>
      </c>
      <c r="GB152" s="216">
        <f t="shared" si="494"/>
        <v>0</v>
      </c>
      <c r="GC152" s="138">
        <f t="shared" si="495"/>
        <v>0</v>
      </c>
      <c r="GD152" s="138">
        <f t="shared" si="496"/>
        <v>0</v>
      </c>
      <c r="GE152" s="238">
        <f t="shared" si="497"/>
        <v>1.5748031496062995E-2</v>
      </c>
      <c r="GF152" s="216">
        <f t="shared" si="343"/>
        <v>0</v>
      </c>
      <c r="GG152" s="138">
        <f t="shared" si="344"/>
        <v>0</v>
      </c>
      <c r="GH152" s="138">
        <f t="shared" si="345"/>
        <v>0</v>
      </c>
      <c r="GI152" s="238">
        <f t="shared" si="346"/>
        <v>2.3622047244094495E-2</v>
      </c>
      <c r="GJ152" s="216">
        <f t="shared" si="498"/>
        <v>0.25</v>
      </c>
      <c r="GK152" s="216">
        <f t="shared" si="499"/>
        <v>2.3622047244094495E-2</v>
      </c>
      <c r="GL152" s="17">
        <f t="shared" si="500"/>
        <v>2.3622047244094495E-2</v>
      </c>
      <c r="GM152" s="216">
        <f t="shared" si="347"/>
        <v>1.6468035867887967E-3</v>
      </c>
      <c r="GN152" s="2">
        <f t="shared" si="501"/>
        <v>1</v>
      </c>
      <c r="GO152" s="2">
        <f t="shared" si="502"/>
        <v>2</v>
      </c>
      <c r="GP152" s="142">
        <f t="shared" si="503"/>
        <v>2</v>
      </c>
      <c r="GQ152" s="2">
        <f t="shared" si="504"/>
        <v>1.5748031496062995E-2</v>
      </c>
      <c r="GR152" s="8">
        <f t="shared" si="348"/>
        <v>1.7330604588127289E-2</v>
      </c>
      <c r="GS152" s="138">
        <f t="shared" si="505"/>
        <v>0.25</v>
      </c>
      <c r="GT152" s="12">
        <f t="shared" si="349"/>
        <v>1436.5202444464783</v>
      </c>
      <c r="GU152" s="138">
        <f t="shared" si="506"/>
        <v>0.25</v>
      </c>
      <c r="GV152" s="116">
        <f t="shared" si="507"/>
        <v>2175570</v>
      </c>
      <c r="GW152" s="2">
        <f t="shared" si="350"/>
        <v>1.5748031496062995E-2</v>
      </c>
      <c r="GX152" s="8">
        <f t="shared" si="351"/>
        <v>3.7236615364799999</v>
      </c>
      <c r="GY152" s="116">
        <f t="shared" si="508"/>
        <v>2610.6840000000002</v>
      </c>
      <c r="GZ152" s="217">
        <f t="shared" si="509"/>
        <v>1.1676545864828936</v>
      </c>
      <c r="HA152" s="207">
        <f t="shared" si="510"/>
        <v>2</v>
      </c>
      <c r="HB152" s="144">
        <f t="shared" si="511"/>
        <v>48392.987200012903</v>
      </c>
      <c r="HC152" s="138">
        <f t="shared" si="352"/>
        <v>0.25</v>
      </c>
      <c r="HD152" s="116">
        <f t="shared" si="512"/>
        <v>2175570</v>
      </c>
      <c r="HE152" s="2">
        <f t="shared" si="353"/>
        <v>1.5748031496062995E-2</v>
      </c>
      <c r="HF152" s="8">
        <f t="shared" si="513"/>
        <v>3.7236615364799999</v>
      </c>
      <c r="HG152" s="116">
        <f t="shared" si="514"/>
        <v>2610.6840000000002</v>
      </c>
      <c r="HH152" s="217">
        <f t="shared" si="515"/>
        <v>1.1676545864828936</v>
      </c>
      <c r="HI152" s="207">
        <f t="shared" si="516"/>
        <v>2</v>
      </c>
      <c r="HJ152" s="144">
        <f t="shared" si="517"/>
        <v>48392.987200012903</v>
      </c>
      <c r="HK152" s="138">
        <f t="shared" si="354"/>
        <v>0.25</v>
      </c>
      <c r="HL152" s="116">
        <f t="shared" si="518"/>
        <v>2175570</v>
      </c>
      <c r="HM152" s="2">
        <f t="shared" si="355"/>
        <v>1.5748031496062995E-2</v>
      </c>
      <c r="HN152" s="8">
        <f t="shared" si="519"/>
        <v>3.7236615364799999</v>
      </c>
      <c r="HO152" s="116">
        <f t="shared" si="520"/>
        <v>2610.6840000000002</v>
      </c>
      <c r="HP152" s="217">
        <f t="shared" si="521"/>
        <v>1.1676545864828936</v>
      </c>
      <c r="HQ152" s="207">
        <f t="shared" si="522"/>
        <v>2</v>
      </c>
      <c r="HR152" s="144">
        <f t="shared" si="523"/>
        <v>48392.987200012903</v>
      </c>
      <c r="HS152" s="128">
        <f t="shared" si="524"/>
        <v>0.25</v>
      </c>
      <c r="HT152" s="2">
        <f t="shared" si="525"/>
        <v>1.5748031496062995E-2</v>
      </c>
      <c r="HU152" s="127">
        <f t="shared" si="526"/>
        <v>1.5748031496062995E-2</v>
      </c>
      <c r="HV152" s="216">
        <f t="shared" si="527"/>
        <v>0</v>
      </c>
      <c r="HW152" s="138">
        <f t="shared" si="528"/>
        <v>0</v>
      </c>
      <c r="HX152" s="138">
        <f t="shared" si="529"/>
        <v>0</v>
      </c>
      <c r="HY152" s="238">
        <f t="shared" si="530"/>
        <v>0.25</v>
      </c>
      <c r="HZ152" s="138">
        <f t="shared" si="531"/>
        <v>0</v>
      </c>
      <c r="IA152" s="138">
        <f t="shared" si="532"/>
        <v>0</v>
      </c>
      <c r="IB152" s="138">
        <f t="shared" si="533"/>
        <v>0</v>
      </c>
      <c r="IC152" s="138">
        <f t="shared" si="534"/>
        <v>0.25</v>
      </c>
      <c r="ID152" s="216">
        <f t="shared" si="535"/>
        <v>0</v>
      </c>
      <c r="IE152" s="138">
        <f t="shared" si="536"/>
        <v>0</v>
      </c>
      <c r="IF152" s="138">
        <f t="shared" si="537"/>
        <v>0</v>
      </c>
      <c r="IG152" s="238">
        <f t="shared" si="538"/>
        <v>1.5748031496062995E-2</v>
      </c>
      <c r="IH152" s="138">
        <f t="shared" si="539"/>
        <v>0</v>
      </c>
      <c r="II152" s="138">
        <f t="shared" si="540"/>
        <v>0</v>
      </c>
      <c r="IJ152" s="138">
        <f t="shared" si="541"/>
        <v>0</v>
      </c>
      <c r="IK152" s="138">
        <f t="shared" si="542"/>
        <v>1.5748031496062995E-2</v>
      </c>
      <c r="IL152" s="216">
        <f t="shared" si="543"/>
        <v>0</v>
      </c>
      <c r="IM152" s="138">
        <f t="shared" si="544"/>
        <v>0</v>
      </c>
      <c r="IN152" s="138">
        <f t="shared" si="545"/>
        <v>0</v>
      </c>
      <c r="IO152" s="238">
        <f t="shared" si="546"/>
        <v>1.5748031496062995E-2</v>
      </c>
      <c r="IP152" s="138">
        <f t="shared" si="547"/>
        <v>0</v>
      </c>
      <c r="IQ152" s="138">
        <f t="shared" si="548"/>
        <v>0</v>
      </c>
      <c r="IR152" s="138">
        <f t="shared" si="549"/>
        <v>0</v>
      </c>
      <c r="IS152" s="138">
        <f t="shared" si="550"/>
        <v>1.5748031496062995E-2</v>
      </c>
      <c r="IT152" s="17">
        <f t="shared" si="551"/>
        <v>0.25</v>
      </c>
      <c r="IU152" s="17">
        <f t="shared" si="552"/>
        <v>1.5748031496062995E-2</v>
      </c>
      <c r="IV152" s="17">
        <f t="shared" si="553"/>
        <v>1.5748031496062995E-2</v>
      </c>
      <c r="IW152" s="253">
        <f t="shared" si="554"/>
        <v>20.687008536</v>
      </c>
      <c r="IX152" s="116">
        <f t="shared" si="356"/>
        <v>26.127020667621746</v>
      </c>
      <c r="IY152" s="8">
        <f t="shared" si="357"/>
        <v>6.7552177707622509E-4</v>
      </c>
      <c r="IZ152" s="8">
        <f t="shared" si="555"/>
        <v>6.7552177707622509E-4</v>
      </c>
      <c r="JA152" s="8">
        <f t="shared" si="556"/>
        <v>3.3776088853811254E-4</v>
      </c>
      <c r="JB152" s="134">
        <f t="shared" si="557"/>
        <v>1.837827218587516E-2</v>
      </c>
      <c r="JC152" s="170">
        <f t="shared" si="567"/>
        <v>5.2711395752220482E-4</v>
      </c>
      <c r="JD152" s="272">
        <f t="shared" si="568"/>
        <v>2.2958962466152619E-2</v>
      </c>
      <c r="JE152" s="8"/>
      <c r="JF152" s="8"/>
    </row>
    <row r="153" spans="1:266" x14ac:dyDescent="0.25">
      <c r="A153" s="186">
        <v>93</v>
      </c>
      <c r="B153" s="187">
        <f>A153/100*'Inputs-Imperial'!$E$5</f>
        <v>22.395670008</v>
      </c>
      <c r="C153" s="188">
        <f>'Inputs-Imperial'!$E$10+('Inputs-Imperial'!$E$9-'Inputs-Imperial'!$E$10)*(100-A153)/100</f>
        <v>3.4300361990000003</v>
      </c>
      <c r="D153" s="187">
        <f t="shared" si="558"/>
        <v>0.24081365600000026</v>
      </c>
      <c r="E153" s="188">
        <f t="shared" si="559"/>
        <v>0.82814262508488168</v>
      </c>
      <c r="F153" s="423">
        <f>Loads!P113</f>
        <v>37.790074179373399</v>
      </c>
      <c r="G153" s="423">
        <f>Loads!M113</f>
        <v>377.90074179373403</v>
      </c>
      <c r="H153" s="423">
        <f>Loads!N113</f>
        <v>344.16892252055641</v>
      </c>
      <c r="I153" s="423">
        <f>Loads!V113</f>
        <v>-476.43734320419384</v>
      </c>
      <c r="J153" s="423">
        <f>Loads!Q113</f>
        <v>34.416892252055639</v>
      </c>
      <c r="K153" s="2">
        <v>93</v>
      </c>
      <c r="L153" s="12">
        <f t="shared" si="358"/>
        <v>268.74804009600001</v>
      </c>
      <c r="M153" s="11">
        <f t="shared" si="359"/>
        <v>41.160434388000006</v>
      </c>
      <c r="N153" s="11">
        <f t="shared" si="360"/>
        <v>2.8897638720000032</v>
      </c>
      <c r="O153" s="152">
        <f t="shared" si="361"/>
        <v>119.25253801222296</v>
      </c>
      <c r="P153" s="151">
        <f t="shared" si="362"/>
        <v>37.790074179373399</v>
      </c>
      <c r="Q153" s="12">
        <f t="shared" si="363"/>
        <v>377.90074179373403</v>
      </c>
      <c r="R153" s="12">
        <f t="shared" si="364"/>
        <v>4130.0270702466769</v>
      </c>
      <c r="S153" s="12">
        <f t="shared" si="365"/>
        <v>-5717.2481184503258</v>
      </c>
      <c r="T153" s="152">
        <f t="shared" si="366"/>
        <v>413.00270702466764</v>
      </c>
      <c r="U153" s="8">
        <f t="shared" si="313"/>
        <v>7.4088781898400011</v>
      </c>
      <c r="V153" s="8">
        <f t="shared" si="314"/>
        <v>7.4088781898400011</v>
      </c>
      <c r="W153" s="134">
        <f t="shared" si="315"/>
        <v>3.7044390949200006</v>
      </c>
      <c r="X153" s="311">
        <f t="shared" si="316"/>
        <v>10.290108597000001</v>
      </c>
      <c r="Y153" s="11">
        <f t="shared" si="317"/>
        <v>30.870325791000006</v>
      </c>
      <c r="Z153" s="11">
        <f t="shared" si="318"/>
        <v>20.580217194000006</v>
      </c>
      <c r="AA153" s="316">
        <f t="shared" si="367"/>
        <v>30.870325791000006</v>
      </c>
      <c r="AB153" s="170">
        <f t="shared" si="368"/>
        <v>5.5566586423800004</v>
      </c>
      <c r="AC153" s="11">
        <f t="shared" si="369"/>
        <v>30.870325791000006</v>
      </c>
      <c r="AD153" s="152">
        <f t="shared" si="370"/>
        <v>134.72395144255933</v>
      </c>
      <c r="AE153" s="151">
        <f t="shared" si="319"/>
        <v>1.2241553404788099</v>
      </c>
      <c r="AF153" s="12">
        <f t="shared" si="320"/>
        <v>21.218380463283552</v>
      </c>
      <c r="AG153" s="216">
        <f t="shared" si="321"/>
        <v>1.4703414988795382E-3</v>
      </c>
      <c r="AH153" s="2">
        <f t="shared" si="371"/>
        <v>1</v>
      </c>
      <c r="AI153" s="2">
        <f t="shared" si="372"/>
        <v>3</v>
      </c>
      <c r="AJ153" s="127">
        <f t="shared" si="373"/>
        <v>2</v>
      </c>
      <c r="AK153" s="2">
        <f t="shared" si="374"/>
        <v>1.5748031496062995E-2</v>
      </c>
      <c r="AL153" s="8">
        <f t="shared" si="322"/>
        <v>1.5473555760395455E-2</v>
      </c>
      <c r="AM153" s="138">
        <f t="shared" si="375"/>
        <v>0.25</v>
      </c>
      <c r="AN153" s="12">
        <f t="shared" si="323"/>
        <v>1282.5909211850187</v>
      </c>
      <c r="AO153" s="138">
        <f t="shared" si="376"/>
        <v>0.25</v>
      </c>
      <c r="AP153" s="116">
        <f t="shared" si="377"/>
        <v>2175570</v>
      </c>
      <c r="AQ153" s="2">
        <f t="shared" si="378"/>
        <v>1.5748031496062995E-2</v>
      </c>
      <c r="AR153" s="8">
        <f t="shared" si="379"/>
        <v>20.580217194000006</v>
      </c>
      <c r="AS153" s="116">
        <f t="shared" si="380"/>
        <v>2610.6840000000002</v>
      </c>
      <c r="AT153" s="217">
        <f t="shared" si="381"/>
        <v>3.8225650040246785E-2</v>
      </c>
      <c r="AU153" s="207">
        <f t="shared" si="382"/>
        <v>4.6721231076384111</v>
      </c>
      <c r="AV153" s="144">
        <f t="shared" si="383"/>
        <v>3700.8987434052278</v>
      </c>
      <c r="AW153" s="138">
        <f t="shared" si="384"/>
        <v>0.25</v>
      </c>
      <c r="AX153" s="116">
        <f t="shared" si="385"/>
        <v>2175570</v>
      </c>
      <c r="AY153" s="2">
        <f t="shared" si="386"/>
        <v>1.5748031496062995E-2</v>
      </c>
      <c r="AZ153" s="8">
        <f t="shared" si="387"/>
        <v>20.580217194000006</v>
      </c>
      <c r="BA153" s="116">
        <f t="shared" si="388"/>
        <v>2610.6840000000002</v>
      </c>
      <c r="BB153" s="217">
        <f t="shared" si="389"/>
        <v>3.8225650040246785E-2</v>
      </c>
      <c r="BC153" s="207">
        <f t="shared" si="390"/>
        <v>4.6721231076384111</v>
      </c>
      <c r="BD153" s="144">
        <f t="shared" si="391"/>
        <v>3700.8987434052278</v>
      </c>
      <c r="BE153" s="138">
        <f t="shared" si="392"/>
        <v>0.25</v>
      </c>
      <c r="BF153" s="116">
        <f t="shared" si="393"/>
        <v>2175570</v>
      </c>
      <c r="BG153" s="2">
        <f t="shared" si="394"/>
        <v>1.5748031496062995E-2</v>
      </c>
      <c r="BH153" s="8">
        <f t="shared" si="395"/>
        <v>20.580217194000006</v>
      </c>
      <c r="BI153" s="116">
        <f t="shared" si="396"/>
        <v>2610.6840000000002</v>
      </c>
      <c r="BJ153" s="217">
        <f t="shared" si="397"/>
        <v>3.8225650040246785E-2</v>
      </c>
      <c r="BK153" s="207">
        <f t="shared" si="398"/>
        <v>4.6721231076384111</v>
      </c>
      <c r="BL153" s="144">
        <f t="shared" si="399"/>
        <v>3700.8987434052278</v>
      </c>
      <c r="BM153" s="216">
        <f t="shared" si="400"/>
        <v>0.25</v>
      </c>
      <c r="BN153" s="216">
        <f t="shared" si="401"/>
        <v>2.3622047244094495E-2</v>
      </c>
      <c r="BO153" s="238">
        <f t="shared" si="402"/>
        <v>1.5748031496062995E-2</v>
      </c>
      <c r="BP153" s="216">
        <f t="shared" si="403"/>
        <v>0</v>
      </c>
      <c r="BQ153" s="138">
        <f t="shared" si="404"/>
        <v>0</v>
      </c>
      <c r="BR153" s="138">
        <f t="shared" si="405"/>
        <v>0</v>
      </c>
      <c r="BS153" s="238">
        <f t="shared" si="406"/>
        <v>0.25</v>
      </c>
      <c r="BT153" s="138">
        <f t="shared" si="407"/>
        <v>0</v>
      </c>
      <c r="BU153" s="138">
        <f t="shared" si="408"/>
        <v>0</v>
      </c>
      <c r="BV153" s="138">
        <f t="shared" si="409"/>
        <v>0</v>
      </c>
      <c r="BW153" s="238">
        <f t="shared" si="410"/>
        <v>0.75</v>
      </c>
      <c r="BX153" s="216">
        <f t="shared" si="411"/>
        <v>0</v>
      </c>
      <c r="BY153" s="138">
        <f t="shared" si="412"/>
        <v>0</v>
      </c>
      <c r="BZ153" s="138">
        <f t="shared" si="413"/>
        <v>0</v>
      </c>
      <c r="CA153" s="238">
        <f t="shared" si="414"/>
        <v>2.3622047244094495E-2</v>
      </c>
      <c r="CB153" s="138">
        <f t="shared" si="415"/>
        <v>0</v>
      </c>
      <c r="CC153" s="138">
        <f t="shared" si="416"/>
        <v>0</v>
      </c>
      <c r="CD153" s="138">
        <f t="shared" si="417"/>
        <v>0</v>
      </c>
      <c r="CE153" s="238">
        <f t="shared" si="418"/>
        <v>2.3622047244094495E-2</v>
      </c>
      <c r="CF153" s="216">
        <f t="shared" si="419"/>
        <v>0</v>
      </c>
      <c r="CG153" s="138">
        <f t="shared" si="420"/>
        <v>0</v>
      </c>
      <c r="CH153" s="138">
        <f t="shared" si="421"/>
        <v>0</v>
      </c>
      <c r="CI153" s="238">
        <f t="shared" si="422"/>
        <v>1.5748031496062995E-2</v>
      </c>
      <c r="CJ153" s="138">
        <f t="shared" si="423"/>
        <v>0</v>
      </c>
      <c r="CK153" s="138">
        <f t="shared" si="424"/>
        <v>0</v>
      </c>
      <c r="CL153" s="138">
        <f t="shared" si="425"/>
        <v>0</v>
      </c>
      <c r="CM153" s="238">
        <f t="shared" si="426"/>
        <v>1.5748031496062995E-2</v>
      </c>
      <c r="CN153" s="17">
        <f t="shared" si="427"/>
        <v>0.75</v>
      </c>
      <c r="CO153" s="17">
        <f t="shared" si="428"/>
        <v>2.3622047244094495E-2</v>
      </c>
      <c r="CP153" s="17">
        <f t="shared" si="429"/>
        <v>1.5748031496062995E-2</v>
      </c>
      <c r="CQ153" s="17">
        <f>$U153-IF('Inputs-Imperial'!$E$13,0,2)*($CO153+$CN153+$CP153)</f>
        <v>7.4088781898400011</v>
      </c>
      <c r="CR153" s="116">
        <f t="shared" si="430"/>
        <v>557.44297104388852</v>
      </c>
      <c r="CS153" s="8">
        <f t="shared" si="324"/>
        <v>1.4412851400423211E-2</v>
      </c>
      <c r="CT153" s="8">
        <f t="shared" si="431"/>
        <v>0.12005353555986267</v>
      </c>
      <c r="CU153" s="8">
        <f t="shared" si="325"/>
        <v>1.4412851400423211E-2</v>
      </c>
      <c r="CV153" s="8">
        <f t="shared" si="432"/>
        <v>0.12005353555986267</v>
      </c>
      <c r="CW153" s="216">
        <f t="shared" si="433"/>
        <v>7.2888246542801376</v>
      </c>
      <c r="CX153" s="116">
        <f t="shared" si="434"/>
        <v>566.62456104242347</v>
      </c>
      <c r="CY153" s="8">
        <f t="shared" si="435"/>
        <v>1.4650244100918986E-2</v>
      </c>
      <c r="CZ153" s="8">
        <f t="shared" si="436"/>
        <v>0.12103819273650357</v>
      </c>
      <c r="DA153" s="8">
        <f t="shared" si="437"/>
        <v>1.4650244100918986E-2</v>
      </c>
      <c r="DB153" s="8">
        <f t="shared" si="438"/>
        <v>0.12103819273650357</v>
      </c>
      <c r="DC153" s="216">
        <f t="shared" si="439"/>
        <v>7.2878399971034984</v>
      </c>
      <c r="DD153" s="116">
        <f t="shared" si="440"/>
        <v>566.70111746253042</v>
      </c>
      <c r="DE153" s="8">
        <f t="shared" si="441"/>
        <v>1.46522234895992E-2</v>
      </c>
      <c r="DF153" s="8">
        <f t="shared" si="442"/>
        <v>0.12104636917148404</v>
      </c>
      <c r="DG153" s="8">
        <f t="shared" si="443"/>
        <v>1.46522234895992E-2</v>
      </c>
      <c r="DH153" s="8">
        <f t="shared" si="444"/>
        <v>0.12104636917148404</v>
      </c>
      <c r="DI153" s="216">
        <f t="shared" si="445"/>
        <v>7.2878318206685169</v>
      </c>
      <c r="DJ153" s="116">
        <f t="shared" si="446"/>
        <v>566.7017532613462</v>
      </c>
      <c r="DK153" s="8">
        <f t="shared" si="447"/>
        <v>1.4652239928363934E-2</v>
      </c>
      <c r="DL153" s="8">
        <f t="shared" si="448"/>
        <v>0.12104643707422344</v>
      </c>
      <c r="DM153" s="8">
        <f t="shared" si="449"/>
        <v>1.4652239928363934E-2</v>
      </c>
      <c r="DN153" s="8">
        <f t="shared" si="450"/>
        <v>0.12104643707422344</v>
      </c>
      <c r="DO153" s="216">
        <f t="shared" si="451"/>
        <v>7.2878317527657774</v>
      </c>
      <c r="DP153" s="116">
        <f t="shared" si="452"/>
        <v>566.70175854146271</v>
      </c>
      <c r="DQ153" s="170">
        <f t="shared" si="453"/>
        <v>1.4652240064882893E-2</v>
      </c>
      <c r="DR153" s="8">
        <f t="shared" si="454"/>
        <v>0.12104643763813495</v>
      </c>
      <c r="DS153" s="8">
        <f t="shared" si="455"/>
        <v>1.4652240064882893E-2</v>
      </c>
      <c r="DT153" s="134">
        <f t="shared" si="456"/>
        <v>0.12104643763813495</v>
      </c>
      <c r="DU153" s="170">
        <f t="shared" si="566"/>
        <v>2.9973794920998782E-2</v>
      </c>
      <c r="DV153" s="170">
        <f t="shared" si="566"/>
        <v>0.17312941668300849</v>
      </c>
      <c r="DW153" s="170">
        <f t="shared" si="566"/>
        <v>2.9973794920998782E-2</v>
      </c>
      <c r="DX153" s="272">
        <f t="shared" si="566"/>
        <v>0.17312941668300849</v>
      </c>
      <c r="DY153" s="272">
        <f t="shared" si="457"/>
        <v>7.0626193564739843</v>
      </c>
      <c r="DZ153" s="22">
        <f t="shared" si="326"/>
        <v>51.006472519950421</v>
      </c>
      <c r="EA153" s="216">
        <f t="shared" si="327"/>
        <v>3.3417316970468674E-3</v>
      </c>
      <c r="EB153" s="12">
        <f t="shared" si="458"/>
        <v>1</v>
      </c>
      <c r="EC153" s="7">
        <f>ROUND(MAX(DV153,DX153)/'Inputs-Imperial'!$E$21,0)</f>
        <v>1</v>
      </c>
      <c r="ED153" s="12">
        <f t="shared" si="459"/>
        <v>1</v>
      </c>
      <c r="EE153" s="2">
        <f t="shared" si="460"/>
        <v>2</v>
      </c>
      <c r="EF153" s="127">
        <f t="shared" si="461"/>
        <v>2</v>
      </c>
      <c r="EG153" s="2">
        <f t="shared" si="462"/>
        <v>1.5748031496062995E-2</v>
      </c>
      <c r="EH153" s="8">
        <f t="shared" si="328"/>
        <v>3.516766124736305E-2</v>
      </c>
      <c r="EI153" s="138">
        <f t="shared" si="463"/>
        <v>0.25</v>
      </c>
      <c r="EJ153" s="12">
        <f t="shared" si="329"/>
        <v>2915.0199045151658</v>
      </c>
      <c r="EK153" s="138">
        <f t="shared" si="464"/>
        <v>0.25</v>
      </c>
      <c r="EL153" s="116">
        <f t="shared" si="465"/>
        <v>2175570</v>
      </c>
      <c r="EM153" s="2">
        <f t="shared" si="330"/>
        <v>1.5748031496062995E-2</v>
      </c>
      <c r="EN153" s="8">
        <f t="shared" si="466"/>
        <v>7.4088781898400011</v>
      </c>
      <c r="EO153" s="116">
        <f t="shared" si="467"/>
        <v>2610.6840000000002</v>
      </c>
      <c r="EP153" s="217">
        <f t="shared" si="468"/>
        <v>0.29495100339696606</v>
      </c>
      <c r="EQ153" s="207">
        <f t="shared" si="469"/>
        <v>2.6263715619689911</v>
      </c>
      <c r="ER153" s="144">
        <f t="shared" si="470"/>
        <v>16052.552207117023</v>
      </c>
      <c r="ES153" s="138">
        <f t="shared" si="331"/>
        <v>0.25</v>
      </c>
      <c r="ET153" s="116">
        <f t="shared" si="471"/>
        <v>2175570</v>
      </c>
      <c r="EU153" s="2">
        <f t="shared" si="332"/>
        <v>1.5748031496062995E-2</v>
      </c>
      <c r="EV153" s="8">
        <f t="shared" si="472"/>
        <v>7.4088781898400011</v>
      </c>
      <c r="EW153" s="116">
        <f t="shared" si="473"/>
        <v>2610.6840000000002</v>
      </c>
      <c r="EX153" s="217">
        <f t="shared" si="474"/>
        <v>0.29495100339696606</v>
      </c>
      <c r="EY153" s="207">
        <f t="shared" si="475"/>
        <v>2.6263715619689911</v>
      </c>
      <c r="EZ153" s="144">
        <f t="shared" si="476"/>
        <v>16052.552207117023</v>
      </c>
      <c r="FA153" s="138">
        <f t="shared" si="333"/>
        <v>0.25</v>
      </c>
      <c r="FB153" s="116">
        <f t="shared" si="477"/>
        <v>2175570</v>
      </c>
      <c r="FC153" s="2">
        <f t="shared" si="334"/>
        <v>1.5748031496062995E-2</v>
      </c>
      <c r="FD153" s="8">
        <f t="shared" si="478"/>
        <v>7.4088781898400011</v>
      </c>
      <c r="FE153" s="116">
        <f t="shared" si="479"/>
        <v>2610.6840000000002</v>
      </c>
      <c r="FF153" s="217">
        <f t="shared" si="480"/>
        <v>0.29495100339696606</v>
      </c>
      <c r="FG153" s="207">
        <f t="shared" si="481"/>
        <v>2.6263715619689911</v>
      </c>
      <c r="FH153" s="144">
        <f t="shared" si="482"/>
        <v>16052.552207117023</v>
      </c>
      <c r="FI153" s="128">
        <f t="shared" si="483"/>
        <v>0.25</v>
      </c>
      <c r="FJ153" s="2">
        <f t="shared" si="484"/>
        <v>1.5748031496062995E-2</v>
      </c>
      <c r="FK153" s="127">
        <f t="shared" si="485"/>
        <v>1.5748031496062995E-2</v>
      </c>
      <c r="FL153" s="216">
        <f t="shared" si="486"/>
        <v>0</v>
      </c>
      <c r="FM153" s="138">
        <f t="shared" si="487"/>
        <v>0</v>
      </c>
      <c r="FN153" s="138">
        <f t="shared" si="488"/>
        <v>0</v>
      </c>
      <c r="FO153" s="238">
        <f t="shared" si="489"/>
        <v>0.25</v>
      </c>
      <c r="FP153" s="216">
        <f t="shared" si="335"/>
        <v>0</v>
      </c>
      <c r="FQ153" s="138">
        <f t="shared" si="336"/>
        <v>0</v>
      </c>
      <c r="FR153" s="138">
        <f t="shared" si="337"/>
        <v>0</v>
      </c>
      <c r="FS153" s="238">
        <f t="shared" si="338"/>
        <v>0.25</v>
      </c>
      <c r="FT153" s="216">
        <f t="shared" si="490"/>
        <v>0</v>
      </c>
      <c r="FU153" s="138">
        <f t="shared" si="491"/>
        <v>0</v>
      </c>
      <c r="FV153" s="138">
        <f t="shared" si="492"/>
        <v>0</v>
      </c>
      <c r="FW153" s="238">
        <f t="shared" si="493"/>
        <v>1.5748031496062995E-2</v>
      </c>
      <c r="FX153" s="216">
        <f t="shared" si="339"/>
        <v>0</v>
      </c>
      <c r="FY153" s="138">
        <f t="shared" si="340"/>
        <v>0</v>
      </c>
      <c r="FZ153" s="138">
        <f t="shared" si="341"/>
        <v>0</v>
      </c>
      <c r="GA153" s="238">
        <f t="shared" si="342"/>
        <v>2.3622047244094495E-2</v>
      </c>
      <c r="GB153" s="216">
        <f t="shared" si="494"/>
        <v>0</v>
      </c>
      <c r="GC153" s="138">
        <f t="shared" si="495"/>
        <v>0</v>
      </c>
      <c r="GD153" s="138">
        <f t="shared" si="496"/>
        <v>0</v>
      </c>
      <c r="GE153" s="238">
        <f t="shared" si="497"/>
        <v>1.5748031496062995E-2</v>
      </c>
      <c r="GF153" s="216">
        <f t="shared" si="343"/>
        <v>0</v>
      </c>
      <c r="GG153" s="138">
        <f t="shared" si="344"/>
        <v>0</v>
      </c>
      <c r="GH153" s="138">
        <f t="shared" si="345"/>
        <v>0</v>
      </c>
      <c r="GI153" s="238">
        <f t="shared" si="346"/>
        <v>2.3622047244094495E-2</v>
      </c>
      <c r="GJ153" s="216">
        <f t="shared" si="498"/>
        <v>0.25</v>
      </c>
      <c r="GK153" s="216">
        <f t="shared" si="499"/>
        <v>2.3622047244094495E-2</v>
      </c>
      <c r="GL153" s="17">
        <f t="shared" si="500"/>
        <v>2.3622047244094495E-2</v>
      </c>
      <c r="GM153" s="216">
        <f t="shared" si="347"/>
        <v>1.3901399381504133E-3</v>
      </c>
      <c r="GN153" s="2">
        <f t="shared" si="501"/>
        <v>1</v>
      </c>
      <c r="GO153" s="2">
        <f t="shared" si="502"/>
        <v>2</v>
      </c>
      <c r="GP153" s="142">
        <f t="shared" si="503"/>
        <v>2</v>
      </c>
      <c r="GQ153" s="2">
        <f t="shared" si="504"/>
        <v>1.5748031496062995E-2</v>
      </c>
      <c r="GR153" s="8">
        <f t="shared" si="348"/>
        <v>1.4629531890458744E-2</v>
      </c>
      <c r="GS153" s="138">
        <f t="shared" si="505"/>
        <v>0.25</v>
      </c>
      <c r="GT153" s="12">
        <f t="shared" si="349"/>
        <v>1212.6304434766548</v>
      </c>
      <c r="GU153" s="138">
        <f t="shared" si="506"/>
        <v>0.25</v>
      </c>
      <c r="GV153" s="116">
        <f t="shared" si="507"/>
        <v>2175570</v>
      </c>
      <c r="GW153" s="2">
        <f t="shared" si="350"/>
        <v>1.5748031496062995E-2</v>
      </c>
      <c r="GX153" s="8">
        <f t="shared" si="351"/>
        <v>3.7044390949200006</v>
      </c>
      <c r="GY153" s="116">
        <f t="shared" si="508"/>
        <v>2610.6840000000002</v>
      </c>
      <c r="GZ153" s="217">
        <f t="shared" si="509"/>
        <v>1.1798040135878642</v>
      </c>
      <c r="HA153" s="207">
        <f t="shared" si="510"/>
        <v>2</v>
      </c>
      <c r="HB153" s="144">
        <f t="shared" si="511"/>
        <v>48896.515449877697</v>
      </c>
      <c r="HC153" s="138">
        <f t="shared" si="352"/>
        <v>0.25</v>
      </c>
      <c r="HD153" s="116">
        <f t="shared" si="512"/>
        <v>2175570</v>
      </c>
      <c r="HE153" s="2">
        <f t="shared" si="353"/>
        <v>1.5748031496062995E-2</v>
      </c>
      <c r="HF153" s="8">
        <f t="shared" si="513"/>
        <v>3.7044390949200006</v>
      </c>
      <c r="HG153" s="116">
        <f t="shared" si="514"/>
        <v>2610.6840000000002</v>
      </c>
      <c r="HH153" s="217">
        <f t="shared" si="515"/>
        <v>1.1798040135878642</v>
      </c>
      <c r="HI153" s="207">
        <f t="shared" si="516"/>
        <v>2</v>
      </c>
      <c r="HJ153" s="144">
        <f t="shared" si="517"/>
        <v>48896.515449877697</v>
      </c>
      <c r="HK153" s="138">
        <f t="shared" si="354"/>
        <v>0.25</v>
      </c>
      <c r="HL153" s="116">
        <f t="shared" si="518"/>
        <v>2175570</v>
      </c>
      <c r="HM153" s="2">
        <f t="shared" si="355"/>
        <v>1.5748031496062995E-2</v>
      </c>
      <c r="HN153" s="8">
        <f t="shared" si="519"/>
        <v>3.7044390949200006</v>
      </c>
      <c r="HO153" s="116">
        <f t="shared" si="520"/>
        <v>2610.6840000000002</v>
      </c>
      <c r="HP153" s="217">
        <f t="shared" si="521"/>
        <v>1.1798040135878642</v>
      </c>
      <c r="HQ153" s="207">
        <f t="shared" si="522"/>
        <v>2</v>
      </c>
      <c r="HR153" s="144">
        <f t="shared" si="523"/>
        <v>48896.515449877697</v>
      </c>
      <c r="HS153" s="128">
        <f t="shared" si="524"/>
        <v>0.25</v>
      </c>
      <c r="HT153" s="2">
        <f t="shared" si="525"/>
        <v>1.5748031496062995E-2</v>
      </c>
      <c r="HU153" s="127">
        <f t="shared" si="526"/>
        <v>1.5748031496062995E-2</v>
      </c>
      <c r="HV153" s="216">
        <f t="shared" si="527"/>
        <v>0</v>
      </c>
      <c r="HW153" s="138">
        <f t="shared" si="528"/>
        <v>0</v>
      </c>
      <c r="HX153" s="138">
        <f t="shared" si="529"/>
        <v>0</v>
      </c>
      <c r="HY153" s="238">
        <f t="shared" si="530"/>
        <v>0.25</v>
      </c>
      <c r="HZ153" s="138">
        <f t="shared" si="531"/>
        <v>0</v>
      </c>
      <c r="IA153" s="138">
        <f t="shared" si="532"/>
        <v>0</v>
      </c>
      <c r="IB153" s="138">
        <f t="shared" si="533"/>
        <v>0</v>
      </c>
      <c r="IC153" s="138">
        <f t="shared" si="534"/>
        <v>0.25</v>
      </c>
      <c r="ID153" s="216">
        <f t="shared" si="535"/>
        <v>0</v>
      </c>
      <c r="IE153" s="138">
        <f t="shared" si="536"/>
        <v>0</v>
      </c>
      <c r="IF153" s="138">
        <f t="shared" si="537"/>
        <v>0</v>
      </c>
      <c r="IG153" s="238">
        <f t="shared" si="538"/>
        <v>1.5748031496062995E-2</v>
      </c>
      <c r="IH153" s="138">
        <f t="shared" si="539"/>
        <v>0</v>
      </c>
      <c r="II153" s="138">
        <f t="shared" si="540"/>
        <v>0</v>
      </c>
      <c r="IJ153" s="138">
        <f t="shared" si="541"/>
        <v>0</v>
      </c>
      <c r="IK153" s="138">
        <f t="shared" si="542"/>
        <v>1.5748031496062995E-2</v>
      </c>
      <c r="IL153" s="216">
        <f t="shared" si="543"/>
        <v>0</v>
      </c>
      <c r="IM153" s="138">
        <f t="shared" si="544"/>
        <v>0</v>
      </c>
      <c r="IN153" s="138">
        <f t="shared" si="545"/>
        <v>0</v>
      </c>
      <c r="IO153" s="238">
        <f t="shared" si="546"/>
        <v>1.5748031496062995E-2</v>
      </c>
      <c r="IP153" s="138">
        <f t="shared" si="547"/>
        <v>0</v>
      </c>
      <c r="IQ153" s="138">
        <f t="shared" si="548"/>
        <v>0</v>
      </c>
      <c r="IR153" s="138">
        <f t="shared" si="549"/>
        <v>0</v>
      </c>
      <c r="IS153" s="138">
        <f t="shared" si="550"/>
        <v>1.5748031496062995E-2</v>
      </c>
      <c r="IT153" s="17">
        <f t="shared" si="551"/>
        <v>0.25</v>
      </c>
      <c r="IU153" s="17">
        <f t="shared" si="552"/>
        <v>1.5748031496062995E-2</v>
      </c>
      <c r="IV153" s="17">
        <f t="shared" si="553"/>
        <v>1.5748031496062995E-2</v>
      </c>
      <c r="IW153" s="253">
        <f t="shared" si="554"/>
        <v>20.580217194000006</v>
      </c>
      <c r="IX153" s="116">
        <f t="shared" si="356"/>
        <v>20.067946957579981</v>
      </c>
      <c r="IY153" s="8">
        <f t="shared" si="357"/>
        <v>5.1886265041523548E-4</v>
      </c>
      <c r="IZ153" s="8">
        <f t="shared" si="555"/>
        <v>5.1886265041523548E-4</v>
      </c>
      <c r="JA153" s="8">
        <f t="shared" si="556"/>
        <v>2.5943132520761774E-4</v>
      </c>
      <c r="JB153" s="134">
        <f t="shared" si="557"/>
        <v>1.6106871987062472E-2</v>
      </c>
      <c r="JC153" s="170">
        <f t="shared" si="567"/>
        <v>5.2711395752220482E-4</v>
      </c>
      <c r="JD153" s="272">
        <f t="shared" si="568"/>
        <v>2.2958962466152619E-2</v>
      </c>
      <c r="JE153" s="8"/>
      <c r="JF153" s="8"/>
    </row>
    <row r="154" spans="1:266" x14ac:dyDescent="0.25">
      <c r="A154" s="186">
        <v>94</v>
      </c>
      <c r="B154" s="187">
        <f>A154/100*'Inputs-Imperial'!$E$5</f>
        <v>22.636483663999996</v>
      </c>
      <c r="C154" s="188">
        <f>'Inputs-Imperial'!$E$10+('Inputs-Imperial'!$E$9-'Inputs-Imperial'!$E$10)*(100-A154)/100</f>
        <v>3.4122376420000005</v>
      </c>
      <c r="D154" s="187">
        <f t="shared" si="558"/>
        <v>0.24081365599999671</v>
      </c>
      <c r="E154" s="188">
        <f t="shared" si="559"/>
        <v>0.82385648950217516</v>
      </c>
      <c r="F154" s="423">
        <f>Loads!P114</f>
        <v>31.640756540793706</v>
      </c>
      <c r="G154" s="423">
        <f>Loads!M114</f>
        <v>316.40756540793711</v>
      </c>
      <c r="H154" s="423">
        <f>Loads!N114</f>
        <v>253.16526328409657</v>
      </c>
      <c r="I154" s="423">
        <f>Loads!V114</f>
        <v>-387.91539176595984</v>
      </c>
      <c r="J154" s="423">
        <f>Loads!Q114</f>
        <v>25.316526328409655</v>
      </c>
      <c r="K154" s="2">
        <v>94</v>
      </c>
      <c r="L154" s="12">
        <f t="shared" si="358"/>
        <v>271.63780396799996</v>
      </c>
      <c r="M154" s="11">
        <f t="shared" si="359"/>
        <v>40.946851704000004</v>
      </c>
      <c r="N154" s="11">
        <f t="shared" si="360"/>
        <v>2.8897638719999605</v>
      </c>
      <c r="O154" s="152">
        <f t="shared" si="361"/>
        <v>118.63533448831323</v>
      </c>
      <c r="P154" s="151">
        <f t="shared" si="362"/>
        <v>31.640756540793706</v>
      </c>
      <c r="Q154" s="12">
        <f t="shared" si="363"/>
        <v>316.40756540793711</v>
      </c>
      <c r="R154" s="12">
        <f t="shared" si="364"/>
        <v>3037.9831594091588</v>
      </c>
      <c r="S154" s="12">
        <f t="shared" si="365"/>
        <v>-4654.9847011915181</v>
      </c>
      <c r="T154" s="152">
        <f t="shared" si="366"/>
        <v>303.79831594091587</v>
      </c>
      <c r="U154" s="8">
        <f t="shared" si="313"/>
        <v>7.3704333067200007</v>
      </c>
      <c r="V154" s="8">
        <f t="shared" si="314"/>
        <v>7.3704333067200007</v>
      </c>
      <c r="W154" s="134">
        <f t="shared" si="315"/>
        <v>3.6852166533600004</v>
      </c>
      <c r="X154" s="311">
        <f t="shared" si="316"/>
        <v>10.236712926000001</v>
      </c>
      <c r="Y154" s="11">
        <f t="shared" si="317"/>
        <v>30.710138778000001</v>
      </c>
      <c r="Z154" s="11">
        <f t="shared" si="318"/>
        <v>20.473425851999998</v>
      </c>
      <c r="AA154" s="316">
        <f t="shared" si="367"/>
        <v>30.710138778000001</v>
      </c>
      <c r="AB154" s="170">
        <f t="shared" si="368"/>
        <v>5.5278249800400001</v>
      </c>
      <c r="AC154" s="11">
        <f t="shared" si="369"/>
        <v>30.710138778000001</v>
      </c>
      <c r="AD154" s="152">
        <f t="shared" si="370"/>
        <v>133.3294060646177</v>
      </c>
      <c r="AE154" s="151">
        <f t="shared" si="319"/>
        <v>1.0303032744176452</v>
      </c>
      <c r="AF154" s="12">
        <f t="shared" si="320"/>
        <v>17.456706808307139</v>
      </c>
      <c r="AG154" s="216">
        <f t="shared" si="321"/>
        <v>1.2111919237877634E-3</v>
      </c>
      <c r="AH154" s="2">
        <f t="shared" si="371"/>
        <v>1</v>
      </c>
      <c r="AI154" s="2">
        <f t="shared" si="372"/>
        <v>3</v>
      </c>
      <c r="AJ154" s="127">
        <f t="shared" si="373"/>
        <v>2</v>
      </c>
      <c r="AK154" s="2">
        <f t="shared" si="374"/>
        <v>1.5748031496062995E-2</v>
      </c>
      <c r="AL154" s="8">
        <f t="shared" si="322"/>
        <v>1.2746321710672226E-2</v>
      </c>
      <c r="AM154" s="138">
        <f t="shared" si="375"/>
        <v>0.25</v>
      </c>
      <c r="AN154" s="12">
        <f t="shared" si="323"/>
        <v>1056.5326262277213</v>
      </c>
      <c r="AO154" s="138">
        <f t="shared" si="376"/>
        <v>0.25</v>
      </c>
      <c r="AP154" s="116">
        <f t="shared" si="377"/>
        <v>2175570</v>
      </c>
      <c r="AQ154" s="2">
        <f t="shared" si="378"/>
        <v>1.5748031496062995E-2</v>
      </c>
      <c r="AR154" s="8">
        <f t="shared" si="379"/>
        <v>20.473425851999998</v>
      </c>
      <c r="AS154" s="116">
        <f t="shared" si="380"/>
        <v>2610.6840000000002</v>
      </c>
      <c r="AT154" s="217">
        <f t="shared" si="381"/>
        <v>3.8625467343540013E-2</v>
      </c>
      <c r="AU154" s="207">
        <f t="shared" si="382"/>
        <v>4.6662105426552731</v>
      </c>
      <c r="AV154" s="144">
        <f t="shared" si="383"/>
        <v>3734.8754494719637</v>
      </c>
      <c r="AW154" s="138">
        <f t="shared" si="384"/>
        <v>0.25</v>
      </c>
      <c r="AX154" s="116">
        <f t="shared" si="385"/>
        <v>2175570</v>
      </c>
      <c r="AY154" s="2">
        <f t="shared" si="386"/>
        <v>1.5748031496062995E-2</v>
      </c>
      <c r="AZ154" s="8">
        <f t="shared" si="387"/>
        <v>20.473425851999998</v>
      </c>
      <c r="BA154" s="116">
        <f t="shared" si="388"/>
        <v>2610.6840000000002</v>
      </c>
      <c r="BB154" s="217">
        <f t="shared" si="389"/>
        <v>3.8625467343540013E-2</v>
      </c>
      <c r="BC154" s="207">
        <f t="shared" si="390"/>
        <v>4.6662105426552731</v>
      </c>
      <c r="BD154" s="144">
        <f t="shared" si="391"/>
        <v>3734.8754494719637</v>
      </c>
      <c r="BE154" s="138">
        <f t="shared" si="392"/>
        <v>0.25</v>
      </c>
      <c r="BF154" s="116">
        <f t="shared" si="393"/>
        <v>2175570</v>
      </c>
      <c r="BG154" s="2">
        <f t="shared" si="394"/>
        <v>1.5748031496062995E-2</v>
      </c>
      <c r="BH154" s="8">
        <f t="shared" si="395"/>
        <v>20.473425851999998</v>
      </c>
      <c r="BI154" s="116">
        <f t="shared" si="396"/>
        <v>2610.6840000000002</v>
      </c>
      <c r="BJ154" s="217">
        <f t="shared" si="397"/>
        <v>3.8625467343540013E-2</v>
      </c>
      <c r="BK154" s="207">
        <f t="shared" si="398"/>
        <v>4.6662105426552731</v>
      </c>
      <c r="BL154" s="144">
        <f t="shared" si="399"/>
        <v>3734.8754494719637</v>
      </c>
      <c r="BM154" s="216">
        <f t="shared" si="400"/>
        <v>0.25</v>
      </c>
      <c r="BN154" s="216">
        <f t="shared" si="401"/>
        <v>2.3622047244094495E-2</v>
      </c>
      <c r="BO154" s="238">
        <f t="shared" si="402"/>
        <v>1.5748031496062995E-2</v>
      </c>
      <c r="BP154" s="216">
        <f t="shared" si="403"/>
        <v>0</v>
      </c>
      <c r="BQ154" s="138">
        <f t="shared" si="404"/>
        <v>0</v>
      </c>
      <c r="BR154" s="138">
        <f t="shared" si="405"/>
        <v>0</v>
      </c>
      <c r="BS154" s="238">
        <f t="shared" si="406"/>
        <v>0.25</v>
      </c>
      <c r="BT154" s="138">
        <f t="shared" si="407"/>
        <v>0</v>
      </c>
      <c r="BU154" s="138">
        <f t="shared" si="408"/>
        <v>0</v>
      </c>
      <c r="BV154" s="138">
        <f t="shared" si="409"/>
        <v>0</v>
      </c>
      <c r="BW154" s="238">
        <f t="shared" si="410"/>
        <v>0.75</v>
      </c>
      <c r="BX154" s="216">
        <f t="shared" si="411"/>
        <v>0</v>
      </c>
      <c r="BY154" s="138">
        <f t="shared" si="412"/>
        <v>0</v>
      </c>
      <c r="BZ154" s="138">
        <f t="shared" si="413"/>
        <v>0</v>
      </c>
      <c r="CA154" s="238">
        <f t="shared" si="414"/>
        <v>2.3622047244094495E-2</v>
      </c>
      <c r="CB154" s="138">
        <f t="shared" si="415"/>
        <v>0</v>
      </c>
      <c r="CC154" s="138">
        <f t="shared" si="416"/>
        <v>0</v>
      </c>
      <c r="CD154" s="138">
        <f t="shared" si="417"/>
        <v>0</v>
      </c>
      <c r="CE154" s="238">
        <f t="shared" si="418"/>
        <v>2.3622047244094495E-2</v>
      </c>
      <c r="CF154" s="216">
        <f t="shared" si="419"/>
        <v>0</v>
      </c>
      <c r="CG154" s="138">
        <f t="shared" si="420"/>
        <v>0</v>
      </c>
      <c r="CH154" s="138">
        <f t="shared" si="421"/>
        <v>0</v>
      </c>
      <c r="CI154" s="238">
        <f t="shared" si="422"/>
        <v>1.5748031496062995E-2</v>
      </c>
      <c r="CJ154" s="138">
        <f t="shared" si="423"/>
        <v>0</v>
      </c>
      <c r="CK154" s="138">
        <f t="shared" si="424"/>
        <v>0</v>
      </c>
      <c r="CL154" s="138">
        <f t="shared" si="425"/>
        <v>0</v>
      </c>
      <c r="CM154" s="238">
        <f t="shared" si="426"/>
        <v>1.5748031496062995E-2</v>
      </c>
      <c r="CN154" s="17">
        <f t="shared" si="427"/>
        <v>0.75</v>
      </c>
      <c r="CO154" s="17">
        <f t="shared" si="428"/>
        <v>2.3622047244094495E-2</v>
      </c>
      <c r="CP154" s="17">
        <f t="shared" si="429"/>
        <v>1.5748031496062995E-2</v>
      </c>
      <c r="CQ154" s="17">
        <f>$U154-IF('Inputs-Imperial'!$E$13,0,2)*($CO154+$CN154+$CP154)</f>
        <v>7.3704333067200007</v>
      </c>
      <c r="CR154" s="116">
        <f t="shared" si="430"/>
        <v>412.18515017824996</v>
      </c>
      <c r="CS154" s="8">
        <f t="shared" si="324"/>
        <v>1.0657167867513598E-2</v>
      </c>
      <c r="CT154" s="8">
        <f t="shared" si="431"/>
        <v>0.10323355979289679</v>
      </c>
      <c r="CU154" s="8">
        <f t="shared" si="325"/>
        <v>1.0657167867513598E-2</v>
      </c>
      <c r="CV154" s="8">
        <f t="shared" si="432"/>
        <v>0.10323355979289679</v>
      </c>
      <c r="CW154" s="216">
        <f t="shared" si="433"/>
        <v>7.2671997469271048</v>
      </c>
      <c r="CX154" s="116">
        <f t="shared" si="434"/>
        <v>418.04040967688456</v>
      </c>
      <c r="CY154" s="8">
        <f t="shared" si="435"/>
        <v>1.0808557318001606E-2</v>
      </c>
      <c r="CZ154" s="8">
        <f t="shared" si="436"/>
        <v>0.10396421171730975</v>
      </c>
      <c r="DA154" s="8">
        <f t="shared" si="437"/>
        <v>1.0808557318001606E-2</v>
      </c>
      <c r="DB154" s="8">
        <f t="shared" si="438"/>
        <v>0.10396421171730975</v>
      </c>
      <c r="DC154" s="216">
        <f t="shared" si="439"/>
        <v>7.2664690950026909</v>
      </c>
      <c r="DD154" s="116">
        <f t="shared" si="440"/>
        <v>418.08244412660423</v>
      </c>
      <c r="DE154" s="8">
        <f t="shared" si="441"/>
        <v>1.080964413101922E-2</v>
      </c>
      <c r="DF154" s="8">
        <f t="shared" si="442"/>
        <v>0.10396943844716687</v>
      </c>
      <c r="DG154" s="8">
        <f t="shared" si="443"/>
        <v>1.080964413101922E-2</v>
      </c>
      <c r="DH154" s="8">
        <f t="shared" si="444"/>
        <v>0.10396943844716687</v>
      </c>
      <c r="DI154" s="216">
        <f t="shared" si="445"/>
        <v>7.2664638682728331</v>
      </c>
      <c r="DJ154" s="116">
        <f t="shared" si="446"/>
        <v>418.08274485114276</v>
      </c>
      <c r="DK154" s="8">
        <f t="shared" si="447"/>
        <v>1.0809651906340305E-2</v>
      </c>
      <c r="DL154" s="8">
        <f t="shared" si="448"/>
        <v>0.10396947583949967</v>
      </c>
      <c r="DM154" s="8">
        <f t="shared" si="449"/>
        <v>1.0809651906340305E-2</v>
      </c>
      <c r="DN154" s="8">
        <f t="shared" si="450"/>
        <v>0.10396947583949967</v>
      </c>
      <c r="DO154" s="216">
        <f t="shared" si="451"/>
        <v>7.2664638308805003</v>
      </c>
      <c r="DP154" s="116">
        <f t="shared" si="452"/>
        <v>418.08274700254537</v>
      </c>
      <c r="DQ154" s="170">
        <f t="shared" si="453"/>
        <v>1.080965196196545E-2</v>
      </c>
      <c r="DR154" s="8">
        <f t="shared" si="454"/>
        <v>0.10396947610700676</v>
      </c>
      <c r="DS154" s="8">
        <f t="shared" si="455"/>
        <v>1.080965196196545E-2</v>
      </c>
      <c r="DT154" s="134">
        <f t="shared" si="456"/>
        <v>0.10396947610700676</v>
      </c>
      <c r="DU154" s="170">
        <f t="shared" si="566"/>
        <v>2.9973794920998782E-2</v>
      </c>
      <c r="DV154" s="170">
        <f t="shared" si="566"/>
        <v>0.17312941668300849</v>
      </c>
      <c r="DW154" s="170">
        <f t="shared" si="566"/>
        <v>2.9973794920998782E-2</v>
      </c>
      <c r="DX154" s="272">
        <f t="shared" si="566"/>
        <v>0.17312941668300849</v>
      </c>
      <c r="DY154" s="272">
        <f t="shared" si="457"/>
        <v>7.0241744733539839</v>
      </c>
      <c r="DZ154" s="22">
        <f t="shared" si="326"/>
        <v>42.929303100735225</v>
      </c>
      <c r="EA154" s="216">
        <f t="shared" si="327"/>
        <v>2.812549188688705E-3</v>
      </c>
      <c r="EB154" s="12">
        <f t="shared" si="458"/>
        <v>1</v>
      </c>
      <c r="EC154" s="7">
        <f>ROUND(MAX(DV154,DX154)/'Inputs-Imperial'!$E$21,0)</f>
        <v>1</v>
      </c>
      <c r="ED154" s="12">
        <f t="shared" si="459"/>
        <v>1</v>
      </c>
      <c r="EE154" s="2">
        <f t="shared" si="460"/>
        <v>2</v>
      </c>
      <c r="EF154" s="127">
        <f t="shared" si="461"/>
        <v>2</v>
      </c>
      <c r="EG154" s="2">
        <f t="shared" si="462"/>
        <v>1.5748031496062995E-2</v>
      </c>
      <c r="EH154" s="8">
        <f t="shared" si="328"/>
        <v>2.9598659041585807E-2</v>
      </c>
      <c r="EI154" s="138">
        <f t="shared" si="463"/>
        <v>0.25</v>
      </c>
      <c r="EJ154" s="12">
        <f t="shared" si="329"/>
        <v>2453.4096722070176</v>
      </c>
      <c r="EK154" s="138">
        <f t="shared" si="464"/>
        <v>0.25</v>
      </c>
      <c r="EL154" s="116">
        <f t="shared" si="465"/>
        <v>2175570</v>
      </c>
      <c r="EM154" s="2">
        <f t="shared" si="330"/>
        <v>1.5748031496062995E-2</v>
      </c>
      <c r="EN154" s="8">
        <f t="shared" si="466"/>
        <v>7.3704333067200007</v>
      </c>
      <c r="EO154" s="116">
        <f t="shared" si="467"/>
        <v>2610.6840000000002</v>
      </c>
      <c r="EP154" s="217">
        <f t="shared" si="468"/>
        <v>0.29803601345324077</v>
      </c>
      <c r="EQ154" s="207">
        <f t="shared" si="469"/>
        <v>2.6125095796433602</v>
      </c>
      <c r="ER154" s="144">
        <f t="shared" si="470"/>
        <v>16134.84074107416</v>
      </c>
      <c r="ES154" s="138">
        <f t="shared" si="331"/>
        <v>0.25</v>
      </c>
      <c r="ET154" s="116">
        <f t="shared" si="471"/>
        <v>2175570</v>
      </c>
      <c r="EU154" s="2">
        <f t="shared" si="332"/>
        <v>1.5748031496062995E-2</v>
      </c>
      <c r="EV154" s="8">
        <f t="shared" si="472"/>
        <v>7.3704333067200007</v>
      </c>
      <c r="EW154" s="116">
        <f t="shared" si="473"/>
        <v>2610.6840000000002</v>
      </c>
      <c r="EX154" s="217">
        <f t="shared" si="474"/>
        <v>0.29803601345324077</v>
      </c>
      <c r="EY154" s="207">
        <f t="shared" si="475"/>
        <v>2.6125095796433602</v>
      </c>
      <c r="EZ154" s="144">
        <f t="shared" si="476"/>
        <v>16134.84074107416</v>
      </c>
      <c r="FA154" s="138">
        <f t="shared" si="333"/>
        <v>0.25</v>
      </c>
      <c r="FB154" s="116">
        <f t="shared" si="477"/>
        <v>2175570</v>
      </c>
      <c r="FC154" s="2">
        <f t="shared" si="334"/>
        <v>1.5748031496062995E-2</v>
      </c>
      <c r="FD154" s="8">
        <f t="shared" si="478"/>
        <v>7.3704333067200007</v>
      </c>
      <c r="FE154" s="116">
        <f t="shared" si="479"/>
        <v>2610.6840000000002</v>
      </c>
      <c r="FF154" s="217">
        <f t="shared" si="480"/>
        <v>0.29803601345324077</v>
      </c>
      <c r="FG154" s="207">
        <f t="shared" si="481"/>
        <v>2.6125095796433602</v>
      </c>
      <c r="FH154" s="144">
        <f t="shared" si="482"/>
        <v>16134.84074107416</v>
      </c>
      <c r="FI154" s="128">
        <f t="shared" si="483"/>
        <v>0.25</v>
      </c>
      <c r="FJ154" s="2">
        <f t="shared" si="484"/>
        <v>1.5748031496062995E-2</v>
      </c>
      <c r="FK154" s="127">
        <f t="shared" si="485"/>
        <v>1.5748031496062995E-2</v>
      </c>
      <c r="FL154" s="216">
        <f t="shared" si="486"/>
        <v>0</v>
      </c>
      <c r="FM154" s="138">
        <f t="shared" si="487"/>
        <v>0</v>
      </c>
      <c r="FN154" s="138">
        <f t="shared" si="488"/>
        <v>0</v>
      </c>
      <c r="FO154" s="238">
        <f t="shared" si="489"/>
        <v>0.25</v>
      </c>
      <c r="FP154" s="216">
        <f t="shared" si="335"/>
        <v>0</v>
      </c>
      <c r="FQ154" s="138">
        <f t="shared" si="336"/>
        <v>0</v>
      </c>
      <c r="FR154" s="138">
        <f t="shared" si="337"/>
        <v>0</v>
      </c>
      <c r="FS154" s="238">
        <f t="shared" si="338"/>
        <v>0.25</v>
      </c>
      <c r="FT154" s="216">
        <f t="shared" si="490"/>
        <v>0</v>
      </c>
      <c r="FU154" s="138">
        <f t="shared" si="491"/>
        <v>0</v>
      </c>
      <c r="FV154" s="138">
        <f t="shared" si="492"/>
        <v>0</v>
      </c>
      <c r="FW154" s="238">
        <f t="shared" si="493"/>
        <v>1.5748031496062995E-2</v>
      </c>
      <c r="FX154" s="216">
        <f t="shared" si="339"/>
        <v>0</v>
      </c>
      <c r="FY154" s="138">
        <f t="shared" si="340"/>
        <v>0</v>
      </c>
      <c r="FZ154" s="138">
        <f t="shared" si="341"/>
        <v>0</v>
      </c>
      <c r="GA154" s="238">
        <f t="shared" si="342"/>
        <v>2.3622047244094495E-2</v>
      </c>
      <c r="GB154" s="216">
        <f t="shared" si="494"/>
        <v>0</v>
      </c>
      <c r="GC154" s="138">
        <f t="shared" si="495"/>
        <v>0</v>
      </c>
      <c r="GD154" s="138">
        <f t="shared" si="496"/>
        <v>0</v>
      </c>
      <c r="GE154" s="238">
        <f t="shared" si="497"/>
        <v>1.5748031496062995E-2</v>
      </c>
      <c r="GF154" s="216">
        <f t="shared" si="343"/>
        <v>0</v>
      </c>
      <c r="GG154" s="138">
        <f t="shared" si="344"/>
        <v>0</v>
      </c>
      <c r="GH154" s="138">
        <f t="shared" si="345"/>
        <v>0</v>
      </c>
      <c r="GI154" s="238">
        <f t="shared" si="346"/>
        <v>2.3622047244094495E-2</v>
      </c>
      <c r="GJ154" s="216">
        <f t="shared" si="498"/>
        <v>0.25</v>
      </c>
      <c r="GK154" s="216">
        <f t="shared" si="499"/>
        <v>2.3622047244094495E-2</v>
      </c>
      <c r="GL154" s="17">
        <f t="shared" si="500"/>
        <v>2.3622047244094495E-2</v>
      </c>
      <c r="GM154" s="216">
        <f t="shared" si="347"/>
        <v>1.1436907432592345E-3</v>
      </c>
      <c r="GN154" s="2">
        <f t="shared" si="501"/>
        <v>1</v>
      </c>
      <c r="GO154" s="2">
        <f t="shared" si="502"/>
        <v>2</v>
      </c>
      <c r="GP154" s="142">
        <f t="shared" si="503"/>
        <v>2</v>
      </c>
      <c r="GQ154" s="2">
        <f t="shared" si="504"/>
        <v>1.5748031496062995E-2</v>
      </c>
      <c r="GR154" s="8">
        <f t="shared" si="348"/>
        <v>1.2035953893674168E-2</v>
      </c>
      <c r="GS154" s="138">
        <f t="shared" si="505"/>
        <v>0.25</v>
      </c>
      <c r="GT154" s="12">
        <f t="shared" si="349"/>
        <v>997.65079409475288</v>
      </c>
      <c r="GU154" s="138">
        <f t="shared" si="506"/>
        <v>0.25</v>
      </c>
      <c r="GV154" s="116">
        <f t="shared" si="507"/>
        <v>2175570</v>
      </c>
      <c r="GW154" s="2">
        <f t="shared" si="350"/>
        <v>1.5748031496062995E-2</v>
      </c>
      <c r="GX154" s="8">
        <f t="shared" si="351"/>
        <v>3.6852166533600004</v>
      </c>
      <c r="GY154" s="116">
        <f t="shared" si="508"/>
        <v>2610.6840000000002</v>
      </c>
      <c r="GZ154" s="217">
        <f t="shared" si="509"/>
        <v>1.1921440538129631</v>
      </c>
      <c r="HA154" s="207">
        <f t="shared" si="510"/>
        <v>2</v>
      </c>
      <c r="HB154" s="144">
        <f t="shared" si="511"/>
        <v>49407.943585881178</v>
      </c>
      <c r="HC154" s="138">
        <f t="shared" si="352"/>
        <v>0.25</v>
      </c>
      <c r="HD154" s="116">
        <f t="shared" si="512"/>
        <v>2175570</v>
      </c>
      <c r="HE154" s="2">
        <f t="shared" si="353"/>
        <v>1.5748031496062995E-2</v>
      </c>
      <c r="HF154" s="8">
        <f t="shared" si="513"/>
        <v>3.6852166533600004</v>
      </c>
      <c r="HG154" s="116">
        <f t="shared" si="514"/>
        <v>2610.6840000000002</v>
      </c>
      <c r="HH154" s="217">
        <f t="shared" si="515"/>
        <v>1.1921440538129631</v>
      </c>
      <c r="HI154" s="207">
        <f t="shared" si="516"/>
        <v>2</v>
      </c>
      <c r="HJ154" s="144">
        <f t="shared" si="517"/>
        <v>49407.943585881178</v>
      </c>
      <c r="HK154" s="138">
        <f t="shared" si="354"/>
        <v>0.25</v>
      </c>
      <c r="HL154" s="116">
        <f t="shared" si="518"/>
        <v>2175570</v>
      </c>
      <c r="HM154" s="2">
        <f t="shared" si="355"/>
        <v>1.5748031496062995E-2</v>
      </c>
      <c r="HN154" s="8">
        <f t="shared" si="519"/>
        <v>3.6852166533600004</v>
      </c>
      <c r="HO154" s="116">
        <f t="shared" si="520"/>
        <v>2610.6840000000002</v>
      </c>
      <c r="HP154" s="217">
        <f t="shared" si="521"/>
        <v>1.1921440538129631</v>
      </c>
      <c r="HQ154" s="207">
        <f t="shared" si="522"/>
        <v>2</v>
      </c>
      <c r="HR154" s="144">
        <f t="shared" si="523"/>
        <v>49407.943585881178</v>
      </c>
      <c r="HS154" s="128">
        <f t="shared" si="524"/>
        <v>0.25</v>
      </c>
      <c r="HT154" s="2">
        <f t="shared" si="525"/>
        <v>1.5748031496062995E-2</v>
      </c>
      <c r="HU154" s="127">
        <f t="shared" si="526"/>
        <v>1.5748031496062995E-2</v>
      </c>
      <c r="HV154" s="216">
        <f t="shared" si="527"/>
        <v>0</v>
      </c>
      <c r="HW154" s="138">
        <f t="shared" si="528"/>
        <v>0</v>
      </c>
      <c r="HX154" s="138">
        <f t="shared" si="529"/>
        <v>0</v>
      </c>
      <c r="HY154" s="238">
        <f t="shared" si="530"/>
        <v>0.25</v>
      </c>
      <c r="HZ154" s="138">
        <f t="shared" si="531"/>
        <v>0</v>
      </c>
      <c r="IA154" s="138">
        <f t="shared" si="532"/>
        <v>0</v>
      </c>
      <c r="IB154" s="138">
        <f t="shared" si="533"/>
        <v>0</v>
      </c>
      <c r="IC154" s="138">
        <f t="shared" si="534"/>
        <v>0.25</v>
      </c>
      <c r="ID154" s="216">
        <f t="shared" si="535"/>
        <v>0</v>
      </c>
      <c r="IE154" s="138">
        <f t="shared" si="536"/>
        <v>0</v>
      </c>
      <c r="IF154" s="138">
        <f t="shared" si="537"/>
        <v>0</v>
      </c>
      <c r="IG154" s="238">
        <f t="shared" si="538"/>
        <v>1.5748031496062995E-2</v>
      </c>
      <c r="IH154" s="138">
        <f t="shared" si="539"/>
        <v>0</v>
      </c>
      <c r="II154" s="138">
        <f t="shared" si="540"/>
        <v>0</v>
      </c>
      <c r="IJ154" s="138">
        <f t="shared" si="541"/>
        <v>0</v>
      </c>
      <c r="IK154" s="138">
        <f t="shared" si="542"/>
        <v>1.5748031496062995E-2</v>
      </c>
      <c r="IL154" s="216">
        <f t="shared" si="543"/>
        <v>0</v>
      </c>
      <c r="IM154" s="138">
        <f t="shared" si="544"/>
        <v>0</v>
      </c>
      <c r="IN154" s="138">
        <f t="shared" si="545"/>
        <v>0</v>
      </c>
      <c r="IO154" s="238">
        <f t="shared" si="546"/>
        <v>1.5748031496062995E-2</v>
      </c>
      <c r="IP154" s="138">
        <f t="shared" si="547"/>
        <v>0</v>
      </c>
      <c r="IQ154" s="138">
        <f t="shared" si="548"/>
        <v>0</v>
      </c>
      <c r="IR154" s="138">
        <f t="shared" si="549"/>
        <v>0</v>
      </c>
      <c r="IS154" s="138">
        <f t="shared" si="550"/>
        <v>1.5748031496062995E-2</v>
      </c>
      <c r="IT154" s="17">
        <f t="shared" si="551"/>
        <v>0.25</v>
      </c>
      <c r="IU154" s="17">
        <f t="shared" si="552"/>
        <v>1.5748031496062995E-2</v>
      </c>
      <c r="IV154" s="17">
        <f t="shared" si="553"/>
        <v>1.5748031496062995E-2</v>
      </c>
      <c r="IW154" s="253">
        <f t="shared" si="554"/>
        <v>20.473425851999998</v>
      </c>
      <c r="IX154" s="116">
        <f t="shared" si="356"/>
        <v>14.838665406417</v>
      </c>
      <c r="IY154" s="8">
        <f t="shared" si="357"/>
        <v>3.836580432304896E-4</v>
      </c>
      <c r="IZ154" s="8">
        <f t="shared" si="555"/>
        <v>3.836580432304896E-4</v>
      </c>
      <c r="JA154" s="8">
        <f t="shared" si="556"/>
        <v>1.918290216152448E-4</v>
      </c>
      <c r="JB154" s="134">
        <f t="shared" si="557"/>
        <v>1.3850235435372383E-2</v>
      </c>
      <c r="JC154" s="170">
        <f t="shared" si="567"/>
        <v>5.2711395752220482E-4</v>
      </c>
      <c r="JD154" s="272">
        <f t="shared" si="568"/>
        <v>2.2958962466152619E-2</v>
      </c>
      <c r="JE154" s="8"/>
      <c r="JF154" s="8"/>
    </row>
    <row r="155" spans="1:266" x14ac:dyDescent="0.25">
      <c r="A155" s="186">
        <v>95</v>
      </c>
      <c r="B155" s="187">
        <f>A155/100*'Inputs-Imperial'!$E$5</f>
        <v>22.877297319999997</v>
      </c>
      <c r="C155" s="188">
        <f>'Inputs-Imperial'!$E$10+('Inputs-Imperial'!$E$9-'Inputs-Imperial'!$E$10)*(100-A155)/100</f>
        <v>3.3944390850000001</v>
      </c>
      <c r="D155" s="187">
        <f t="shared" si="558"/>
        <v>0.24081365600000026</v>
      </c>
      <c r="E155" s="188">
        <f t="shared" si="559"/>
        <v>0.81957035391949296</v>
      </c>
      <c r="F155" s="423">
        <f>Loads!P115</f>
        <v>25.682978094637896</v>
      </c>
      <c r="G155" s="423">
        <f>Loads!M115</f>
        <v>256.829780946379</v>
      </c>
      <c r="H155" s="423">
        <f>Loads!N115</f>
        <v>176.970000672152</v>
      </c>
      <c r="I155" s="423">
        <f>Loads!V115</f>
        <v>-304.97375609246745</v>
      </c>
      <c r="J155" s="423">
        <f>Loads!Q115</f>
        <v>17.6970000672152</v>
      </c>
      <c r="K155" s="2">
        <v>95</v>
      </c>
      <c r="L155" s="12">
        <f t="shared" si="358"/>
        <v>274.52756783999996</v>
      </c>
      <c r="M155" s="11">
        <f t="shared" si="359"/>
        <v>40.733269020000002</v>
      </c>
      <c r="N155" s="11">
        <f t="shared" si="360"/>
        <v>2.8897638720000032</v>
      </c>
      <c r="O155" s="152">
        <f t="shared" si="361"/>
        <v>118.01813096440699</v>
      </c>
      <c r="P155" s="151">
        <f t="shared" si="362"/>
        <v>25.682978094637896</v>
      </c>
      <c r="Q155" s="12">
        <f t="shared" si="363"/>
        <v>256.829780946379</v>
      </c>
      <c r="R155" s="12">
        <f t="shared" si="364"/>
        <v>2123.6400080658241</v>
      </c>
      <c r="S155" s="12">
        <f t="shared" si="365"/>
        <v>-3659.6850731096092</v>
      </c>
      <c r="T155" s="152">
        <f t="shared" si="366"/>
        <v>212.3640008065824</v>
      </c>
      <c r="U155" s="8">
        <f t="shared" si="313"/>
        <v>7.3319884236000004</v>
      </c>
      <c r="V155" s="8">
        <f t="shared" si="314"/>
        <v>7.3319884236000004</v>
      </c>
      <c r="W155" s="134">
        <f t="shared" si="315"/>
        <v>3.6659942118000002</v>
      </c>
      <c r="X155" s="311">
        <f t="shared" si="316"/>
        <v>10.183317255</v>
      </c>
      <c r="Y155" s="11">
        <f t="shared" si="317"/>
        <v>30.549951765000003</v>
      </c>
      <c r="Z155" s="11">
        <f t="shared" si="318"/>
        <v>20.366634510000004</v>
      </c>
      <c r="AA155" s="316">
        <f t="shared" si="367"/>
        <v>30.549951765000003</v>
      </c>
      <c r="AB155" s="170">
        <f t="shared" si="368"/>
        <v>5.4989913176999998</v>
      </c>
      <c r="AC155" s="11">
        <f t="shared" si="369"/>
        <v>30.549951765000003</v>
      </c>
      <c r="AD155" s="152">
        <f t="shared" si="370"/>
        <v>131.9421158465762</v>
      </c>
      <c r="AE155" s="151">
        <f t="shared" si="319"/>
        <v>0.84068800802697086</v>
      </c>
      <c r="AF155" s="12">
        <f t="shared" si="320"/>
        <v>13.868525033224163</v>
      </c>
      <c r="AG155" s="216">
        <f t="shared" si="321"/>
        <v>9.6368639174838281E-4</v>
      </c>
      <c r="AH155" s="2">
        <f t="shared" si="371"/>
        <v>1</v>
      </c>
      <c r="AI155" s="2">
        <f t="shared" si="372"/>
        <v>3</v>
      </c>
      <c r="AJ155" s="127">
        <f t="shared" si="373"/>
        <v>2</v>
      </c>
      <c r="AK155" s="2">
        <f t="shared" si="374"/>
        <v>1.5748031496062995E-2</v>
      </c>
      <c r="AL155" s="8">
        <f t="shared" si="322"/>
        <v>1.0141627050325524E-2</v>
      </c>
      <c r="AM155" s="138">
        <f t="shared" si="375"/>
        <v>0.25</v>
      </c>
      <c r="AN155" s="12">
        <f t="shared" si="323"/>
        <v>840.6315253075021</v>
      </c>
      <c r="AO155" s="138">
        <f t="shared" si="376"/>
        <v>0.25</v>
      </c>
      <c r="AP155" s="116">
        <f t="shared" si="377"/>
        <v>2175570</v>
      </c>
      <c r="AQ155" s="2">
        <f t="shared" si="378"/>
        <v>1.5748031496062995E-2</v>
      </c>
      <c r="AR155" s="8">
        <f t="shared" si="379"/>
        <v>20.366634510000004</v>
      </c>
      <c r="AS155" s="116">
        <f t="shared" si="380"/>
        <v>2610.6840000000002</v>
      </c>
      <c r="AT155" s="217">
        <f t="shared" si="381"/>
        <v>3.9031590382185836E-2</v>
      </c>
      <c r="AU155" s="207">
        <f t="shared" si="382"/>
        <v>4.6602177071048239</v>
      </c>
      <c r="AV155" s="144">
        <f t="shared" si="383"/>
        <v>3769.2982161146956</v>
      </c>
      <c r="AW155" s="138">
        <f t="shared" si="384"/>
        <v>0.25</v>
      </c>
      <c r="AX155" s="116">
        <f t="shared" si="385"/>
        <v>2175570</v>
      </c>
      <c r="AY155" s="2">
        <f t="shared" si="386"/>
        <v>1.5748031496062995E-2</v>
      </c>
      <c r="AZ155" s="8">
        <f t="shared" si="387"/>
        <v>20.366634510000004</v>
      </c>
      <c r="BA155" s="116">
        <f t="shared" si="388"/>
        <v>2610.6840000000002</v>
      </c>
      <c r="BB155" s="217">
        <f t="shared" si="389"/>
        <v>3.9031590382185836E-2</v>
      </c>
      <c r="BC155" s="207">
        <f t="shared" si="390"/>
        <v>4.6602177071048239</v>
      </c>
      <c r="BD155" s="144">
        <f t="shared" si="391"/>
        <v>3769.2982161146956</v>
      </c>
      <c r="BE155" s="138">
        <f t="shared" si="392"/>
        <v>0.25</v>
      </c>
      <c r="BF155" s="116">
        <f t="shared" si="393"/>
        <v>2175570</v>
      </c>
      <c r="BG155" s="2">
        <f t="shared" si="394"/>
        <v>1.5748031496062995E-2</v>
      </c>
      <c r="BH155" s="8">
        <f t="shared" si="395"/>
        <v>20.366634510000004</v>
      </c>
      <c r="BI155" s="116">
        <f t="shared" si="396"/>
        <v>2610.6840000000002</v>
      </c>
      <c r="BJ155" s="217">
        <f t="shared" si="397"/>
        <v>3.9031590382185836E-2</v>
      </c>
      <c r="BK155" s="207">
        <f t="shared" si="398"/>
        <v>4.6602177071048239</v>
      </c>
      <c r="BL155" s="144">
        <f t="shared" si="399"/>
        <v>3769.2982161146956</v>
      </c>
      <c r="BM155" s="216">
        <f t="shared" si="400"/>
        <v>0.25</v>
      </c>
      <c r="BN155" s="216">
        <f t="shared" si="401"/>
        <v>2.3622047244094495E-2</v>
      </c>
      <c r="BO155" s="238">
        <f t="shared" si="402"/>
        <v>1.5748031496062995E-2</v>
      </c>
      <c r="BP155" s="216">
        <f t="shared" si="403"/>
        <v>0</v>
      </c>
      <c r="BQ155" s="138">
        <f t="shared" si="404"/>
        <v>0</v>
      </c>
      <c r="BR155" s="138">
        <f t="shared" si="405"/>
        <v>0</v>
      </c>
      <c r="BS155" s="238">
        <f t="shared" si="406"/>
        <v>0.25</v>
      </c>
      <c r="BT155" s="138">
        <f t="shared" si="407"/>
        <v>0</v>
      </c>
      <c r="BU155" s="138">
        <f t="shared" si="408"/>
        <v>0</v>
      </c>
      <c r="BV155" s="138">
        <f t="shared" si="409"/>
        <v>0</v>
      </c>
      <c r="BW155" s="238">
        <f t="shared" si="410"/>
        <v>0.75</v>
      </c>
      <c r="BX155" s="216">
        <f t="shared" si="411"/>
        <v>0</v>
      </c>
      <c r="BY155" s="138">
        <f t="shared" si="412"/>
        <v>0</v>
      </c>
      <c r="BZ155" s="138">
        <f t="shared" si="413"/>
        <v>0</v>
      </c>
      <c r="CA155" s="238">
        <f t="shared" si="414"/>
        <v>2.3622047244094495E-2</v>
      </c>
      <c r="CB155" s="138">
        <f t="shared" si="415"/>
        <v>0</v>
      </c>
      <c r="CC155" s="138">
        <f t="shared" si="416"/>
        <v>0</v>
      </c>
      <c r="CD155" s="138">
        <f t="shared" si="417"/>
        <v>0</v>
      </c>
      <c r="CE155" s="238">
        <f t="shared" si="418"/>
        <v>2.3622047244094495E-2</v>
      </c>
      <c r="CF155" s="216">
        <f t="shared" si="419"/>
        <v>0</v>
      </c>
      <c r="CG155" s="138">
        <f t="shared" si="420"/>
        <v>0</v>
      </c>
      <c r="CH155" s="138">
        <f t="shared" si="421"/>
        <v>0</v>
      </c>
      <c r="CI155" s="238">
        <f t="shared" si="422"/>
        <v>1.5748031496062995E-2</v>
      </c>
      <c r="CJ155" s="138">
        <f t="shared" si="423"/>
        <v>0</v>
      </c>
      <c r="CK155" s="138">
        <f t="shared" si="424"/>
        <v>0</v>
      </c>
      <c r="CL155" s="138">
        <f t="shared" si="425"/>
        <v>0</v>
      </c>
      <c r="CM155" s="238">
        <f t="shared" si="426"/>
        <v>1.5748031496062995E-2</v>
      </c>
      <c r="CN155" s="17">
        <f t="shared" si="427"/>
        <v>0.75</v>
      </c>
      <c r="CO155" s="17">
        <f t="shared" si="428"/>
        <v>2.3622047244094495E-2</v>
      </c>
      <c r="CP155" s="17">
        <f t="shared" si="429"/>
        <v>1.5748031496062995E-2</v>
      </c>
      <c r="CQ155" s="17">
        <f>$U155-IF('Inputs-Imperial'!$E$13,0,2)*($CO155+$CN155+$CP155)</f>
        <v>7.3319884236000004</v>
      </c>
      <c r="CR155" s="116">
        <f t="shared" si="430"/>
        <v>289.64039294310811</v>
      </c>
      <c r="CS155" s="8">
        <f t="shared" si="324"/>
        <v>7.4887372518695466E-3</v>
      </c>
      <c r="CT155" s="8">
        <f t="shared" si="431"/>
        <v>8.6537490441250642E-2</v>
      </c>
      <c r="CU155" s="8">
        <f t="shared" si="325"/>
        <v>7.4887372518695466E-3</v>
      </c>
      <c r="CV155" s="8">
        <f t="shared" si="432"/>
        <v>8.6537490441250642E-2</v>
      </c>
      <c r="CW155" s="216">
        <f t="shared" si="433"/>
        <v>7.2454509331587502</v>
      </c>
      <c r="CX155" s="116">
        <f t="shared" si="434"/>
        <v>293.09977082958386</v>
      </c>
      <c r="CY155" s="8">
        <f t="shared" si="435"/>
        <v>7.5781804810528238E-3</v>
      </c>
      <c r="CZ155" s="8">
        <f t="shared" si="436"/>
        <v>8.705274539641368E-2</v>
      </c>
      <c r="DA155" s="8">
        <f t="shared" si="437"/>
        <v>7.5781804810528238E-3</v>
      </c>
      <c r="DB155" s="8">
        <f t="shared" si="438"/>
        <v>8.705274539641368E-2</v>
      </c>
      <c r="DC155" s="216">
        <f t="shared" si="439"/>
        <v>7.2449356782035874</v>
      </c>
      <c r="DD155" s="116">
        <f t="shared" si="440"/>
        <v>293.12061588825446</v>
      </c>
      <c r="DE155" s="8">
        <f t="shared" si="441"/>
        <v>7.5787194361543464E-3</v>
      </c>
      <c r="DF155" s="8">
        <f t="shared" si="442"/>
        <v>8.7055840907743501E-2</v>
      </c>
      <c r="DG155" s="8">
        <f t="shared" si="443"/>
        <v>7.5787194361543464E-3</v>
      </c>
      <c r="DH155" s="8">
        <f t="shared" si="444"/>
        <v>8.7055840907743501E-2</v>
      </c>
      <c r="DI155" s="216">
        <f t="shared" si="445"/>
        <v>7.2449325826922575</v>
      </c>
      <c r="DJ155" s="116">
        <f t="shared" si="446"/>
        <v>293.12074112864519</v>
      </c>
      <c r="DK155" s="8">
        <f t="shared" si="447"/>
        <v>7.5787226742813569E-3</v>
      </c>
      <c r="DL155" s="8">
        <f t="shared" si="448"/>
        <v>8.7055859505729749E-2</v>
      </c>
      <c r="DM155" s="8">
        <f t="shared" si="449"/>
        <v>7.5787226742813569E-3</v>
      </c>
      <c r="DN155" s="8">
        <f t="shared" si="450"/>
        <v>8.7055859505729749E-2</v>
      </c>
      <c r="DO155" s="216">
        <f t="shared" si="451"/>
        <v>7.2449325640942703</v>
      </c>
      <c r="DP155" s="116">
        <f t="shared" si="452"/>
        <v>293.12074188109608</v>
      </c>
      <c r="DQ155" s="170">
        <f t="shared" si="453"/>
        <v>7.5787226937361948E-3</v>
      </c>
      <c r="DR155" s="8">
        <f t="shared" si="454"/>
        <v>8.7055859617467424E-2</v>
      </c>
      <c r="DS155" s="8">
        <f t="shared" si="455"/>
        <v>7.5787226937361948E-3</v>
      </c>
      <c r="DT155" s="134">
        <f t="shared" si="456"/>
        <v>8.7055859617467424E-2</v>
      </c>
      <c r="DU155" s="170">
        <f t="shared" si="566"/>
        <v>2.9973794920998782E-2</v>
      </c>
      <c r="DV155" s="170">
        <f t="shared" si="566"/>
        <v>0.17312941668300849</v>
      </c>
      <c r="DW155" s="170">
        <f t="shared" si="566"/>
        <v>2.9973794920998782E-2</v>
      </c>
      <c r="DX155" s="272">
        <f t="shared" si="566"/>
        <v>0.17312941668300849</v>
      </c>
      <c r="DY155" s="272">
        <f t="shared" si="457"/>
        <v>6.9857295902339835</v>
      </c>
      <c r="DZ155" s="22">
        <f t="shared" si="326"/>
        <v>35.028667001123793</v>
      </c>
      <c r="EA155" s="216">
        <f t="shared" si="327"/>
        <v>2.2949324083756262E-3</v>
      </c>
      <c r="EB155" s="12">
        <f t="shared" si="458"/>
        <v>1</v>
      </c>
      <c r="EC155" s="7">
        <f>ROUND(MAX(DV155,DX155)/'Inputs-Imperial'!$E$21,0)</f>
        <v>1</v>
      </c>
      <c r="ED155" s="12">
        <f t="shared" si="459"/>
        <v>1</v>
      </c>
      <c r="EE155" s="2">
        <f t="shared" si="460"/>
        <v>2</v>
      </c>
      <c r="EF155" s="127">
        <f t="shared" si="461"/>
        <v>2</v>
      </c>
      <c r="EG155" s="2">
        <f t="shared" si="462"/>
        <v>1.5748031496062995E-2</v>
      </c>
      <c r="EH155" s="8">
        <f t="shared" si="328"/>
        <v>2.41513720549951E-2</v>
      </c>
      <c r="EI155" s="138">
        <f t="shared" si="463"/>
        <v>0.25</v>
      </c>
      <c r="EJ155" s="12">
        <f t="shared" si="329"/>
        <v>2001.8883191142245</v>
      </c>
      <c r="EK155" s="138">
        <f t="shared" si="464"/>
        <v>0.25</v>
      </c>
      <c r="EL155" s="116">
        <f t="shared" si="465"/>
        <v>2175570</v>
      </c>
      <c r="EM155" s="2">
        <f t="shared" si="330"/>
        <v>1.5748031496062995E-2</v>
      </c>
      <c r="EN155" s="8">
        <f t="shared" si="466"/>
        <v>7.3319884236000004</v>
      </c>
      <c r="EO155" s="116">
        <f t="shared" si="467"/>
        <v>2610.6840000000002</v>
      </c>
      <c r="EP155" s="217">
        <f t="shared" si="468"/>
        <v>0.30116967887489082</v>
      </c>
      <c r="EQ155" s="207">
        <f t="shared" si="469"/>
        <v>2.5984283387436884</v>
      </c>
      <c r="ER155" s="144">
        <f t="shared" si="470"/>
        <v>16216.608635513918</v>
      </c>
      <c r="ES155" s="138">
        <f t="shared" si="331"/>
        <v>0.25</v>
      </c>
      <c r="ET155" s="116">
        <f t="shared" si="471"/>
        <v>2175570</v>
      </c>
      <c r="EU155" s="2">
        <f t="shared" si="332"/>
        <v>1.5748031496062995E-2</v>
      </c>
      <c r="EV155" s="8">
        <f t="shared" si="472"/>
        <v>7.3319884236000004</v>
      </c>
      <c r="EW155" s="116">
        <f t="shared" si="473"/>
        <v>2610.6840000000002</v>
      </c>
      <c r="EX155" s="217">
        <f t="shared" si="474"/>
        <v>0.30116967887489082</v>
      </c>
      <c r="EY155" s="207">
        <f t="shared" si="475"/>
        <v>2.5984283387436884</v>
      </c>
      <c r="EZ155" s="144">
        <f t="shared" si="476"/>
        <v>16216.608635513918</v>
      </c>
      <c r="FA155" s="138">
        <f t="shared" si="333"/>
        <v>0.25</v>
      </c>
      <c r="FB155" s="116">
        <f t="shared" si="477"/>
        <v>2175570</v>
      </c>
      <c r="FC155" s="2">
        <f t="shared" si="334"/>
        <v>1.5748031496062995E-2</v>
      </c>
      <c r="FD155" s="8">
        <f t="shared" si="478"/>
        <v>7.3319884236000004</v>
      </c>
      <c r="FE155" s="116">
        <f t="shared" si="479"/>
        <v>2610.6840000000002</v>
      </c>
      <c r="FF155" s="217">
        <f t="shared" si="480"/>
        <v>0.30116967887489082</v>
      </c>
      <c r="FG155" s="207">
        <f t="shared" si="481"/>
        <v>2.5984283387436884</v>
      </c>
      <c r="FH155" s="144">
        <f t="shared" si="482"/>
        <v>16216.608635513918</v>
      </c>
      <c r="FI155" s="128">
        <f t="shared" si="483"/>
        <v>0.25</v>
      </c>
      <c r="FJ155" s="2">
        <f t="shared" si="484"/>
        <v>1.5748031496062995E-2</v>
      </c>
      <c r="FK155" s="127">
        <f t="shared" si="485"/>
        <v>1.5748031496062995E-2</v>
      </c>
      <c r="FL155" s="216">
        <f t="shared" si="486"/>
        <v>0</v>
      </c>
      <c r="FM155" s="138">
        <f t="shared" si="487"/>
        <v>0</v>
      </c>
      <c r="FN155" s="138">
        <f t="shared" si="488"/>
        <v>0</v>
      </c>
      <c r="FO155" s="238">
        <f t="shared" si="489"/>
        <v>0.25</v>
      </c>
      <c r="FP155" s="216">
        <f t="shared" si="335"/>
        <v>0</v>
      </c>
      <c r="FQ155" s="138">
        <f t="shared" si="336"/>
        <v>0</v>
      </c>
      <c r="FR155" s="138">
        <f t="shared" si="337"/>
        <v>0</v>
      </c>
      <c r="FS155" s="238">
        <f t="shared" si="338"/>
        <v>0.25</v>
      </c>
      <c r="FT155" s="216">
        <f t="shared" si="490"/>
        <v>0</v>
      </c>
      <c r="FU155" s="138">
        <f t="shared" si="491"/>
        <v>0</v>
      </c>
      <c r="FV155" s="138">
        <f t="shared" si="492"/>
        <v>0</v>
      </c>
      <c r="FW155" s="238">
        <f t="shared" si="493"/>
        <v>1.5748031496062995E-2</v>
      </c>
      <c r="FX155" s="216">
        <f t="shared" si="339"/>
        <v>0</v>
      </c>
      <c r="FY155" s="138">
        <f t="shared" si="340"/>
        <v>0</v>
      </c>
      <c r="FZ155" s="138">
        <f t="shared" si="341"/>
        <v>0</v>
      </c>
      <c r="GA155" s="238">
        <f t="shared" si="342"/>
        <v>2.3622047244094495E-2</v>
      </c>
      <c r="GB155" s="216">
        <f t="shared" si="494"/>
        <v>0</v>
      </c>
      <c r="GC155" s="138">
        <f t="shared" si="495"/>
        <v>0</v>
      </c>
      <c r="GD155" s="138">
        <f t="shared" si="496"/>
        <v>0</v>
      </c>
      <c r="GE155" s="238">
        <f t="shared" si="497"/>
        <v>1.5748031496062995E-2</v>
      </c>
      <c r="GF155" s="216">
        <f t="shared" si="343"/>
        <v>0</v>
      </c>
      <c r="GG155" s="138">
        <f t="shared" si="344"/>
        <v>0</v>
      </c>
      <c r="GH155" s="138">
        <f t="shared" si="345"/>
        <v>0</v>
      </c>
      <c r="GI155" s="238">
        <f t="shared" si="346"/>
        <v>2.3622047244094495E-2</v>
      </c>
      <c r="GJ155" s="216">
        <f t="shared" si="498"/>
        <v>0.25</v>
      </c>
      <c r="GK155" s="216">
        <f t="shared" si="499"/>
        <v>2.3622047244094495E-2</v>
      </c>
      <c r="GL155" s="17">
        <f t="shared" si="500"/>
        <v>2.3622047244094495E-2</v>
      </c>
      <c r="GM155" s="216">
        <f t="shared" si="347"/>
        <v>9.0860801394736777E-4</v>
      </c>
      <c r="GN155" s="2">
        <f t="shared" si="501"/>
        <v>1</v>
      </c>
      <c r="GO155" s="2">
        <f t="shared" si="502"/>
        <v>2</v>
      </c>
      <c r="GP155" s="142">
        <f t="shared" si="503"/>
        <v>2</v>
      </c>
      <c r="GQ155" s="2">
        <f t="shared" si="504"/>
        <v>1.5748031496062995E-2</v>
      </c>
      <c r="GR155" s="8">
        <f t="shared" si="348"/>
        <v>9.561994121005642E-3</v>
      </c>
      <c r="GS155" s="138">
        <f t="shared" si="505"/>
        <v>0.25</v>
      </c>
      <c r="GT155" s="12">
        <f t="shared" si="349"/>
        <v>792.58620564876082</v>
      </c>
      <c r="GU155" s="138">
        <f t="shared" si="506"/>
        <v>0.25</v>
      </c>
      <c r="GV155" s="116">
        <f t="shared" si="507"/>
        <v>2175570</v>
      </c>
      <c r="GW155" s="2">
        <f t="shared" si="350"/>
        <v>1.5748031496062995E-2</v>
      </c>
      <c r="GX155" s="8">
        <f t="shared" si="351"/>
        <v>3.6659942118000002</v>
      </c>
      <c r="GY155" s="116">
        <f t="shared" si="508"/>
        <v>2610.6840000000002</v>
      </c>
      <c r="GZ155" s="217">
        <f t="shared" si="509"/>
        <v>1.2046787154995633</v>
      </c>
      <c r="HA155" s="207">
        <f t="shared" si="510"/>
        <v>2</v>
      </c>
      <c r="HB155" s="144">
        <f t="shared" si="511"/>
        <v>49927.437732162274</v>
      </c>
      <c r="HC155" s="138">
        <f t="shared" si="352"/>
        <v>0.25</v>
      </c>
      <c r="HD155" s="116">
        <f t="shared" si="512"/>
        <v>2175570</v>
      </c>
      <c r="HE155" s="2">
        <f t="shared" si="353"/>
        <v>1.5748031496062995E-2</v>
      </c>
      <c r="HF155" s="8">
        <f t="shared" si="513"/>
        <v>3.6659942118000002</v>
      </c>
      <c r="HG155" s="116">
        <f t="shared" si="514"/>
        <v>2610.6840000000002</v>
      </c>
      <c r="HH155" s="217">
        <f t="shared" si="515"/>
        <v>1.2046787154995633</v>
      </c>
      <c r="HI155" s="207">
        <f t="shared" si="516"/>
        <v>2</v>
      </c>
      <c r="HJ155" s="144">
        <f t="shared" si="517"/>
        <v>49927.437732162274</v>
      </c>
      <c r="HK155" s="138">
        <f t="shared" si="354"/>
        <v>0.25</v>
      </c>
      <c r="HL155" s="116">
        <f t="shared" si="518"/>
        <v>2175570</v>
      </c>
      <c r="HM155" s="2">
        <f t="shared" si="355"/>
        <v>1.5748031496062995E-2</v>
      </c>
      <c r="HN155" s="8">
        <f t="shared" si="519"/>
        <v>3.6659942118000002</v>
      </c>
      <c r="HO155" s="116">
        <f t="shared" si="520"/>
        <v>2610.6840000000002</v>
      </c>
      <c r="HP155" s="217">
        <f t="shared" si="521"/>
        <v>1.2046787154995633</v>
      </c>
      <c r="HQ155" s="207">
        <f t="shared" si="522"/>
        <v>2</v>
      </c>
      <c r="HR155" s="144">
        <f t="shared" si="523"/>
        <v>49927.437732162274</v>
      </c>
      <c r="HS155" s="128">
        <f t="shared" si="524"/>
        <v>0.25</v>
      </c>
      <c r="HT155" s="2">
        <f t="shared" si="525"/>
        <v>1.5748031496062995E-2</v>
      </c>
      <c r="HU155" s="127">
        <f t="shared" si="526"/>
        <v>1.5748031496062995E-2</v>
      </c>
      <c r="HV155" s="216">
        <f t="shared" si="527"/>
        <v>0</v>
      </c>
      <c r="HW155" s="138">
        <f t="shared" si="528"/>
        <v>0</v>
      </c>
      <c r="HX155" s="138">
        <f t="shared" si="529"/>
        <v>0</v>
      </c>
      <c r="HY155" s="238">
        <f t="shared" si="530"/>
        <v>0.25</v>
      </c>
      <c r="HZ155" s="138">
        <f t="shared" si="531"/>
        <v>0</v>
      </c>
      <c r="IA155" s="138">
        <f t="shared" si="532"/>
        <v>0</v>
      </c>
      <c r="IB155" s="138">
        <f t="shared" si="533"/>
        <v>0</v>
      </c>
      <c r="IC155" s="138">
        <f t="shared" si="534"/>
        <v>0.25</v>
      </c>
      <c r="ID155" s="216">
        <f t="shared" si="535"/>
        <v>0</v>
      </c>
      <c r="IE155" s="138">
        <f t="shared" si="536"/>
        <v>0</v>
      </c>
      <c r="IF155" s="138">
        <f t="shared" si="537"/>
        <v>0</v>
      </c>
      <c r="IG155" s="238">
        <f t="shared" si="538"/>
        <v>1.5748031496062995E-2</v>
      </c>
      <c r="IH155" s="138">
        <f t="shared" si="539"/>
        <v>0</v>
      </c>
      <c r="II155" s="138">
        <f t="shared" si="540"/>
        <v>0</v>
      </c>
      <c r="IJ155" s="138">
        <f t="shared" si="541"/>
        <v>0</v>
      </c>
      <c r="IK155" s="138">
        <f t="shared" si="542"/>
        <v>1.5748031496062995E-2</v>
      </c>
      <c r="IL155" s="216">
        <f t="shared" si="543"/>
        <v>0</v>
      </c>
      <c r="IM155" s="138">
        <f t="shared" si="544"/>
        <v>0</v>
      </c>
      <c r="IN155" s="138">
        <f t="shared" si="545"/>
        <v>0</v>
      </c>
      <c r="IO155" s="238">
        <f t="shared" si="546"/>
        <v>1.5748031496062995E-2</v>
      </c>
      <c r="IP155" s="138">
        <f t="shared" si="547"/>
        <v>0</v>
      </c>
      <c r="IQ155" s="138">
        <f t="shared" si="548"/>
        <v>0</v>
      </c>
      <c r="IR155" s="138">
        <f t="shared" si="549"/>
        <v>0</v>
      </c>
      <c r="IS155" s="138">
        <f t="shared" si="550"/>
        <v>1.5748031496062995E-2</v>
      </c>
      <c r="IT155" s="17">
        <f t="shared" si="551"/>
        <v>0.25</v>
      </c>
      <c r="IU155" s="17">
        <f t="shared" si="552"/>
        <v>1.5748031496062995E-2</v>
      </c>
      <c r="IV155" s="17">
        <f t="shared" si="553"/>
        <v>1.5748031496062995E-2</v>
      </c>
      <c r="IW155" s="253">
        <f t="shared" si="554"/>
        <v>20.366634510000004</v>
      </c>
      <c r="IX155" s="116">
        <f t="shared" si="356"/>
        <v>10.427054145951891</v>
      </c>
      <c r="IY155" s="8">
        <f t="shared" si="357"/>
        <v>2.6959454106730365E-4</v>
      </c>
      <c r="IZ155" s="8">
        <f t="shared" si="555"/>
        <v>2.6959454106730365E-4</v>
      </c>
      <c r="JA155" s="8">
        <f t="shared" si="556"/>
        <v>1.3479727053365183E-4</v>
      </c>
      <c r="JB155" s="134">
        <f t="shared" si="557"/>
        <v>1.1610222673732483E-2</v>
      </c>
      <c r="JC155" s="170">
        <f t="shared" si="567"/>
        <v>5.2711395752220482E-4</v>
      </c>
      <c r="JD155" s="272">
        <f t="shared" si="568"/>
        <v>2.2958962466152619E-2</v>
      </c>
      <c r="JE155" s="8"/>
      <c r="JF155" s="8"/>
    </row>
    <row r="156" spans="1:266" x14ac:dyDescent="0.25">
      <c r="A156" s="186">
        <v>96</v>
      </c>
      <c r="B156" s="187">
        <f>A156/100*'Inputs-Imperial'!$E$5</f>
        <v>23.118110975999997</v>
      </c>
      <c r="C156" s="188">
        <f>'Inputs-Imperial'!$E$10+('Inputs-Imperial'!$E$9-'Inputs-Imperial'!$E$10)*(100-A156)/100</f>
        <v>3.3766405280000003</v>
      </c>
      <c r="D156" s="187">
        <f t="shared" si="558"/>
        <v>0.24081365600000026</v>
      </c>
      <c r="E156" s="188">
        <f t="shared" si="559"/>
        <v>0.81528421833679854</v>
      </c>
      <c r="F156" s="423">
        <f>Loads!P116</f>
        <v>19.934865001398848</v>
      </c>
      <c r="G156" s="423">
        <f>Loads!M116</f>
        <v>199.34865001398848</v>
      </c>
      <c r="H156" s="423">
        <f>Loads!N116</f>
        <v>115.12188215277526</v>
      </c>
      <c r="I156" s="423">
        <f>Loads!V116</f>
        <v>-227.95546138880047</v>
      </c>
      <c r="J156" s="423">
        <f>Loads!Q116</f>
        <v>11.512188215277526</v>
      </c>
      <c r="K156" s="2">
        <v>96</v>
      </c>
      <c r="L156" s="12">
        <f t="shared" si="358"/>
        <v>277.41733171199996</v>
      </c>
      <c r="M156" s="11">
        <f t="shared" si="359"/>
        <v>40.519686336000007</v>
      </c>
      <c r="N156" s="11">
        <f t="shared" si="360"/>
        <v>2.8897638720000032</v>
      </c>
      <c r="O156" s="152">
        <f t="shared" si="361"/>
        <v>117.40092744049899</v>
      </c>
      <c r="P156" s="151">
        <f t="shared" si="362"/>
        <v>19.934865001398848</v>
      </c>
      <c r="Q156" s="12">
        <f t="shared" si="363"/>
        <v>199.34865001398848</v>
      </c>
      <c r="R156" s="12">
        <f t="shared" si="364"/>
        <v>1381.4625858333031</v>
      </c>
      <c r="S156" s="12">
        <f t="shared" si="365"/>
        <v>-2735.4655366656057</v>
      </c>
      <c r="T156" s="152">
        <f t="shared" si="366"/>
        <v>138.14625858333031</v>
      </c>
      <c r="U156" s="8">
        <f t="shared" si="313"/>
        <v>7.2935435404800009</v>
      </c>
      <c r="V156" s="8">
        <f t="shared" si="314"/>
        <v>7.2935435404800009</v>
      </c>
      <c r="W156" s="134">
        <f t="shared" si="315"/>
        <v>3.6467717702400004</v>
      </c>
      <c r="X156" s="311">
        <f t="shared" si="316"/>
        <v>10.129921584000002</v>
      </c>
      <c r="Y156" s="11">
        <f t="shared" si="317"/>
        <v>30.389764752000005</v>
      </c>
      <c r="Z156" s="11">
        <f t="shared" ref="Z156:Z160" si="569">Y156-X156</f>
        <v>20.259843168000003</v>
      </c>
      <c r="AA156" s="316">
        <f t="shared" si="367"/>
        <v>30.389764752000005</v>
      </c>
      <c r="AB156" s="170">
        <f t="shared" si="368"/>
        <v>5.4701576553600004</v>
      </c>
      <c r="AC156" s="11">
        <f t="shared" si="369"/>
        <v>30.389764752000005</v>
      </c>
      <c r="AD156" s="152">
        <f t="shared" si="370"/>
        <v>130.56208078843486</v>
      </c>
      <c r="AE156" s="151">
        <f t="shared" si="319"/>
        <v>0.65597299498960082</v>
      </c>
      <c r="AF156" s="12">
        <f t="shared" si="320"/>
        <v>10.475727409316505</v>
      </c>
      <c r="AG156" s="216">
        <f t="shared" ref="AG156:AG160" si="570">((AE156+AF156)/$E$46)</f>
        <v>7.2930265994279933E-4</v>
      </c>
      <c r="AH156" s="2">
        <f t="shared" si="371"/>
        <v>1</v>
      </c>
      <c r="AI156" s="2">
        <f t="shared" si="372"/>
        <v>3</v>
      </c>
      <c r="AJ156" s="127">
        <f t="shared" si="373"/>
        <v>2</v>
      </c>
      <c r="AK156" s="2">
        <f t="shared" si="374"/>
        <v>1.5748031496062995E-2</v>
      </c>
      <c r="AL156" s="8">
        <f t="shared" si="322"/>
        <v>7.6750233761539079E-3</v>
      </c>
      <c r="AM156" s="138">
        <f t="shared" si="375"/>
        <v>0.25</v>
      </c>
      <c r="AN156" s="12">
        <f t="shared" si="323"/>
        <v>636.17667810609385</v>
      </c>
      <c r="AO156" s="138">
        <f t="shared" si="376"/>
        <v>0.25</v>
      </c>
      <c r="AP156" s="116">
        <f t="shared" si="377"/>
        <v>2175570</v>
      </c>
      <c r="AQ156" s="2">
        <f t="shared" si="378"/>
        <v>1.5748031496062995E-2</v>
      </c>
      <c r="AR156" s="8">
        <f t="shared" si="379"/>
        <v>20.259843168000003</v>
      </c>
      <c r="AS156" s="116">
        <f t="shared" si="380"/>
        <v>2610.6840000000002</v>
      </c>
      <c r="AT156" s="217">
        <f t="shared" si="381"/>
        <v>3.9444152458227771E-2</v>
      </c>
      <c r="AU156" s="207">
        <f t="shared" si="382"/>
        <v>4.6541432287995486</v>
      </c>
      <c r="AV156" s="144">
        <f t="shared" si="383"/>
        <v>3804.1744021412842</v>
      </c>
      <c r="AW156" s="138">
        <f t="shared" si="384"/>
        <v>0.25</v>
      </c>
      <c r="AX156" s="116">
        <f t="shared" si="385"/>
        <v>2175570</v>
      </c>
      <c r="AY156" s="2">
        <f t="shared" si="386"/>
        <v>1.5748031496062995E-2</v>
      </c>
      <c r="AZ156" s="8">
        <f t="shared" si="387"/>
        <v>20.259843168000003</v>
      </c>
      <c r="BA156" s="116">
        <f t="shared" si="388"/>
        <v>2610.6840000000002</v>
      </c>
      <c r="BB156" s="217">
        <f t="shared" si="389"/>
        <v>3.9444152458227771E-2</v>
      </c>
      <c r="BC156" s="207">
        <f t="shared" si="390"/>
        <v>4.6541432287995486</v>
      </c>
      <c r="BD156" s="144">
        <f t="shared" si="391"/>
        <v>3804.1744021412842</v>
      </c>
      <c r="BE156" s="138">
        <f t="shared" si="392"/>
        <v>0.25</v>
      </c>
      <c r="BF156" s="116">
        <f t="shared" si="393"/>
        <v>2175570</v>
      </c>
      <c r="BG156" s="2">
        <f t="shared" si="394"/>
        <v>1.5748031496062995E-2</v>
      </c>
      <c r="BH156" s="8">
        <f t="shared" si="395"/>
        <v>20.259843168000003</v>
      </c>
      <c r="BI156" s="116">
        <f t="shared" si="396"/>
        <v>2610.6840000000002</v>
      </c>
      <c r="BJ156" s="217">
        <f t="shared" si="397"/>
        <v>3.9444152458227771E-2</v>
      </c>
      <c r="BK156" s="207">
        <f t="shared" si="398"/>
        <v>4.6541432287995486</v>
      </c>
      <c r="BL156" s="144">
        <f t="shared" si="399"/>
        <v>3804.1744021412842</v>
      </c>
      <c r="BM156" s="216">
        <f t="shared" si="400"/>
        <v>0.25</v>
      </c>
      <c r="BN156" s="216">
        <f t="shared" si="401"/>
        <v>2.3622047244094495E-2</v>
      </c>
      <c r="BO156" s="238">
        <f t="shared" si="402"/>
        <v>1.5748031496062995E-2</v>
      </c>
      <c r="BP156" s="216">
        <f t="shared" si="403"/>
        <v>0</v>
      </c>
      <c r="BQ156" s="138">
        <f t="shared" si="404"/>
        <v>0</v>
      </c>
      <c r="BR156" s="138">
        <f t="shared" si="405"/>
        <v>0</v>
      </c>
      <c r="BS156" s="238">
        <f t="shared" si="406"/>
        <v>0.25</v>
      </c>
      <c r="BT156" s="138">
        <f t="shared" si="407"/>
        <v>0</v>
      </c>
      <c r="BU156" s="138">
        <f t="shared" si="408"/>
        <v>0</v>
      </c>
      <c r="BV156" s="138">
        <f t="shared" si="409"/>
        <v>0</v>
      </c>
      <c r="BW156" s="238">
        <f t="shared" si="410"/>
        <v>0.75</v>
      </c>
      <c r="BX156" s="216">
        <f t="shared" si="411"/>
        <v>0</v>
      </c>
      <c r="BY156" s="138">
        <f t="shared" si="412"/>
        <v>0</v>
      </c>
      <c r="BZ156" s="138">
        <f t="shared" si="413"/>
        <v>0</v>
      </c>
      <c r="CA156" s="238">
        <f t="shared" si="414"/>
        <v>2.3622047244094495E-2</v>
      </c>
      <c r="CB156" s="138">
        <f t="shared" si="415"/>
        <v>0</v>
      </c>
      <c r="CC156" s="138">
        <f t="shared" si="416"/>
        <v>0</v>
      </c>
      <c r="CD156" s="138">
        <f t="shared" si="417"/>
        <v>0</v>
      </c>
      <c r="CE156" s="238">
        <f t="shared" si="418"/>
        <v>2.3622047244094495E-2</v>
      </c>
      <c r="CF156" s="216">
        <f t="shared" si="419"/>
        <v>0</v>
      </c>
      <c r="CG156" s="138">
        <f t="shared" si="420"/>
        <v>0</v>
      </c>
      <c r="CH156" s="138">
        <f t="shared" si="421"/>
        <v>0</v>
      </c>
      <c r="CI156" s="238">
        <f t="shared" si="422"/>
        <v>1.5748031496062995E-2</v>
      </c>
      <c r="CJ156" s="138">
        <f t="shared" si="423"/>
        <v>0</v>
      </c>
      <c r="CK156" s="138">
        <f t="shared" si="424"/>
        <v>0</v>
      </c>
      <c r="CL156" s="138">
        <f t="shared" si="425"/>
        <v>0</v>
      </c>
      <c r="CM156" s="238">
        <f t="shared" si="426"/>
        <v>1.5748031496062995E-2</v>
      </c>
      <c r="CN156" s="17">
        <f t="shared" si="427"/>
        <v>0.75</v>
      </c>
      <c r="CO156" s="17">
        <f t="shared" si="428"/>
        <v>2.3622047244094495E-2</v>
      </c>
      <c r="CP156" s="17">
        <f t="shared" si="429"/>
        <v>1.5748031496062995E-2</v>
      </c>
      <c r="CQ156" s="17">
        <f>$U156-IF('Inputs-Imperial'!$E$13,0,2)*($CO156+$CN156+$CP156)</f>
        <v>7.2935435404800009</v>
      </c>
      <c r="CR156" s="116">
        <f t="shared" si="430"/>
        <v>189.40897221851461</v>
      </c>
      <c r="CS156" s="8">
        <f t="shared" si="324"/>
        <v>4.897224491646532E-3</v>
      </c>
      <c r="CT156" s="8">
        <f t="shared" si="431"/>
        <v>6.9980172132158486E-2</v>
      </c>
      <c r="CU156" s="8">
        <f t="shared" si="325"/>
        <v>4.897224491646532E-3</v>
      </c>
      <c r="CV156" s="8">
        <f t="shared" si="432"/>
        <v>6.9980172132158486E-2</v>
      </c>
      <c r="CW156" s="216">
        <f t="shared" si="433"/>
        <v>7.2235633683478424</v>
      </c>
      <c r="CX156" s="116">
        <f t="shared" si="434"/>
        <v>191.24392150923543</v>
      </c>
      <c r="CY156" s="8">
        <f t="shared" si="435"/>
        <v>4.9446676433736875E-3</v>
      </c>
      <c r="CZ156" s="8">
        <f t="shared" si="436"/>
        <v>7.0318330777782878E-2</v>
      </c>
      <c r="DA156" s="8">
        <f t="shared" si="437"/>
        <v>4.9446676433736875E-3</v>
      </c>
      <c r="DB156" s="8">
        <f t="shared" si="438"/>
        <v>7.0318330777782878E-2</v>
      </c>
      <c r="DC156" s="216">
        <f t="shared" si="439"/>
        <v>7.2232252097022185</v>
      </c>
      <c r="DD156" s="116">
        <f t="shared" si="440"/>
        <v>191.25287468231309</v>
      </c>
      <c r="DE156" s="8">
        <f t="shared" si="441"/>
        <v>4.9448991302877459E-3</v>
      </c>
      <c r="DF156" s="8">
        <f t="shared" si="442"/>
        <v>7.0319976751188895E-2</v>
      </c>
      <c r="DG156" s="8">
        <f t="shared" si="443"/>
        <v>4.9448991302877459E-3</v>
      </c>
      <c r="DH156" s="8">
        <f t="shared" si="444"/>
        <v>7.0319976751188895E-2</v>
      </c>
      <c r="DI156" s="216">
        <f t="shared" si="445"/>
        <v>7.2232235637288111</v>
      </c>
      <c r="DJ156" s="116">
        <f t="shared" si="446"/>
        <v>191.25291826356778</v>
      </c>
      <c r="DK156" s="8">
        <f t="shared" si="447"/>
        <v>4.9449002570938587E-3</v>
      </c>
      <c r="DL156" s="8">
        <f t="shared" si="448"/>
        <v>7.0319984763179938E-2</v>
      </c>
      <c r="DM156" s="8">
        <f t="shared" si="449"/>
        <v>4.9449002570938587E-3</v>
      </c>
      <c r="DN156" s="8">
        <f t="shared" si="450"/>
        <v>7.0319984763179938E-2</v>
      </c>
      <c r="DO156" s="216">
        <f t="shared" si="451"/>
        <v>7.2232235557168201</v>
      </c>
      <c r="DP156" s="116">
        <f t="shared" si="452"/>
        <v>191.25291847570529</v>
      </c>
      <c r="DQ156" s="170">
        <f t="shared" si="453"/>
        <v>4.944900262578736E-3</v>
      </c>
      <c r="DR156" s="8">
        <f t="shared" si="454"/>
        <v>7.0319984802179353E-2</v>
      </c>
      <c r="DS156" s="8">
        <f t="shared" si="455"/>
        <v>4.944900262578736E-3</v>
      </c>
      <c r="DT156" s="134">
        <f t="shared" si="456"/>
        <v>7.0319984802179353E-2</v>
      </c>
      <c r="DU156" s="170">
        <f t="shared" si="566"/>
        <v>2.9973794920998782E-2</v>
      </c>
      <c r="DV156" s="170">
        <f t="shared" si="566"/>
        <v>0.17312941668300849</v>
      </c>
      <c r="DW156" s="170">
        <f t="shared" si="566"/>
        <v>2.9973794920998782E-2</v>
      </c>
      <c r="DX156" s="272">
        <f t="shared" si="566"/>
        <v>0.17312941668300849</v>
      </c>
      <c r="DY156" s="272">
        <f t="shared" si="457"/>
        <v>6.947284707113984</v>
      </c>
      <c r="DZ156" s="22">
        <f t="shared" si="326"/>
        <v>27.332208124566701</v>
      </c>
      <c r="EA156" s="216">
        <f t="shared" ref="EA156:EA160" si="571">(DZ156/$E$46)</f>
        <v>1.7906924695571017E-3</v>
      </c>
      <c r="EB156" s="12">
        <f t="shared" si="458"/>
        <v>1</v>
      </c>
      <c r="EC156" s="7">
        <f>ROUND(MAX(DV156,DX156)/'Inputs-Imperial'!$E$21,0)</f>
        <v>1</v>
      </c>
      <c r="ED156" s="12">
        <f t="shared" si="459"/>
        <v>1</v>
      </c>
      <c r="EE156" s="2">
        <f t="shared" si="460"/>
        <v>2</v>
      </c>
      <c r="EF156" s="127">
        <f t="shared" si="461"/>
        <v>2</v>
      </c>
      <c r="EG156" s="2">
        <f t="shared" si="462"/>
        <v>1.5748031496062995E-2</v>
      </c>
      <c r="EH156" s="8">
        <f t="shared" si="328"/>
        <v>1.8844860053618157E-2</v>
      </c>
      <c r="EI156" s="138">
        <f t="shared" si="463"/>
        <v>0.25</v>
      </c>
      <c r="EJ156" s="12">
        <f t="shared" si="329"/>
        <v>1562.0356943189868</v>
      </c>
      <c r="EK156" s="138">
        <f t="shared" si="464"/>
        <v>0.25</v>
      </c>
      <c r="EL156" s="116">
        <f t="shared" si="465"/>
        <v>2175570</v>
      </c>
      <c r="EM156" s="2">
        <f t="shared" si="330"/>
        <v>1.5748031496062995E-2</v>
      </c>
      <c r="EN156" s="8">
        <f t="shared" si="466"/>
        <v>7.2935435404800009</v>
      </c>
      <c r="EO156" s="116">
        <f t="shared" si="467"/>
        <v>2610.6840000000002</v>
      </c>
      <c r="EP156" s="217">
        <f t="shared" si="468"/>
        <v>0.30435302822706617</v>
      </c>
      <c r="EQ156" s="207">
        <f t="shared" si="469"/>
        <v>2.5841135457934961</v>
      </c>
      <c r="ER156" s="144">
        <f t="shared" si="470"/>
        <v>16297.735515569515</v>
      </c>
      <c r="ES156" s="138">
        <f t="shared" ref="ES156:ES160" si="572">IF(ER156&gt;$EJ156,EK156,ROUNDUP(EK156*$EJ156/ER156/$E$42,0)*$E$42)</f>
        <v>0.25</v>
      </c>
      <c r="ET156" s="116">
        <f t="shared" si="471"/>
        <v>2175570</v>
      </c>
      <c r="EU156" s="2">
        <f t="shared" si="332"/>
        <v>1.5748031496062995E-2</v>
      </c>
      <c r="EV156" s="8">
        <f t="shared" si="472"/>
        <v>7.2935435404800009</v>
      </c>
      <c r="EW156" s="116">
        <f t="shared" si="473"/>
        <v>2610.6840000000002</v>
      </c>
      <c r="EX156" s="217">
        <f t="shared" si="474"/>
        <v>0.30435302822706617</v>
      </c>
      <c r="EY156" s="207">
        <f t="shared" si="475"/>
        <v>2.5841135457934961</v>
      </c>
      <c r="EZ156" s="144">
        <f t="shared" si="476"/>
        <v>16297.735515569515</v>
      </c>
      <c r="FA156" s="138">
        <f t="shared" ref="FA156:FA160" si="573">IF(EZ156&gt;$EJ156,ES156,ROUNDUP(ES156*$EJ156/EZ156/$E$42,0)*$E$42)</f>
        <v>0.25</v>
      </c>
      <c r="FB156" s="116">
        <f t="shared" si="477"/>
        <v>2175570</v>
      </c>
      <c r="FC156" s="2">
        <f t="shared" si="334"/>
        <v>1.5748031496062995E-2</v>
      </c>
      <c r="FD156" s="8">
        <f t="shared" si="478"/>
        <v>7.2935435404800009</v>
      </c>
      <c r="FE156" s="116">
        <f t="shared" si="479"/>
        <v>2610.6840000000002</v>
      </c>
      <c r="FF156" s="217">
        <f t="shared" si="480"/>
        <v>0.30435302822706617</v>
      </c>
      <c r="FG156" s="207">
        <f t="shared" si="481"/>
        <v>2.5841135457934961</v>
      </c>
      <c r="FH156" s="144">
        <f t="shared" si="482"/>
        <v>16297.735515569515</v>
      </c>
      <c r="FI156" s="128">
        <f t="shared" si="483"/>
        <v>0.25</v>
      </c>
      <c r="FJ156" s="2">
        <f t="shared" si="484"/>
        <v>1.5748031496062995E-2</v>
      </c>
      <c r="FK156" s="127">
        <f t="shared" si="485"/>
        <v>1.5748031496062995E-2</v>
      </c>
      <c r="FL156" s="216">
        <f t="shared" si="486"/>
        <v>0</v>
      </c>
      <c r="FM156" s="138">
        <f t="shared" si="487"/>
        <v>0</v>
      </c>
      <c r="FN156" s="138">
        <f t="shared" si="488"/>
        <v>0</v>
      </c>
      <c r="FO156" s="238">
        <f t="shared" si="489"/>
        <v>0.25</v>
      </c>
      <c r="FP156" s="216">
        <f t="shared" si="335"/>
        <v>0</v>
      </c>
      <c r="FQ156" s="138">
        <f t="shared" si="336"/>
        <v>0</v>
      </c>
      <c r="FR156" s="138">
        <f t="shared" si="337"/>
        <v>0</v>
      </c>
      <c r="FS156" s="238">
        <f t="shared" si="338"/>
        <v>0.25</v>
      </c>
      <c r="FT156" s="216">
        <f t="shared" si="490"/>
        <v>0</v>
      </c>
      <c r="FU156" s="138">
        <f t="shared" si="491"/>
        <v>0</v>
      </c>
      <c r="FV156" s="138">
        <f t="shared" si="492"/>
        <v>0</v>
      </c>
      <c r="FW156" s="238">
        <f t="shared" si="493"/>
        <v>1.5748031496062995E-2</v>
      </c>
      <c r="FX156" s="216">
        <f t="shared" si="339"/>
        <v>0</v>
      </c>
      <c r="FY156" s="138">
        <f t="shared" si="340"/>
        <v>0</v>
      </c>
      <c r="FZ156" s="138">
        <f t="shared" si="341"/>
        <v>0</v>
      </c>
      <c r="GA156" s="238">
        <f t="shared" si="342"/>
        <v>2.3622047244094495E-2</v>
      </c>
      <c r="GB156" s="216">
        <f t="shared" si="494"/>
        <v>0</v>
      </c>
      <c r="GC156" s="138">
        <f t="shared" si="495"/>
        <v>0</v>
      </c>
      <c r="GD156" s="138">
        <f t="shared" si="496"/>
        <v>0</v>
      </c>
      <c r="GE156" s="238">
        <f t="shared" si="497"/>
        <v>1.5748031496062995E-2</v>
      </c>
      <c r="GF156" s="216">
        <f t="shared" si="343"/>
        <v>0</v>
      </c>
      <c r="GG156" s="138">
        <f t="shared" si="344"/>
        <v>0</v>
      </c>
      <c r="GH156" s="138">
        <f t="shared" si="345"/>
        <v>0</v>
      </c>
      <c r="GI156" s="238">
        <f t="shared" si="346"/>
        <v>2.3622047244094495E-2</v>
      </c>
      <c r="GJ156" s="216">
        <f t="shared" si="498"/>
        <v>0.25</v>
      </c>
      <c r="GK156" s="216">
        <f t="shared" si="499"/>
        <v>2.3622047244094495E-2</v>
      </c>
      <c r="GL156" s="17">
        <f t="shared" si="500"/>
        <v>2.3622047244094495E-2</v>
      </c>
      <c r="GM156" s="216">
        <f t="shared" si="347"/>
        <v>6.8632604067342894E-4</v>
      </c>
      <c r="GN156" s="2">
        <f t="shared" si="501"/>
        <v>1</v>
      </c>
      <c r="GO156" s="2">
        <f t="shared" si="502"/>
        <v>2</v>
      </c>
      <c r="GP156" s="142">
        <f t="shared" si="503"/>
        <v>2</v>
      </c>
      <c r="GQ156" s="2">
        <f t="shared" si="504"/>
        <v>1.5748031496062995E-2</v>
      </c>
      <c r="GR156" s="8">
        <f t="shared" si="348"/>
        <v>7.2227467348670721E-3</v>
      </c>
      <c r="GS156" s="138">
        <f t="shared" si="505"/>
        <v>0.25</v>
      </c>
      <c r="GT156" s="12">
        <f t="shared" si="349"/>
        <v>598.68782144243812</v>
      </c>
      <c r="GU156" s="138">
        <f t="shared" si="506"/>
        <v>0.25</v>
      </c>
      <c r="GV156" s="116">
        <f t="shared" si="507"/>
        <v>2175570</v>
      </c>
      <c r="GW156" s="2">
        <f t="shared" si="350"/>
        <v>1.5748031496062995E-2</v>
      </c>
      <c r="GX156" s="8">
        <f t="shared" si="351"/>
        <v>3.6467717702400004</v>
      </c>
      <c r="GY156" s="116">
        <f t="shared" si="508"/>
        <v>2610.6840000000002</v>
      </c>
      <c r="GZ156" s="217">
        <f t="shared" si="509"/>
        <v>1.2174121129082647</v>
      </c>
      <c r="HA156" s="207">
        <f t="shared" si="510"/>
        <v>2</v>
      </c>
      <c r="HB156" s="144">
        <f t="shared" si="511"/>
        <v>50455.168402640818</v>
      </c>
      <c r="HC156" s="138">
        <f t="shared" ref="HC156:HC160" si="574">IF(HB156&gt;$GT156,GU156,ROUNDUP(GU156*$GT156/HB156/$E$42,0)*$E$42)</f>
        <v>0.25</v>
      </c>
      <c r="HD156" s="116">
        <f t="shared" si="512"/>
        <v>2175570</v>
      </c>
      <c r="HE156" s="2">
        <f t="shared" si="353"/>
        <v>1.5748031496062995E-2</v>
      </c>
      <c r="HF156" s="8">
        <f t="shared" si="513"/>
        <v>3.6467717702400004</v>
      </c>
      <c r="HG156" s="116">
        <f t="shared" si="514"/>
        <v>2610.6840000000002</v>
      </c>
      <c r="HH156" s="217">
        <f t="shared" si="515"/>
        <v>1.2174121129082647</v>
      </c>
      <c r="HI156" s="207">
        <f t="shared" si="516"/>
        <v>2</v>
      </c>
      <c r="HJ156" s="144">
        <f t="shared" si="517"/>
        <v>50455.168402640818</v>
      </c>
      <c r="HK156" s="138">
        <f t="shared" ref="HK156:HK160" si="575">IF(HJ156&gt;$GT156,HC156,ROUNDUP(HC156*$GT156/HJ156/$E$42,0)*$E$42)</f>
        <v>0.25</v>
      </c>
      <c r="HL156" s="116">
        <f t="shared" si="518"/>
        <v>2175570</v>
      </c>
      <c r="HM156" s="2">
        <f t="shared" si="355"/>
        <v>1.5748031496062995E-2</v>
      </c>
      <c r="HN156" s="8">
        <f t="shared" si="519"/>
        <v>3.6467717702400004</v>
      </c>
      <c r="HO156" s="116">
        <f t="shared" si="520"/>
        <v>2610.6840000000002</v>
      </c>
      <c r="HP156" s="217">
        <f t="shared" si="521"/>
        <v>1.2174121129082647</v>
      </c>
      <c r="HQ156" s="207">
        <f t="shared" si="522"/>
        <v>2</v>
      </c>
      <c r="HR156" s="144">
        <f t="shared" si="523"/>
        <v>50455.168402640818</v>
      </c>
      <c r="HS156" s="128">
        <f t="shared" si="524"/>
        <v>0.25</v>
      </c>
      <c r="HT156" s="2">
        <f t="shared" si="525"/>
        <v>1.5748031496062995E-2</v>
      </c>
      <c r="HU156" s="127">
        <f t="shared" si="526"/>
        <v>1.5748031496062995E-2</v>
      </c>
      <c r="HV156" s="216">
        <f t="shared" si="527"/>
        <v>0</v>
      </c>
      <c r="HW156" s="138">
        <f t="shared" si="528"/>
        <v>0</v>
      </c>
      <c r="HX156" s="138">
        <f t="shared" si="529"/>
        <v>0</v>
      </c>
      <c r="HY156" s="238">
        <f t="shared" si="530"/>
        <v>0.25</v>
      </c>
      <c r="HZ156" s="138">
        <f t="shared" si="531"/>
        <v>0</v>
      </c>
      <c r="IA156" s="138">
        <f t="shared" si="532"/>
        <v>0</v>
      </c>
      <c r="IB156" s="138">
        <f t="shared" si="533"/>
        <v>0</v>
      </c>
      <c r="IC156" s="138">
        <f t="shared" si="534"/>
        <v>0.25</v>
      </c>
      <c r="ID156" s="216">
        <f t="shared" si="535"/>
        <v>0</v>
      </c>
      <c r="IE156" s="138">
        <f t="shared" si="536"/>
        <v>0</v>
      </c>
      <c r="IF156" s="138">
        <f t="shared" si="537"/>
        <v>0</v>
      </c>
      <c r="IG156" s="238">
        <f t="shared" si="538"/>
        <v>1.5748031496062995E-2</v>
      </c>
      <c r="IH156" s="138">
        <f t="shared" si="539"/>
        <v>0</v>
      </c>
      <c r="II156" s="138">
        <f t="shared" si="540"/>
        <v>0</v>
      </c>
      <c r="IJ156" s="138">
        <f t="shared" si="541"/>
        <v>0</v>
      </c>
      <c r="IK156" s="138">
        <f t="shared" si="542"/>
        <v>1.5748031496062995E-2</v>
      </c>
      <c r="IL156" s="216">
        <f t="shared" si="543"/>
        <v>0</v>
      </c>
      <c r="IM156" s="138">
        <f t="shared" si="544"/>
        <v>0</v>
      </c>
      <c r="IN156" s="138">
        <f t="shared" si="545"/>
        <v>0</v>
      </c>
      <c r="IO156" s="238">
        <f t="shared" si="546"/>
        <v>1.5748031496062995E-2</v>
      </c>
      <c r="IP156" s="138">
        <f t="shared" si="547"/>
        <v>0</v>
      </c>
      <c r="IQ156" s="138">
        <f t="shared" si="548"/>
        <v>0</v>
      </c>
      <c r="IR156" s="138">
        <f t="shared" si="549"/>
        <v>0</v>
      </c>
      <c r="IS156" s="138">
        <f t="shared" si="550"/>
        <v>1.5748031496062995E-2</v>
      </c>
      <c r="IT156" s="17">
        <f t="shared" si="551"/>
        <v>0.25</v>
      </c>
      <c r="IU156" s="17">
        <f t="shared" si="552"/>
        <v>1.5748031496062995E-2</v>
      </c>
      <c r="IV156" s="17">
        <f t="shared" si="553"/>
        <v>1.5748031496062995E-2</v>
      </c>
      <c r="IW156" s="253">
        <f t="shared" si="554"/>
        <v>20.259843168000003</v>
      </c>
      <c r="IX156" s="116">
        <f t="shared" ref="IX156:IX160" si="576">$T156/IW156</f>
        <v>6.8187229998665249</v>
      </c>
      <c r="IY156" s="8">
        <f t="shared" si="357"/>
        <v>1.7630008169927514E-4</v>
      </c>
      <c r="IZ156" s="8">
        <f t="shared" si="555"/>
        <v>1.7630008169927514E-4</v>
      </c>
      <c r="JA156" s="8">
        <f t="shared" si="556"/>
        <v>8.8150040849637571E-5</v>
      </c>
      <c r="JB156" s="134">
        <f t="shared" si="557"/>
        <v>9.3888253178785672E-3</v>
      </c>
      <c r="JC156" s="170">
        <f t="shared" si="567"/>
        <v>5.2711395752220482E-4</v>
      </c>
      <c r="JD156" s="272">
        <f t="shared" si="568"/>
        <v>2.2958962466152619E-2</v>
      </c>
      <c r="JE156" s="8"/>
      <c r="JF156" s="8"/>
    </row>
    <row r="157" spans="1:266" x14ac:dyDescent="0.25">
      <c r="A157" s="186">
        <v>97</v>
      </c>
      <c r="B157" s="187">
        <f>A157/100*'Inputs-Imperial'!$E$5</f>
        <v>23.358924631999997</v>
      </c>
      <c r="C157" s="188">
        <f>'Inputs-Imperial'!$E$10+('Inputs-Imperial'!$E$9-'Inputs-Imperial'!$E$10)*(100-A157)/100</f>
        <v>3.3588419710000004</v>
      </c>
      <c r="D157" s="187">
        <f t="shared" si="558"/>
        <v>0.24081365600000026</v>
      </c>
      <c r="E157" s="188">
        <f t="shared" si="559"/>
        <v>0.81099808275410412</v>
      </c>
      <c r="F157" s="423">
        <f>Loads!P117</f>
        <v>14.421051478122273</v>
      </c>
      <c r="G157" s="423">
        <f>Loads!M117</f>
        <v>144.21051478122274</v>
      </c>
      <c r="H157" s="423">
        <f>Loads!N117</f>
        <v>67.116004924242191</v>
      </c>
      <c r="I157" s="423">
        <f>Loads!V117</f>
        <v>-157.33476660259635</v>
      </c>
      <c r="J157" s="423">
        <f>Loads!Q117</f>
        <v>6.7116004924242185</v>
      </c>
      <c r="K157" s="2">
        <v>97</v>
      </c>
      <c r="L157" s="12">
        <f t="shared" si="358"/>
        <v>280.30709558399997</v>
      </c>
      <c r="M157" s="11">
        <f t="shared" si="359"/>
        <v>40.306103652000004</v>
      </c>
      <c r="N157" s="11">
        <f t="shared" si="360"/>
        <v>2.8897638720000032</v>
      </c>
      <c r="O157" s="152">
        <f t="shared" si="361"/>
        <v>116.78372391659099</v>
      </c>
      <c r="P157" s="151">
        <f t="shared" si="362"/>
        <v>14.421051478122273</v>
      </c>
      <c r="Q157" s="12">
        <f t="shared" si="363"/>
        <v>144.21051478122274</v>
      </c>
      <c r="R157" s="12">
        <f t="shared" si="364"/>
        <v>805.39205909090629</v>
      </c>
      <c r="S157" s="12">
        <f t="shared" si="365"/>
        <v>-1888.0171992311562</v>
      </c>
      <c r="T157" s="152">
        <f t="shared" si="366"/>
        <v>80.539205909090626</v>
      </c>
      <c r="U157" s="8">
        <f t="shared" si="313"/>
        <v>7.2550986573600005</v>
      </c>
      <c r="V157" s="8">
        <f t="shared" si="314"/>
        <v>7.2550986573600005</v>
      </c>
      <c r="W157" s="134">
        <f t="shared" si="315"/>
        <v>3.6275493286800002</v>
      </c>
      <c r="X157" s="311">
        <f t="shared" si="316"/>
        <v>10.076525913000001</v>
      </c>
      <c r="Y157" s="11">
        <f t="shared" si="317"/>
        <v>30.229577739000003</v>
      </c>
      <c r="Z157" s="11">
        <f t="shared" si="569"/>
        <v>20.153051826000002</v>
      </c>
      <c r="AA157" s="316">
        <f t="shared" si="367"/>
        <v>30.229577739000003</v>
      </c>
      <c r="AB157" s="170">
        <f t="shared" si="368"/>
        <v>5.4413239930200001</v>
      </c>
      <c r="AC157" s="11">
        <f t="shared" si="369"/>
        <v>30.229577739000003</v>
      </c>
      <c r="AD157" s="152">
        <f t="shared" si="370"/>
        <v>129.18930089019358</v>
      </c>
      <c r="AE157" s="151">
        <f t="shared" si="319"/>
        <v>0.47705103930437243</v>
      </c>
      <c r="AF157" s="12">
        <f t="shared" si="320"/>
        <v>7.3071732187633138</v>
      </c>
      <c r="AG157" s="216">
        <f t="shared" si="570"/>
        <v>5.0998996117466089E-4</v>
      </c>
      <c r="AH157" s="2">
        <f t="shared" si="371"/>
        <v>1</v>
      </c>
      <c r="AI157" s="2">
        <f t="shared" si="372"/>
        <v>3</v>
      </c>
      <c r="AJ157" s="127">
        <f t="shared" si="373"/>
        <v>2</v>
      </c>
      <c r="AK157" s="2">
        <f t="shared" si="374"/>
        <v>1.5748031496062995E-2</v>
      </c>
      <c r="AL157" s="8">
        <f t="shared" si="322"/>
        <v>5.3670239923797117E-3</v>
      </c>
      <c r="AM157" s="138">
        <f t="shared" si="375"/>
        <v>0.25</v>
      </c>
      <c r="AN157" s="12">
        <f t="shared" si="323"/>
        <v>444.86841634856819</v>
      </c>
      <c r="AO157" s="138">
        <f t="shared" si="376"/>
        <v>0.25</v>
      </c>
      <c r="AP157" s="116">
        <f t="shared" si="377"/>
        <v>2175570</v>
      </c>
      <c r="AQ157" s="2">
        <f t="shared" si="378"/>
        <v>1.5748031496062995E-2</v>
      </c>
      <c r="AR157" s="8">
        <f t="shared" si="379"/>
        <v>20.153051826000002</v>
      </c>
      <c r="AS157" s="116">
        <f t="shared" si="380"/>
        <v>2610.6840000000002</v>
      </c>
      <c r="AT157" s="217">
        <f t="shared" si="381"/>
        <v>3.9863290414890638E-2</v>
      </c>
      <c r="AU157" s="207">
        <f t="shared" si="382"/>
        <v>4.6479857087404355</v>
      </c>
      <c r="AV157" s="144">
        <f t="shared" si="383"/>
        <v>3839.5115066914741</v>
      </c>
      <c r="AW157" s="138">
        <f t="shared" si="384"/>
        <v>0.25</v>
      </c>
      <c r="AX157" s="116">
        <f t="shared" si="385"/>
        <v>2175570</v>
      </c>
      <c r="AY157" s="2">
        <f t="shared" si="386"/>
        <v>1.5748031496062995E-2</v>
      </c>
      <c r="AZ157" s="8">
        <f t="shared" si="387"/>
        <v>20.153051826000002</v>
      </c>
      <c r="BA157" s="116">
        <f t="shared" si="388"/>
        <v>2610.6840000000002</v>
      </c>
      <c r="BB157" s="217">
        <f t="shared" si="389"/>
        <v>3.9863290414890638E-2</v>
      </c>
      <c r="BC157" s="207">
        <f t="shared" si="390"/>
        <v>4.6479857087404355</v>
      </c>
      <c r="BD157" s="144">
        <f t="shared" si="391"/>
        <v>3839.5115066914741</v>
      </c>
      <c r="BE157" s="138">
        <f t="shared" si="392"/>
        <v>0.25</v>
      </c>
      <c r="BF157" s="116">
        <f t="shared" si="393"/>
        <v>2175570</v>
      </c>
      <c r="BG157" s="2">
        <f t="shared" si="394"/>
        <v>1.5748031496062995E-2</v>
      </c>
      <c r="BH157" s="8">
        <f t="shared" si="395"/>
        <v>20.153051826000002</v>
      </c>
      <c r="BI157" s="116">
        <f t="shared" si="396"/>
        <v>2610.6840000000002</v>
      </c>
      <c r="BJ157" s="217">
        <f t="shared" si="397"/>
        <v>3.9863290414890638E-2</v>
      </c>
      <c r="BK157" s="207">
        <f t="shared" si="398"/>
        <v>4.6479857087404355</v>
      </c>
      <c r="BL157" s="144">
        <f t="shared" si="399"/>
        <v>3839.5115066914741</v>
      </c>
      <c r="BM157" s="216">
        <f t="shared" si="400"/>
        <v>0.25</v>
      </c>
      <c r="BN157" s="216">
        <f t="shared" si="401"/>
        <v>2.3622047244094495E-2</v>
      </c>
      <c r="BO157" s="238">
        <f t="shared" si="402"/>
        <v>1.5748031496062995E-2</v>
      </c>
      <c r="BP157" s="216">
        <f t="shared" si="403"/>
        <v>0</v>
      </c>
      <c r="BQ157" s="138">
        <f t="shared" si="404"/>
        <v>0</v>
      </c>
      <c r="BR157" s="138">
        <f t="shared" si="405"/>
        <v>0</v>
      </c>
      <c r="BS157" s="238">
        <f t="shared" si="406"/>
        <v>0.25</v>
      </c>
      <c r="BT157" s="138">
        <f t="shared" si="407"/>
        <v>0</v>
      </c>
      <c r="BU157" s="138">
        <f t="shared" si="408"/>
        <v>0</v>
      </c>
      <c r="BV157" s="138">
        <f t="shared" si="409"/>
        <v>0</v>
      </c>
      <c r="BW157" s="238">
        <f t="shared" si="410"/>
        <v>0.75</v>
      </c>
      <c r="BX157" s="216">
        <f t="shared" si="411"/>
        <v>0</v>
      </c>
      <c r="BY157" s="138">
        <f t="shared" si="412"/>
        <v>0</v>
      </c>
      <c r="BZ157" s="138">
        <f t="shared" si="413"/>
        <v>0</v>
      </c>
      <c r="CA157" s="238">
        <f t="shared" si="414"/>
        <v>2.3622047244094495E-2</v>
      </c>
      <c r="CB157" s="138">
        <f t="shared" si="415"/>
        <v>0</v>
      </c>
      <c r="CC157" s="138">
        <f t="shared" si="416"/>
        <v>0</v>
      </c>
      <c r="CD157" s="138">
        <f t="shared" si="417"/>
        <v>0</v>
      </c>
      <c r="CE157" s="238">
        <f t="shared" si="418"/>
        <v>2.3622047244094495E-2</v>
      </c>
      <c r="CF157" s="216">
        <f t="shared" si="419"/>
        <v>0</v>
      </c>
      <c r="CG157" s="138">
        <f t="shared" si="420"/>
        <v>0</v>
      </c>
      <c r="CH157" s="138">
        <f t="shared" si="421"/>
        <v>0</v>
      </c>
      <c r="CI157" s="238">
        <f t="shared" si="422"/>
        <v>1.5748031496062995E-2</v>
      </c>
      <c r="CJ157" s="138">
        <f t="shared" si="423"/>
        <v>0</v>
      </c>
      <c r="CK157" s="138">
        <f t="shared" si="424"/>
        <v>0</v>
      </c>
      <c r="CL157" s="138">
        <f t="shared" si="425"/>
        <v>0</v>
      </c>
      <c r="CM157" s="238">
        <f t="shared" si="426"/>
        <v>1.5748031496062995E-2</v>
      </c>
      <c r="CN157" s="17">
        <f t="shared" si="427"/>
        <v>0.75</v>
      </c>
      <c r="CO157" s="17">
        <f t="shared" si="428"/>
        <v>2.3622047244094495E-2</v>
      </c>
      <c r="CP157" s="17">
        <f t="shared" si="429"/>
        <v>1.5748031496062995E-2</v>
      </c>
      <c r="CQ157" s="17">
        <f>$U157-IF('Inputs-Imperial'!$E$13,0,2)*($CO157+$CN157+$CP157)</f>
        <v>7.2550986573600005</v>
      </c>
      <c r="CR157" s="116">
        <f t="shared" si="430"/>
        <v>111.01049029483134</v>
      </c>
      <c r="CS157" s="8">
        <f t="shared" si="324"/>
        <v>2.8702087632594044E-3</v>
      </c>
      <c r="CT157" s="8">
        <f t="shared" si="431"/>
        <v>5.3574329330934277E-2</v>
      </c>
      <c r="CU157" s="8">
        <f t="shared" si="325"/>
        <v>2.8702087632594044E-3</v>
      </c>
      <c r="CV157" s="8">
        <f t="shared" si="432"/>
        <v>5.3574329330934277E-2</v>
      </c>
      <c r="CW157" s="216">
        <f t="shared" si="433"/>
        <v>7.2015243280290671</v>
      </c>
      <c r="CX157" s="116">
        <f t="shared" si="434"/>
        <v>111.83633108843891</v>
      </c>
      <c r="CY157" s="8">
        <f t="shared" si="435"/>
        <v>2.8915611190284333E-3</v>
      </c>
      <c r="CZ157" s="8">
        <f t="shared" si="436"/>
        <v>5.3773237944431368E-2</v>
      </c>
      <c r="DA157" s="8">
        <f t="shared" si="437"/>
        <v>2.8915611190284333E-3</v>
      </c>
      <c r="DB157" s="8">
        <f t="shared" si="438"/>
        <v>5.3773237944431368E-2</v>
      </c>
      <c r="DC157" s="216">
        <f t="shared" si="439"/>
        <v>7.2013254194155687</v>
      </c>
      <c r="DD157" s="116">
        <f t="shared" si="440"/>
        <v>111.83942013222737</v>
      </c>
      <c r="DE157" s="8">
        <f t="shared" si="441"/>
        <v>2.8916409871609689E-3</v>
      </c>
      <c r="DF157" s="8">
        <f t="shared" si="442"/>
        <v>5.3773980577608058E-2</v>
      </c>
      <c r="DG157" s="8">
        <f t="shared" si="443"/>
        <v>2.8916409871609689E-3</v>
      </c>
      <c r="DH157" s="8">
        <f t="shared" si="444"/>
        <v>5.3773980577608058E-2</v>
      </c>
      <c r="DI157" s="216">
        <f t="shared" si="445"/>
        <v>7.2013246767823924</v>
      </c>
      <c r="DJ157" s="116">
        <f t="shared" si="446"/>
        <v>111.83943166561428</v>
      </c>
      <c r="DK157" s="8">
        <f t="shared" si="447"/>
        <v>2.891641285360068E-3</v>
      </c>
      <c r="DL157" s="8">
        <f t="shared" si="448"/>
        <v>5.3773983350316051E-2</v>
      </c>
      <c r="DM157" s="8">
        <f t="shared" si="449"/>
        <v>2.891641285360068E-3</v>
      </c>
      <c r="DN157" s="8">
        <f t="shared" si="450"/>
        <v>5.3773983350316051E-2</v>
      </c>
      <c r="DO157" s="216">
        <f t="shared" si="451"/>
        <v>7.2013246740096841</v>
      </c>
      <c r="DP157" s="116">
        <f t="shared" si="452"/>
        <v>111.83943170867555</v>
      </c>
      <c r="DQ157" s="170">
        <f t="shared" si="453"/>
        <v>2.8916412864734295E-3</v>
      </c>
      <c r="DR157" s="8">
        <f t="shared" si="454"/>
        <v>5.3773983360668284E-2</v>
      </c>
      <c r="DS157" s="8">
        <f t="shared" si="455"/>
        <v>2.8916412864734295E-3</v>
      </c>
      <c r="DT157" s="134">
        <f t="shared" si="456"/>
        <v>5.3773983360668284E-2</v>
      </c>
      <c r="DU157" s="170">
        <f t="shared" si="566"/>
        <v>2.9973794920998782E-2</v>
      </c>
      <c r="DV157" s="170">
        <f t="shared" si="566"/>
        <v>0.17312941668300849</v>
      </c>
      <c r="DW157" s="170">
        <f t="shared" si="566"/>
        <v>2.9973794920998782E-2</v>
      </c>
      <c r="DX157" s="272">
        <f t="shared" si="566"/>
        <v>0.17312941668300849</v>
      </c>
      <c r="DY157" s="272">
        <f t="shared" si="457"/>
        <v>6.9088398239939837</v>
      </c>
      <c r="DZ157" s="22">
        <f t="shared" si="326"/>
        <v>19.877126637682188</v>
      </c>
      <c r="EA157" s="216">
        <f t="shared" si="571"/>
        <v>1.3022665722546571E-3</v>
      </c>
      <c r="EB157" s="12">
        <f t="shared" si="458"/>
        <v>1</v>
      </c>
      <c r="EC157" s="7">
        <f>ROUND(MAX(DV157,DX157)/'Inputs-Imperial'!$E$21,0)</f>
        <v>1</v>
      </c>
      <c r="ED157" s="12">
        <f t="shared" si="459"/>
        <v>1</v>
      </c>
      <c r="EE157" s="2">
        <f t="shared" si="460"/>
        <v>2</v>
      </c>
      <c r="EF157" s="127">
        <f t="shared" si="461"/>
        <v>2</v>
      </c>
      <c r="EG157" s="2">
        <f t="shared" si="462"/>
        <v>1.5748031496062995E-2</v>
      </c>
      <c r="EH157" s="8">
        <f t="shared" si="328"/>
        <v>1.3704771603084838E-2</v>
      </c>
      <c r="EI157" s="138">
        <f t="shared" si="463"/>
        <v>0.25</v>
      </c>
      <c r="EJ157" s="12">
        <f t="shared" si="329"/>
        <v>1135.9777873435369</v>
      </c>
      <c r="EK157" s="138">
        <f t="shared" si="464"/>
        <v>0.25</v>
      </c>
      <c r="EL157" s="116">
        <f t="shared" si="465"/>
        <v>2175570</v>
      </c>
      <c r="EM157" s="2">
        <f t="shared" si="330"/>
        <v>1.5748031496062995E-2</v>
      </c>
      <c r="EN157" s="8">
        <f t="shared" si="466"/>
        <v>7.2550986573600005</v>
      </c>
      <c r="EO157" s="116">
        <f t="shared" si="467"/>
        <v>2610.6840000000002</v>
      </c>
      <c r="EP157" s="217">
        <f t="shared" si="468"/>
        <v>0.30758711739884753</v>
      </c>
      <c r="EQ157" s="207">
        <f t="shared" si="469"/>
        <v>2.5695498529448733</v>
      </c>
      <c r="ER157" s="144">
        <f t="shared" si="470"/>
        <v>16378.089344866561</v>
      </c>
      <c r="ES157" s="138">
        <f t="shared" si="572"/>
        <v>0.25</v>
      </c>
      <c r="ET157" s="116">
        <f t="shared" si="471"/>
        <v>2175570</v>
      </c>
      <c r="EU157" s="2">
        <f t="shared" si="332"/>
        <v>1.5748031496062995E-2</v>
      </c>
      <c r="EV157" s="8">
        <f t="shared" si="472"/>
        <v>7.2550986573600005</v>
      </c>
      <c r="EW157" s="116">
        <f t="shared" si="473"/>
        <v>2610.6840000000002</v>
      </c>
      <c r="EX157" s="217">
        <f t="shared" si="474"/>
        <v>0.30758711739884753</v>
      </c>
      <c r="EY157" s="207">
        <f t="shared" si="475"/>
        <v>2.5695498529448733</v>
      </c>
      <c r="EZ157" s="144">
        <f t="shared" si="476"/>
        <v>16378.089344866561</v>
      </c>
      <c r="FA157" s="138">
        <f t="shared" si="573"/>
        <v>0.25</v>
      </c>
      <c r="FB157" s="116">
        <f t="shared" si="477"/>
        <v>2175570</v>
      </c>
      <c r="FC157" s="2">
        <f t="shared" si="334"/>
        <v>1.5748031496062995E-2</v>
      </c>
      <c r="FD157" s="8">
        <f t="shared" si="478"/>
        <v>7.2550986573600005</v>
      </c>
      <c r="FE157" s="116">
        <f t="shared" si="479"/>
        <v>2610.6840000000002</v>
      </c>
      <c r="FF157" s="217">
        <f t="shared" si="480"/>
        <v>0.30758711739884753</v>
      </c>
      <c r="FG157" s="207">
        <f t="shared" si="481"/>
        <v>2.5695498529448733</v>
      </c>
      <c r="FH157" s="144">
        <f t="shared" si="482"/>
        <v>16378.089344866561</v>
      </c>
      <c r="FI157" s="128">
        <f t="shared" si="483"/>
        <v>0.25</v>
      </c>
      <c r="FJ157" s="2">
        <f t="shared" si="484"/>
        <v>1.5748031496062995E-2</v>
      </c>
      <c r="FK157" s="127">
        <f t="shared" si="485"/>
        <v>1.5748031496062995E-2</v>
      </c>
      <c r="FL157" s="216">
        <f t="shared" si="486"/>
        <v>0</v>
      </c>
      <c r="FM157" s="138">
        <f t="shared" si="487"/>
        <v>0</v>
      </c>
      <c r="FN157" s="138">
        <f t="shared" si="488"/>
        <v>0</v>
      </c>
      <c r="FO157" s="238">
        <f t="shared" si="489"/>
        <v>0.25</v>
      </c>
      <c r="FP157" s="216">
        <f t="shared" si="335"/>
        <v>0</v>
      </c>
      <c r="FQ157" s="138">
        <f t="shared" si="336"/>
        <v>0</v>
      </c>
      <c r="FR157" s="138">
        <f t="shared" si="337"/>
        <v>0</v>
      </c>
      <c r="FS157" s="238">
        <f t="shared" si="338"/>
        <v>0.25</v>
      </c>
      <c r="FT157" s="216">
        <f t="shared" si="490"/>
        <v>0</v>
      </c>
      <c r="FU157" s="138">
        <f t="shared" si="491"/>
        <v>0</v>
      </c>
      <c r="FV157" s="138">
        <f t="shared" si="492"/>
        <v>0</v>
      </c>
      <c r="FW157" s="238">
        <f t="shared" si="493"/>
        <v>1.5748031496062995E-2</v>
      </c>
      <c r="FX157" s="216">
        <f t="shared" si="339"/>
        <v>0</v>
      </c>
      <c r="FY157" s="138">
        <f t="shared" si="340"/>
        <v>0</v>
      </c>
      <c r="FZ157" s="138">
        <f t="shared" si="341"/>
        <v>0</v>
      </c>
      <c r="GA157" s="238">
        <f t="shared" si="342"/>
        <v>2.3622047244094495E-2</v>
      </c>
      <c r="GB157" s="216">
        <f t="shared" si="494"/>
        <v>0</v>
      </c>
      <c r="GC157" s="138">
        <f t="shared" si="495"/>
        <v>0</v>
      </c>
      <c r="GD157" s="138">
        <f t="shared" si="496"/>
        <v>0</v>
      </c>
      <c r="GE157" s="238">
        <f t="shared" si="497"/>
        <v>1.5748031496062995E-2</v>
      </c>
      <c r="GF157" s="216">
        <f t="shared" si="343"/>
        <v>0</v>
      </c>
      <c r="GG157" s="138">
        <f t="shared" si="344"/>
        <v>0</v>
      </c>
      <c r="GH157" s="138">
        <f t="shared" si="345"/>
        <v>0</v>
      </c>
      <c r="GI157" s="238">
        <f t="shared" si="346"/>
        <v>2.3622047244094495E-2</v>
      </c>
      <c r="GJ157" s="216">
        <f t="shared" si="498"/>
        <v>0.25</v>
      </c>
      <c r="GK157" s="216">
        <f t="shared" si="499"/>
        <v>2.3622047244094495E-2</v>
      </c>
      <c r="GL157" s="17">
        <f t="shared" si="500"/>
        <v>2.3622047244094495E-2</v>
      </c>
      <c r="GM157" s="216">
        <f t="shared" si="347"/>
        <v>4.7873556344054909E-4</v>
      </c>
      <c r="GN157" s="2">
        <f t="shared" si="501"/>
        <v>1</v>
      </c>
      <c r="GO157" s="2">
        <f t="shared" si="502"/>
        <v>2</v>
      </c>
      <c r="GP157" s="142">
        <f t="shared" si="503"/>
        <v>2</v>
      </c>
      <c r="GQ157" s="2">
        <f t="shared" si="504"/>
        <v>1.5748031496062995E-2</v>
      </c>
      <c r="GR157" s="8">
        <f t="shared" si="348"/>
        <v>5.0381094739056758E-3</v>
      </c>
      <c r="GS157" s="138">
        <f t="shared" si="505"/>
        <v>0.25</v>
      </c>
      <c r="GT157" s="12">
        <f t="shared" si="349"/>
        <v>417.6049494523233</v>
      </c>
      <c r="GU157" s="138">
        <f t="shared" si="506"/>
        <v>0.25</v>
      </c>
      <c r="GV157" s="116">
        <f t="shared" si="507"/>
        <v>2175570</v>
      </c>
      <c r="GW157" s="2">
        <f t="shared" si="350"/>
        <v>1.5748031496062995E-2</v>
      </c>
      <c r="GX157" s="8">
        <f t="shared" si="351"/>
        <v>3.6275493286800002</v>
      </c>
      <c r="GY157" s="116">
        <f t="shared" si="508"/>
        <v>2610.6840000000002</v>
      </c>
      <c r="GZ157" s="217">
        <f t="shared" si="509"/>
        <v>1.2303484695953901</v>
      </c>
      <c r="HA157" s="207">
        <f t="shared" si="510"/>
        <v>2</v>
      </c>
      <c r="HB157" s="144">
        <f t="shared" si="511"/>
        <v>50991.310640955082</v>
      </c>
      <c r="HC157" s="138">
        <f t="shared" si="574"/>
        <v>0.25</v>
      </c>
      <c r="HD157" s="116">
        <f t="shared" si="512"/>
        <v>2175570</v>
      </c>
      <c r="HE157" s="2">
        <f t="shared" si="353"/>
        <v>1.5748031496062995E-2</v>
      </c>
      <c r="HF157" s="8">
        <f t="shared" si="513"/>
        <v>3.6275493286800002</v>
      </c>
      <c r="HG157" s="116">
        <f t="shared" si="514"/>
        <v>2610.6840000000002</v>
      </c>
      <c r="HH157" s="217">
        <f t="shared" si="515"/>
        <v>1.2303484695953901</v>
      </c>
      <c r="HI157" s="207">
        <f t="shared" si="516"/>
        <v>2</v>
      </c>
      <c r="HJ157" s="144">
        <f t="shared" si="517"/>
        <v>50991.310640955082</v>
      </c>
      <c r="HK157" s="138">
        <f t="shared" si="575"/>
        <v>0.25</v>
      </c>
      <c r="HL157" s="116">
        <f t="shared" si="518"/>
        <v>2175570</v>
      </c>
      <c r="HM157" s="2">
        <f t="shared" si="355"/>
        <v>1.5748031496062995E-2</v>
      </c>
      <c r="HN157" s="8">
        <f t="shared" si="519"/>
        <v>3.6275493286800002</v>
      </c>
      <c r="HO157" s="116">
        <f t="shared" si="520"/>
        <v>2610.6840000000002</v>
      </c>
      <c r="HP157" s="217">
        <f t="shared" si="521"/>
        <v>1.2303484695953901</v>
      </c>
      <c r="HQ157" s="207">
        <f t="shared" si="522"/>
        <v>2</v>
      </c>
      <c r="HR157" s="144">
        <f t="shared" si="523"/>
        <v>50991.310640955082</v>
      </c>
      <c r="HS157" s="128">
        <f t="shared" si="524"/>
        <v>0.25</v>
      </c>
      <c r="HT157" s="2">
        <f t="shared" si="525"/>
        <v>1.5748031496062995E-2</v>
      </c>
      <c r="HU157" s="127">
        <f t="shared" si="526"/>
        <v>1.5748031496062995E-2</v>
      </c>
      <c r="HV157" s="216">
        <f t="shared" si="527"/>
        <v>0</v>
      </c>
      <c r="HW157" s="138">
        <f t="shared" si="528"/>
        <v>0</v>
      </c>
      <c r="HX157" s="138">
        <f t="shared" si="529"/>
        <v>0</v>
      </c>
      <c r="HY157" s="238">
        <f t="shared" si="530"/>
        <v>0.25</v>
      </c>
      <c r="HZ157" s="138">
        <f t="shared" si="531"/>
        <v>0</v>
      </c>
      <c r="IA157" s="138">
        <f t="shared" si="532"/>
        <v>0</v>
      </c>
      <c r="IB157" s="138">
        <f t="shared" si="533"/>
        <v>0</v>
      </c>
      <c r="IC157" s="138">
        <f t="shared" si="534"/>
        <v>0.25</v>
      </c>
      <c r="ID157" s="216">
        <f t="shared" si="535"/>
        <v>0</v>
      </c>
      <c r="IE157" s="138">
        <f t="shared" si="536"/>
        <v>0</v>
      </c>
      <c r="IF157" s="138">
        <f t="shared" si="537"/>
        <v>0</v>
      </c>
      <c r="IG157" s="238">
        <f t="shared" si="538"/>
        <v>1.5748031496062995E-2</v>
      </c>
      <c r="IH157" s="138">
        <f t="shared" si="539"/>
        <v>0</v>
      </c>
      <c r="II157" s="138">
        <f t="shared" si="540"/>
        <v>0</v>
      </c>
      <c r="IJ157" s="138">
        <f t="shared" si="541"/>
        <v>0</v>
      </c>
      <c r="IK157" s="138">
        <f t="shared" si="542"/>
        <v>1.5748031496062995E-2</v>
      </c>
      <c r="IL157" s="216">
        <f t="shared" si="543"/>
        <v>0</v>
      </c>
      <c r="IM157" s="138">
        <f t="shared" si="544"/>
        <v>0</v>
      </c>
      <c r="IN157" s="138">
        <f t="shared" si="545"/>
        <v>0</v>
      </c>
      <c r="IO157" s="238">
        <f t="shared" si="546"/>
        <v>1.5748031496062995E-2</v>
      </c>
      <c r="IP157" s="138">
        <f t="shared" si="547"/>
        <v>0</v>
      </c>
      <c r="IQ157" s="138">
        <f t="shared" si="548"/>
        <v>0</v>
      </c>
      <c r="IR157" s="138">
        <f t="shared" si="549"/>
        <v>0</v>
      </c>
      <c r="IS157" s="138">
        <f t="shared" si="550"/>
        <v>1.5748031496062995E-2</v>
      </c>
      <c r="IT157" s="17">
        <f t="shared" si="551"/>
        <v>0.25</v>
      </c>
      <c r="IU157" s="17">
        <f t="shared" si="552"/>
        <v>1.5748031496062995E-2</v>
      </c>
      <c r="IV157" s="17">
        <f t="shared" si="553"/>
        <v>1.5748031496062995E-2</v>
      </c>
      <c r="IW157" s="253">
        <f t="shared" si="554"/>
        <v>20.153051826000002</v>
      </c>
      <c r="IX157" s="116">
        <f t="shared" si="576"/>
        <v>3.9963776506139284</v>
      </c>
      <c r="IY157" s="8">
        <f t="shared" si="357"/>
        <v>1.0332751547733856E-4</v>
      </c>
      <c r="IZ157" s="8">
        <f t="shared" si="555"/>
        <v>1.0332751547733856E-4</v>
      </c>
      <c r="JA157" s="8">
        <f t="shared" si="556"/>
        <v>5.1663757738669279E-5</v>
      </c>
      <c r="JB157" s="134">
        <f t="shared" si="557"/>
        <v>7.1877505339757921E-3</v>
      </c>
      <c r="JC157" s="170">
        <f t="shared" si="567"/>
        <v>5.2711395752220482E-4</v>
      </c>
      <c r="JD157" s="272">
        <f t="shared" si="568"/>
        <v>2.2958962466152619E-2</v>
      </c>
      <c r="JE157" s="8"/>
      <c r="JF157" s="8"/>
    </row>
    <row r="158" spans="1:266" x14ac:dyDescent="0.25">
      <c r="A158" s="186">
        <v>98</v>
      </c>
      <c r="B158" s="187">
        <f>A158/100*'Inputs-Imperial'!$E$5</f>
        <v>23.599738287999998</v>
      </c>
      <c r="C158" s="188">
        <f>'Inputs-Imperial'!$E$10+('Inputs-Imperial'!$E$9-'Inputs-Imperial'!$E$10)*(100-A158)/100</f>
        <v>3.3410434140000005</v>
      </c>
      <c r="D158" s="187">
        <f t="shared" si="558"/>
        <v>0.24081365600000026</v>
      </c>
      <c r="E158" s="188">
        <f t="shared" si="559"/>
        <v>0.80671194717140982</v>
      </c>
      <c r="F158" s="423">
        <f>Loads!P118</f>
        <v>9.1781850854377307</v>
      </c>
      <c r="G158" s="423">
        <f>Loads!M118</f>
        <v>91.781850854377311</v>
      </c>
      <c r="H158" s="423">
        <f>Loads!N118</f>
        <v>32.388143626133861</v>
      </c>
      <c r="I158" s="423">
        <f>Loads!V118</f>
        <v>-93.837957113525647</v>
      </c>
      <c r="J158" s="423">
        <f>Loads!Q118</f>
        <v>3.2388143626133861</v>
      </c>
      <c r="K158" s="2">
        <v>98</v>
      </c>
      <c r="L158" s="12">
        <f t="shared" si="358"/>
        <v>283.19685945599997</v>
      </c>
      <c r="M158" s="11">
        <f t="shared" si="359"/>
        <v>40.092520968000002</v>
      </c>
      <c r="N158" s="11">
        <f t="shared" si="360"/>
        <v>2.8897638720000032</v>
      </c>
      <c r="O158" s="152">
        <f t="shared" si="361"/>
        <v>116.16652039268303</v>
      </c>
      <c r="P158" s="151">
        <f t="shared" si="362"/>
        <v>9.1781850854377307</v>
      </c>
      <c r="Q158" s="12">
        <f t="shared" si="363"/>
        <v>91.781850854377311</v>
      </c>
      <c r="R158" s="12">
        <f t="shared" si="364"/>
        <v>388.65772351360636</v>
      </c>
      <c r="S158" s="12">
        <f t="shared" si="365"/>
        <v>-1126.0554853623078</v>
      </c>
      <c r="T158" s="152">
        <f t="shared" si="366"/>
        <v>38.865772351360633</v>
      </c>
      <c r="U158" s="8">
        <f t="shared" si="313"/>
        <v>7.2166537742400001</v>
      </c>
      <c r="V158" s="8">
        <f t="shared" si="314"/>
        <v>7.2166537742400001</v>
      </c>
      <c r="W158" s="134">
        <f t="shared" si="315"/>
        <v>3.60832688712</v>
      </c>
      <c r="X158" s="311">
        <f t="shared" si="316"/>
        <v>10.023130242000001</v>
      </c>
      <c r="Y158" s="11">
        <f t="shared" si="317"/>
        <v>30.069390726000002</v>
      </c>
      <c r="Z158" s="11">
        <f t="shared" si="569"/>
        <v>20.046260484000001</v>
      </c>
      <c r="AA158" s="316">
        <f t="shared" si="367"/>
        <v>30.069390726000002</v>
      </c>
      <c r="AB158" s="170">
        <f t="shared" si="368"/>
        <v>5.4124903306799999</v>
      </c>
      <c r="AC158" s="11">
        <f t="shared" si="369"/>
        <v>30.069390726000002</v>
      </c>
      <c r="AD158" s="152">
        <f t="shared" si="370"/>
        <v>127.82377615185239</v>
      </c>
      <c r="AE158" s="151">
        <f t="shared" si="319"/>
        <v>0.30523349039798331</v>
      </c>
      <c r="AF158" s="12">
        <f t="shared" si="320"/>
        <v>4.4047184305702789</v>
      </c>
      <c r="AG158" s="216">
        <f t="shared" si="570"/>
        <v>3.0857643840612962E-4</v>
      </c>
      <c r="AH158" s="2">
        <f t="shared" si="371"/>
        <v>1</v>
      </c>
      <c r="AI158" s="2">
        <f t="shared" si="372"/>
        <v>3</v>
      </c>
      <c r="AJ158" s="127">
        <f t="shared" si="373"/>
        <v>2</v>
      </c>
      <c r="AK158" s="2">
        <f t="shared" si="374"/>
        <v>1.5748031496062995E-2</v>
      </c>
      <c r="AL158" s="8">
        <f t="shared" si="322"/>
        <v>3.2473916635421488E-3</v>
      </c>
      <c r="AM158" s="138">
        <f t="shared" si="375"/>
        <v>0.25</v>
      </c>
      <c r="AN158" s="12">
        <f t="shared" si="323"/>
        <v>269.17375228333611</v>
      </c>
      <c r="AO158" s="138">
        <f t="shared" si="376"/>
        <v>0.25</v>
      </c>
      <c r="AP158" s="116">
        <f t="shared" si="377"/>
        <v>2175570</v>
      </c>
      <c r="AQ158" s="2">
        <f t="shared" si="378"/>
        <v>1.5748031496062995E-2</v>
      </c>
      <c r="AR158" s="8">
        <f t="shared" si="379"/>
        <v>20.046260484000001</v>
      </c>
      <c r="AS158" s="116">
        <f t="shared" si="380"/>
        <v>2610.6840000000002</v>
      </c>
      <c r="AT158" s="217">
        <f t="shared" si="381"/>
        <v>4.0289144750069596E-2</v>
      </c>
      <c r="AU158" s="207">
        <f t="shared" si="382"/>
        <v>4.6417437205866285</v>
      </c>
      <c r="AV158" s="144">
        <f t="shared" si="383"/>
        <v>3875.3171721130711</v>
      </c>
      <c r="AW158" s="138">
        <f t="shared" si="384"/>
        <v>0.25</v>
      </c>
      <c r="AX158" s="116">
        <f t="shared" si="385"/>
        <v>2175570</v>
      </c>
      <c r="AY158" s="2">
        <f t="shared" si="386"/>
        <v>1.5748031496062995E-2</v>
      </c>
      <c r="AZ158" s="8">
        <f t="shared" si="387"/>
        <v>20.046260484000001</v>
      </c>
      <c r="BA158" s="116">
        <f t="shared" si="388"/>
        <v>2610.6840000000002</v>
      </c>
      <c r="BB158" s="217">
        <f t="shared" si="389"/>
        <v>4.0289144750069596E-2</v>
      </c>
      <c r="BC158" s="207">
        <f t="shared" si="390"/>
        <v>4.6417437205866285</v>
      </c>
      <c r="BD158" s="144">
        <f t="shared" si="391"/>
        <v>3875.3171721130711</v>
      </c>
      <c r="BE158" s="138">
        <f t="shared" si="392"/>
        <v>0.25</v>
      </c>
      <c r="BF158" s="116">
        <f t="shared" si="393"/>
        <v>2175570</v>
      </c>
      <c r="BG158" s="2">
        <f t="shared" si="394"/>
        <v>1.5748031496062995E-2</v>
      </c>
      <c r="BH158" s="8">
        <f t="shared" si="395"/>
        <v>20.046260484000001</v>
      </c>
      <c r="BI158" s="116">
        <f t="shared" si="396"/>
        <v>2610.6840000000002</v>
      </c>
      <c r="BJ158" s="217">
        <f t="shared" si="397"/>
        <v>4.0289144750069596E-2</v>
      </c>
      <c r="BK158" s="207">
        <f t="shared" si="398"/>
        <v>4.6417437205866285</v>
      </c>
      <c r="BL158" s="144">
        <f t="shared" si="399"/>
        <v>3875.3171721130711</v>
      </c>
      <c r="BM158" s="216">
        <f t="shared" si="400"/>
        <v>0.25</v>
      </c>
      <c r="BN158" s="216">
        <f t="shared" si="401"/>
        <v>2.3622047244094495E-2</v>
      </c>
      <c r="BO158" s="238">
        <f t="shared" si="402"/>
        <v>1.5748031496062995E-2</v>
      </c>
      <c r="BP158" s="216">
        <f t="shared" si="403"/>
        <v>0</v>
      </c>
      <c r="BQ158" s="138">
        <f t="shared" si="404"/>
        <v>0</v>
      </c>
      <c r="BR158" s="138">
        <f t="shared" si="405"/>
        <v>0</v>
      </c>
      <c r="BS158" s="238">
        <f t="shared" si="406"/>
        <v>0.25</v>
      </c>
      <c r="BT158" s="138">
        <f t="shared" si="407"/>
        <v>0</v>
      </c>
      <c r="BU158" s="138">
        <f t="shared" si="408"/>
        <v>0</v>
      </c>
      <c r="BV158" s="138">
        <f t="shared" si="409"/>
        <v>0</v>
      </c>
      <c r="BW158" s="238">
        <f t="shared" si="410"/>
        <v>0.75</v>
      </c>
      <c r="BX158" s="216">
        <f t="shared" si="411"/>
        <v>0</v>
      </c>
      <c r="BY158" s="138">
        <f t="shared" si="412"/>
        <v>0</v>
      </c>
      <c r="BZ158" s="138">
        <f t="shared" si="413"/>
        <v>0</v>
      </c>
      <c r="CA158" s="238">
        <f t="shared" si="414"/>
        <v>2.3622047244094495E-2</v>
      </c>
      <c r="CB158" s="138">
        <f t="shared" si="415"/>
        <v>0</v>
      </c>
      <c r="CC158" s="138">
        <f t="shared" si="416"/>
        <v>0</v>
      </c>
      <c r="CD158" s="138">
        <f t="shared" si="417"/>
        <v>0</v>
      </c>
      <c r="CE158" s="238">
        <f t="shared" si="418"/>
        <v>2.3622047244094495E-2</v>
      </c>
      <c r="CF158" s="216">
        <f t="shared" si="419"/>
        <v>0</v>
      </c>
      <c r="CG158" s="138">
        <f t="shared" si="420"/>
        <v>0</v>
      </c>
      <c r="CH158" s="138">
        <f t="shared" si="421"/>
        <v>0</v>
      </c>
      <c r="CI158" s="238">
        <f t="shared" si="422"/>
        <v>1.5748031496062995E-2</v>
      </c>
      <c r="CJ158" s="138">
        <f t="shared" si="423"/>
        <v>0</v>
      </c>
      <c r="CK158" s="138">
        <f t="shared" si="424"/>
        <v>0</v>
      </c>
      <c r="CL158" s="138">
        <f t="shared" si="425"/>
        <v>0</v>
      </c>
      <c r="CM158" s="238">
        <f t="shared" si="426"/>
        <v>1.5748031496062995E-2</v>
      </c>
      <c r="CN158" s="17">
        <f t="shared" si="427"/>
        <v>0.75</v>
      </c>
      <c r="CO158" s="17">
        <f t="shared" si="428"/>
        <v>2.3622047244094495E-2</v>
      </c>
      <c r="CP158" s="17">
        <f t="shared" si="429"/>
        <v>1.5748031496062995E-2</v>
      </c>
      <c r="CQ158" s="17">
        <f>$U158-IF('Inputs-Imperial'!$E$13,0,2)*($CO158+$CN158+$CP158)</f>
        <v>7.2166537742400001</v>
      </c>
      <c r="CR158" s="116">
        <f t="shared" si="430"/>
        <v>53.855669909082849</v>
      </c>
      <c r="CS158" s="8">
        <f t="shared" si="324"/>
        <v>1.3924541303593587E-3</v>
      </c>
      <c r="CT158" s="8">
        <f t="shared" si="431"/>
        <v>3.7315601701692534E-2</v>
      </c>
      <c r="CU158" s="8">
        <f t="shared" si="325"/>
        <v>1.3924541303593587E-3</v>
      </c>
      <c r="CV158" s="8">
        <f t="shared" si="432"/>
        <v>3.7315601701692534E-2</v>
      </c>
      <c r="CW158" s="216">
        <f t="shared" si="433"/>
        <v>7.1793381725383076</v>
      </c>
      <c r="CX158" s="116">
        <f t="shared" si="434"/>
        <v>54.135592191528367</v>
      </c>
      <c r="CY158" s="8">
        <f t="shared" si="435"/>
        <v>1.3996916030159776E-3</v>
      </c>
      <c r="CZ158" s="8">
        <f t="shared" si="436"/>
        <v>3.7412452512712628E-2</v>
      </c>
      <c r="DA158" s="8">
        <f t="shared" si="437"/>
        <v>1.3996916030159776E-3</v>
      </c>
      <c r="DB158" s="8">
        <f t="shared" si="438"/>
        <v>3.7412452512712628E-2</v>
      </c>
      <c r="DC158" s="216">
        <f t="shared" si="439"/>
        <v>7.1792413217272868</v>
      </c>
      <c r="DD158" s="116">
        <f t="shared" si="440"/>
        <v>54.136322502124415</v>
      </c>
      <c r="DE158" s="8">
        <f t="shared" si="441"/>
        <v>1.3997104854104893E-3</v>
      </c>
      <c r="DF158" s="8">
        <f t="shared" si="442"/>
        <v>3.7412704866268215E-2</v>
      </c>
      <c r="DG158" s="8">
        <f t="shared" si="443"/>
        <v>1.3997104854104893E-3</v>
      </c>
      <c r="DH158" s="8">
        <f t="shared" si="444"/>
        <v>3.7412704866268215E-2</v>
      </c>
      <c r="DI158" s="216">
        <f t="shared" si="445"/>
        <v>7.1792410693737319</v>
      </c>
      <c r="DJ158" s="116">
        <f t="shared" si="446"/>
        <v>54.136324405040519</v>
      </c>
      <c r="DK158" s="8">
        <f t="shared" si="447"/>
        <v>1.3997105346109429E-3</v>
      </c>
      <c r="DL158" s="8">
        <f t="shared" si="448"/>
        <v>3.7412705523804914E-2</v>
      </c>
      <c r="DM158" s="8">
        <f t="shared" si="449"/>
        <v>1.3997105346109429E-3</v>
      </c>
      <c r="DN158" s="8">
        <f t="shared" si="450"/>
        <v>3.7412705523804914E-2</v>
      </c>
      <c r="DO158" s="216">
        <f t="shared" si="451"/>
        <v>7.1792410687161956</v>
      </c>
      <c r="DP158" s="116">
        <f t="shared" si="452"/>
        <v>54.136324409998785</v>
      </c>
      <c r="DQ158" s="170">
        <f t="shared" si="453"/>
        <v>1.3997105347391403E-3</v>
      </c>
      <c r="DR158" s="8">
        <f t="shared" si="454"/>
        <v>3.7412705525518203E-2</v>
      </c>
      <c r="DS158" s="8">
        <f t="shared" si="455"/>
        <v>1.3997105347391403E-3</v>
      </c>
      <c r="DT158" s="134">
        <f t="shared" si="456"/>
        <v>3.7412705525518203E-2</v>
      </c>
      <c r="DU158" s="170">
        <f t="shared" si="566"/>
        <v>2.9973794920998782E-2</v>
      </c>
      <c r="DV158" s="170">
        <f t="shared" si="566"/>
        <v>0.17312941668300849</v>
      </c>
      <c r="DW158" s="170">
        <f t="shared" si="566"/>
        <v>2.9973794920998782E-2</v>
      </c>
      <c r="DX158" s="272">
        <f t="shared" si="566"/>
        <v>0.17312941668300849</v>
      </c>
      <c r="DY158" s="272">
        <f t="shared" si="457"/>
        <v>6.8703949408739833</v>
      </c>
      <c r="DZ158" s="22">
        <f t="shared" si="326"/>
        <v>12.718062099915974</v>
      </c>
      <c r="EA158" s="216">
        <f t="shared" si="571"/>
        <v>8.332344728931466E-4</v>
      </c>
      <c r="EB158" s="12">
        <f t="shared" si="458"/>
        <v>1</v>
      </c>
      <c r="EC158" s="7">
        <f>ROUND(MAX(DV158,DX158)/'Inputs-Imperial'!$E$21,0)</f>
        <v>1</v>
      </c>
      <c r="ED158" s="12">
        <f t="shared" si="459"/>
        <v>1</v>
      </c>
      <c r="EE158" s="2">
        <f t="shared" si="460"/>
        <v>2</v>
      </c>
      <c r="EF158" s="127">
        <f t="shared" si="461"/>
        <v>2</v>
      </c>
      <c r="EG158" s="2">
        <f t="shared" si="462"/>
        <v>1.5748031496062995E-2</v>
      </c>
      <c r="EH158" s="8">
        <f t="shared" si="328"/>
        <v>8.7687792853707123E-3</v>
      </c>
      <c r="EI158" s="138">
        <f t="shared" si="463"/>
        <v>0.25</v>
      </c>
      <c r="EJ158" s="12">
        <f t="shared" si="329"/>
        <v>726.83724901019775</v>
      </c>
      <c r="EK158" s="138">
        <f t="shared" si="464"/>
        <v>0.25</v>
      </c>
      <c r="EL158" s="116">
        <f t="shared" si="465"/>
        <v>2175570</v>
      </c>
      <c r="EM158" s="2">
        <f t="shared" si="330"/>
        <v>1.5748031496062995E-2</v>
      </c>
      <c r="EN158" s="8">
        <f t="shared" si="466"/>
        <v>7.2166537742400001</v>
      </c>
      <c r="EO158" s="116">
        <f t="shared" si="467"/>
        <v>2610.6840000000002</v>
      </c>
      <c r="EP158" s="217">
        <f t="shared" si="468"/>
        <v>0.31087303047893217</v>
      </c>
      <c r="EQ158" s="207">
        <f t="shared" si="469"/>
        <v>2.5547207829419145</v>
      </c>
      <c r="ER158" s="144">
        <f t="shared" si="470"/>
        <v>16457.525387568941</v>
      </c>
      <c r="ES158" s="138">
        <f t="shared" si="572"/>
        <v>0.25</v>
      </c>
      <c r="ET158" s="116">
        <f t="shared" si="471"/>
        <v>2175570</v>
      </c>
      <c r="EU158" s="2">
        <f t="shared" si="332"/>
        <v>1.5748031496062995E-2</v>
      </c>
      <c r="EV158" s="8">
        <f t="shared" si="472"/>
        <v>7.2166537742400001</v>
      </c>
      <c r="EW158" s="116">
        <f t="shared" si="473"/>
        <v>2610.6840000000002</v>
      </c>
      <c r="EX158" s="217">
        <f t="shared" si="474"/>
        <v>0.31087303047893217</v>
      </c>
      <c r="EY158" s="207">
        <f t="shared" si="475"/>
        <v>2.5547207829419145</v>
      </c>
      <c r="EZ158" s="144">
        <f t="shared" si="476"/>
        <v>16457.525387568941</v>
      </c>
      <c r="FA158" s="138">
        <f t="shared" si="573"/>
        <v>0.25</v>
      </c>
      <c r="FB158" s="116">
        <f t="shared" si="477"/>
        <v>2175570</v>
      </c>
      <c r="FC158" s="2">
        <f t="shared" si="334"/>
        <v>1.5748031496062995E-2</v>
      </c>
      <c r="FD158" s="8">
        <f t="shared" si="478"/>
        <v>7.2166537742400001</v>
      </c>
      <c r="FE158" s="116">
        <f t="shared" si="479"/>
        <v>2610.6840000000002</v>
      </c>
      <c r="FF158" s="217">
        <f t="shared" si="480"/>
        <v>0.31087303047893217</v>
      </c>
      <c r="FG158" s="207">
        <f t="shared" si="481"/>
        <v>2.5547207829419145</v>
      </c>
      <c r="FH158" s="144">
        <f t="shared" si="482"/>
        <v>16457.525387568941</v>
      </c>
      <c r="FI158" s="128">
        <f t="shared" si="483"/>
        <v>0.25</v>
      </c>
      <c r="FJ158" s="2">
        <f t="shared" si="484"/>
        <v>1.5748031496062995E-2</v>
      </c>
      <c r="FK158" s="127">
        <f t="shared" si="485"/>
        <v>1.5748031496062995E-2</v>
      </c>
      <c r="FL158" s="216">
        <f t="shared" si="486"/>
        <v>0</v>
      </c>
      <c r="FM158" s="138">
        <f t="shared" si="487"/>
        <v>0</v>
      </c>
      <c r="FN158" s="138">
        <f t="shared" si="488"/>
        <v>0</v>
      </c>
      <c r="FO158" s="238">
        <f t="shared" si="489"/>
        <v>0.25</v>
      </c>
      <c r="FP158" s="216">
        <f t="shared" si="335"/>
        <v>0</v>
      </c>
      <c r="FQ158" s="138">
        <f t="shared" si="336"/>
        <v>0</v>
      </c>
      <c r="FR158" s="138">
        <f t="shared" si="337"/>
        <v>0</v>
      </c>
      <c r="FS158" s="238">
        <f t="shared" si="338"/>
        <v>0.25</v>
      </c>
      <c r="FT158" s="216">
        <f t="shared" si="490"/>
        <v>0</v>
      </c>
      <c r="FU158" s="138">
        <f t="shared" si="491"/>
        <v>0</v>
      </c>
      <c r="FV158" s="138">
        <f t="shared" si="492"/>
        <v>0</v>
      </c>
      <c r="FW158" s="238">
        <f t="shared" si="493"/>
        <v>1.5748031496062995E-2</v>
      </c>
      <c r="FX158" s="216">
        <f t="shared" si="339"/>
        <v>0</v>
      </c>
      <c r="FY158" s="138">
        <f t="shared" si="340"/>
        <v>0</v>
      </c>
      <c r="FZ158" s="138">
        <f t="shared" si="341"/>
        <v>0</v>
      </c>
      <c r="GA158" s="238">
        <f t="shared" si="342"/>
        <v>2.3622047244094495E-2</v>
      </c>
      <c r="GB158" s="216">
        <f t="shared" si="494"/>
        <v>0</v>
      </c>
      <c r="GC158" s="138">
        <f t="shared" si="495"/>
        <v>0</v>
      </c>
      <c r="GD158" s="138">
        <f t="shared" si="496"/>
        <v>0</v>
      </c>
      <c r="GE158" s="238">
        <f t="shared" si="497"/>
        <v>1.5748031496062995E-2</v>
      </c>
      <c r="GF158" s="216">
        <f t="shared" si="343"/>
        <v>0</v>
      </c>
      <c r="GG158" s="138">
        <f t="shared" si="344"/>
        <v>0</v>
      </c>
      <c r="GH158" s="138">
        <f t="shared" si="345"/>
        <v>0</v>
      </c>
      <c r="GI158" s="238">
        <f t="shared" si="346"/>
        <v>2.3622047244094495E-2</v>
      </c>
      <c r="GJ158" s="216">
        <f t="shared" si="498"/>
        <v>0.25</v>
      </c>
      <c r="GK158" s="216">
        <f t="shared" si="499"/>
        <v>2.3622047244094495E-2</v>
      </c>
      <c r="GL158" s="17">
        <f t="shared" si="500"/>
        <v>2.3622047244094495E-2</v>
      </c>
      <c r="GM158" s="216">
        <f t="shared" si="347"/>
        <v>2.8857881105669408E-4</v>
      </c>
      <c r="GN158" s="2">
        <f t="shared" si="501"/>
        <v>1</v>
      </c>
      <c r="GO158" s="2">
        <f t="shared" si="502"/>
        <v>2</v>
      </c>
      <c r="GP158" s="142">
        <f t="shared" si="503"/>
        <v>2</v>
      </c>
      <c r="GQ158" s="2">
        <f t="shared" si="504"/>
        <v>1.5748031496062995E-2</v>
      </c>
      <c r="GR158" s="8">
        <f t="shared" si="348"/>
        <v>3.0369409606932521E-3</v>
      </c>
      <c r="GS158" s="138">
        <f t="shared" si="505"/>
        <v>0.25</v>
      </c>
      <c r="GT158" s="12">
        <f t="shared" si="349"/>
        <v>251.7296583070914</v>
      </c>
      <c r="GU158" s="138">
        <f t="shared" si="506"/>
        <v>0.25</v>
      </c>
      <c r="GV158" s="116">
        <f t="shared" si="507"/>
        <v>2175570</v>
      </c>
      <c r="GW158" s="2">
        <f t="shared" si="350"/>
        <v>1.5748031496062995E-2</v>
      </c>
      <c r="GX158" s="8">
        <f t="shared" si="351"/>
        <v>3.60832688712</v>
      </c>
      <c r="GY158" s="116">
        <f t="shared" si="508"/>
        <v>2610.6840000000002</v>
      </c>
      <c r="GZ158" s="217">
        <f t="shared" si="509"/>
        <v>1.2434921219157287</v>
      </c>
      <c r="HA158" s="207">
        <f t="shared" si="510"/>
        <v>2</v>
      </c>
      <c r="HB158" s="144">
        <f t="shared" si="511"/>
        <v>51536.04416563164</v>
      </c>
      <c r="HC158" s="138">
        <f t="shared" si="574"/>
        <v>0.25</v>
      </c>
      <c r="HD158" s="116">
        <f t="shared" si="512"/>
        <v>2175570</v>
      </c>
      <c r="HE158" s="2">
        <f t="shared" si="353"/>
        <v>1.5748031496062995E-2</v>
      </c>
      <c r="HF158" s="8">
        <f t="shared" si="513"/>
        <v>3.60832688712</v>
      </c>
      <c r="HG158" s="116">
        <f t="shared" si="514"/>
        <v>2610.6840000000002</v>
      </c>
      <c r="HH158" s="217">
        <f t="shared" si="515"/>
        <v>1.2434921219157287</v>
      </c>
      <c r="HI158" s="207">
        <f t="shared" si="516"/>
        <v>2</v>
      </c>
      <c r="HJ158" s="144">
        <f t="shared" si="517"/>
        <v>51536.04416563164</v>
      </c>
      <c r="HK158" s="138">
        <f t="shared" si="575"/>
        <v>0.25</v>
      </c>
      <c r="HL158" s="116">
        <f t="shared" si="518"/>
        <v>2175570</v>
      </c>
      <c r="HM158" s="2">
        <f t="shared" si="355"/>
        <v>1.5748031496062995E-2</v>
      </c>
      <c r="HN158" s="8">
        <f t="shared" si="519"/>
        <v>3.60832688712</v>
      </c>
      <c r="HO158" s="116">
        <f t="shared" si="520"/>
        <v>2610.6840000000002</v>
      </c>
      <c r="HP158" s="217">
        <f t="shared" si="521"/>
        <v>1.2434921219157287</v>
      </c>
      <c r="HQ158" s="207">
        <f t="shared" si="522"/>
        <v>2</v>
      </c>
      <c r="HR158" s="144">
        <f t="shared" si="523"/>
        <v>51536.04416563164</v>
      </c>
      <c r="HS158" s="128">
        <f t="shared" si="524"/>
        <v>0.25</v>
      </c>
      <c r="HT158" s="2">
        <f t="shared" si="525"/>
        <v>1.5748031496062995E-2</v>
      </c>
      <c r="HU158" s="127">
        <f t="shared" si="526"/>
        <v>1.5748031496062995E-2</v>
      </c>
      <c r="HV158" s="216">
        <f t="shared" si="527"/>
        <v>0</v>
      </c>
      <c r="HW158" s="138">
        <f t="shared" si="528"/>
        <v>0</v>
      </c>
      <c r="HX158" s="138">
        <f t="shared" si="529"/>
        <v>0</v>
      </c>
      <c r="HY158" s="238">
        <f t="shared" si="530"/>
        <v>0.25</v>
      </c>
      <c r="HZ158" s="138">
        <f t="shared" si="531"/>
        <v>0</v>
      </c>
      <c r="IA158" s="138">
        <f t="shared" si="532"/>
        <v>0</v>
      </c>
      <c r="IB158" s="138">
        <f t="shared" si="533"/>
        <v>0</v>
      </c>
      <c r="IC158" s="138">
        <f t="shared" si="534"/>
        <v>0.25</v>
      </c>
      <c r="ID158" s="216">
        <f t="shared" si="535"/>
        <v>0</v>
      </c>
      <c r="IE158" s="138">
        <f t="shared" si="536"/>
        <v>0</v>
      </c>
      <c r="IF158" s="138">
        <f t="shared" si="537"/>
        <v>0</v>
      </c>
      <c r="IG158" s="238">
        <f t="shared" si="538"/>
        <v>1.5748031496062995E-2</v>
      </c>
      <c r="IH158" s="138">
        <f t="shared" si="539"/>
        <v>0</v>
      </c>
      <c r="II158" s="138">
        <f t="shared" si="540"/>
        <v>0</v>
      </c>
      <c r="IJ158" s="138">
        <f t="shared" si="541"/>
        <v>0</v>
      </c>
      <c r="IK158" s="138">
        <f t="shared" si="542"/>
        <v>1.5748031496062995E-2</v>
      </c>
      <c r="IL158" s="216">
        <f t="shared" si="543"/>
        <v>0</v>
      </c>
      <c r="IM158" s="138">
        <f t="shared" si="544"/>
        <v>0</v>
      </c>
      <c r="IN158" s="138">
        <f t="shared" si="545"/>
        <v>0</v>
      </c>
      <c r="IO158" s="238">
        <f t="shared" si="546"/>
        <v>1.5748031496062995E-2</v>
      </c>
      <c r="IP158" s="138">
        <f t="shared" si="547"/>
        <v>0</v>
      </c>
      <c r="IQ158" s="138">
        <f t="shared" si="548"/>
        <v>0</v>
      </c>
      <c r="IR158" s="138">
        <f t="shared" si="549"/>
        <v>0</v>
      </c>
      <c r="IS158" s="138">
        <f t="shared" si="550"/>
        <v>1.5748031496062995E-2</v>
      </c>
      <c r="IT158" s="17">
        <f t="shared" si="551"/>
        <v>0.25</v>
      </c>
      <c r="IU158" s="17">
        <f t="shared" si="552"/>
        <v>1.5748031496062995E-2</v>
      </c>
      <c r="IV158" s="17">
        <f t="shared" si="553"/>
        <v>1.5748031496062995E-2</v>
      </c>
      <c r="IW158" s="253">
        <f t="shared" si="554"/>
        <v>20.046260484000001</v>
      </c>
      <c r="IX158" s="116">
        <f t="shared" si="576"/>
        <v>1.9388041167269825</v>
      </c>
      <c r="IY158" s="8">
        <f t="shared" si="357"/>
        <v>5.0128348692936909E-5</v>
      </c>
      <c r="IZ158" s="8">
        <f t="shared" si="555"/>
        <v>5.0128348692936909E-5</v>
      </c>
      <c r="JA158" s="8">
        <f t="shared" si="556"/>
        <v>2.5064174346468455E-5</v>
      </c>
      <c r="JB158" s="134">
        <f t="shared" si="557"/>
        <v>5.0064133215774794E-3</v>
      </c>
      <c r="JC158" s="170">
        <f t="shared" si="567"/>
        <v>5.2711395752220482E-4</v>
      </c>
      <c r="JD158" s="272">
        <f t="shared" si="568"/>
        <v>2.2958962466152619E-2</v>
      </c>
      <c r="JE158" s="8"/>
      <c r="JF158" s="8"/>
    </row>
    <row r="159" spans="1:266" x14ac:dyDescent="0.25">
      <c r="A159" s="186">
        <v>99</v>
      </c>
      <c r="B159" s="187">
        <f>A159/100*'Inputs-Imperial'!$E$5</f>
        <v>23.840551943999998</v>
      </c>
      <c r="C159" s="188">
        <f>'Inputs-Imperial'!$E$10+('Inputs-Imperial'!$E$9-'Inputs-Imperial'!$E$10)*(100-A159)/100</f>
        <v>3.3232448570000002</v>
      </c>
      <c r="D159" s="187">
        <f t="shared" si="558"/>
        <v>0.24081365600000026</v>
      </c>
      <c r="E159" s="188">
        <f t="shared" si="559"/>
        <v>0.80242581158871529</v>
      </c>
      <c r="F159" s="423">
        <f>Loads!P119</f>
        <v>4.2712779409173143</v>
      </c>
      <c r="G159" s="423">
        <f>Loads!M119</f>
        <v>42.712779409173145</v>
      </c>
      <c r="H159" s="423">
        <f>Loads!N119</f>
        <v>10.285820567444516</v>
      </c>
      <c r="I159" s="423">
        <f>Loads!V119</f>
        <v>-38.825819631711084</v>
      </c>
      <c r="J159" s="423">
        <f>Loads!Q119</f>
        <v>1.0285820567444515</v>
      </c>
      <c r="K159" s="2">
        <v>99</v>
      </c>
      <c r="L159" s="12">
        <f t="shared" si="358"/>
        <v>286.08662332799997</v>
      </c>
      <c r="M159" s="11">
        <f t="shared" si="359"/>
        <v>39.878938284</v>
      </c>
      <c r="N159" s="11">
        <f t="shared" si="360"/>
        <v>2.8897638720000032</v>
      </c>
      <c r="O159" s="152">
        <f t="shared" si="361"/>
        <v>115.54931686877501</v>
      </c>
      <c r="P159" s="151">
        <f t="shared" si="362"/>
        <v>4.2712779409173143</v>
      </c>
      <c r="Q159" s="12">
        <f t="shared" si="363"/>
        <v>42.712779409173145</v>
      </c>
      <c r="R159" s="12">
        <f t="shared" si="364"/>
        <v>123.42984680933418</v>
      </c>
      <c r="S159" s="12">
        <f t="shared" si="365"/>
        <v>-465.90983558053301</v>
      </c>
      <c r="T159" s="152">
        <f t="shared" si="366"/>
        <v>12.342984680933418</v>
      </c>
      <c r="U159" s="8">
        <f t="shared" si="313"/>
        <v>7.1782088911199997</v>
      </c>
      <c r="V159" s="8">
        <f t="shared" si="314"/>
        <v>7.1782088911199997</v>
      </c>
      <c r="W159" s="134">
        <f t="shared" si="315"/>
        <v>3.5891044455599999</v>
      </c>
      <c r="X159" s="311">
        <f t="shared" si="316"/>
        <v>9.969734571</v>
      </c>
      <c r="Y159" s="11">
        <f t="shared" si="317"/>
        <v>29.909203713</v>
      </c>
      <c r="Z159" s="11">
        <f t="shared" si="569"/>
        <v>19.939469142</v>
      </c>
      <c r="AA159" s="316">
        <f t="shared" si="367"/>
        <v>29.909203713</v>
      </c>
      <c r="AB159" s="170">
        <f t="shared" si="368"/>
        <v>5.3836566683399996</v>
      </c>
      <c r="AC159" s="11">
        <f t="shared" si="369"/>
        <v>29.909203713</v>
      </c>
      <c r="AD159" s="152">
        <f t="shared" si="370"/>
        <v>126.46550657341129</v>
      </c>
      <c r="AE159" s="151">
        <f t="shared" si="319"/>
        <v>0.14280814634529398</v>
      </c>
      <c r="AF159" s="12">
        <f t="shared" si="320"/>
        <v>1.8420431317771202</v>
      </c>
      <c r="AG159" s="216">
        <f t="shared" si="570"/>
        <v>1.3003919115228606E-4</v>
      </c>
      <c r="AH159" s="2">
        <f t="shared" si="371"/>
        <v>1</v>
      </c>
      <c r="AI159" s="2">
        <f t="shared" si="372"/>
        <v>3</v>
      </c>
      <c r="AJ159" s="127">
        <f t="shared" si="373"/>
        <v>2</v>
      </c>
      <c r="AK159" s="2">
        <f t="shared" si="374"/>
        <v>1.5748031496062995E-2</v>
      </c>
      <c r="AL159" s="8">
        <f t="shared" si="322"/>
        <v>1.3685043079209682E-3</v>
      </c>
      <c r="AM159" s="138">
        <f t="shared" si="375"/>
        <v>0.25</v>
      </c>
      <c r="AN159" s="12">
        <f t="shared" si="323"/>
        <v>113.43425054469594</v>
      </c>
      <c r="AO159" s="138">
        <f t="shared" si="376"/>
        <v>0.25</v>
      </c>
      <c r="AP159" s="116">
        <f t="shared" si="377"/>
        <v>2175570</v>
      </c>
      <c r="AQ159" s="2">
        <f t="shared" si="378"/>
        <v>1.5748031496062995E-2</v>
      </c>
      <c r="AR159" s="8">
        <f t="shared" si="379"/>
        <v>19.939469142</v>
      </c>
      <c r="AS159" s="116">
        <f t="shared" si="380"/>
        <v>2610.6840000000002</v>
      </c>
      <c r="AT159" s="217">
        <f t="shared" si="381"/>
        <v>4.0721859734085125E-2</v>
      </c>
      <c r="AU159" s="207">
        <f t="shared" si="382"/>
        <v>4.6354158101177063</v>
      </c>
      <c r="AV159" s="144">
        <f t="shared" si="383"/>
        <v>3911.5991868964766</v>
      </c>
      <c r="AW159" s="138">
        <f t="shared" si="384"/>
        <v>0.25</v>
      </c>
      <c r="AX159" s="116">
        <f t="shared" si="385"/>
        <v>2175570</v>
      </c>
      <c r="AY159" s="2">
        <f t="shared" si="386"/>
        <v>1.5748031496062995E-2</v>
      </c>
      <c r="AZ159" s="8">
        <f t="shared" si="387"/>
        <v>19.939469142</v>
      </c>
      <c r="BA159" s="116">
        <f t="shared" si="388"/>
        <v>2610.6840000000002</v>
      </c>
      <c r="BB159" s="217">
        <f t="shared" si="389"/>
        <v>4.0721859734085125E-2</v>
      </c>
      <c r="BC159" s="207">
        <f t="shared" si="390"/>
        <v>4.6354158101177063</v>
      </c>
      <c r="BD159" s="144">
        <f t="shared" si="391"/>
        <v>3911.5991868964766</v>
      </c>
      <c r="BE159" s="138">
        <f t="shared" si="392"/>
        <v>0.25</v>
      </c>
      <c r="BF159" s="116">
        <f t="shared" si="393"/>
        <v>2175570</v>
      </c>
      <c r="BG159" s="2">
        <f t="shared" si="394"/>
        <v>1.5748031496062995E-2</v>
      </c>
      <c r="BH159" s="8">
        <f t="shared" si="395"/>
        <v>19.939469142</v>
      </c>
      <c r="BI159" s="116">
        <f t="shared" si="396"/>
        <v>2610.6840000000002</v>
      </c>
      <c r="BJ159" s="217">
        <f t="shared" si="397"/>
        <v>4.0721859734085125E-2</v>
      </c>
      <c r="BK159" s="207">
        <f t="shared" si="398"/>
        <v>4.6354158101177063</v>
      </c>
      <c r="BL159" s="144">
        <f t="shared" si="399"/>
        <v>3911.5991868964766</v>
      </c>
      <c r="BM159" s="216">
        <f t="shared" si="400"/>
        <v>0.25</v>
      </c>
      <c r="BN159" s="216">
        <f t="shared" si="401"/>
        <v>2.3622047244094495E-2</v>
      </c>
      <c r="BO159" s="238">
        <f t="shared" si="402"/>
        <v>1.5748031496062995E-2</v>
      </c>
      <c r="BP159" s="216">
        <f t="shared" si="403"/>
        <v>0</v>
      </c>
      <c r="BQ159" s="138">
        <f t="shared" si="404"/>
        <v>0</v>
      </c>
      <c r="BR159" s="138">
        <f t="shared" si="405"/>
        <v>0</v>
      </c>
      <c r="BS159" s="238">
        <f t="shared" si="406"/>
        <v>0.25</v>
      </c>
      <c r="BT159" s="138">
        <f t="shared" si="407"/>
        <v>0</v>
      </c>
      <c r="BU159" s="138">
        <f t="shared" si="408"/>
        <v>0</v>
      </c>
      <c r="BV159" s="138">
        <f t="shared" si="409"/>
        <v>0</v>
      </c>
      <c r="BW159" s="238">
        <f t="shared" si="410"/>
        <v>0.75</v>
      </c>
      <c r="BX159" s="216">
        <f t="shared" si="411"/>
        <v>0</v>
      </c>
      <c r="BY159" s="138">
        <f t="shared" si="412"/>
        <v>0</v>
      </c>
      <c r="BZ159" s="138">
        <f t="shared" si="413"/>
        <v>0</v>
      </c>
      <c r="CA159" s="238">
        <f t="shared" si="414"/>
        <v>2.3622047244094495E-2</v>
      </c>
      <c r="CB159" s="138">
        <f t="shared" si="415"/>
        <v>0</v>
      </c>
      <c r="CC159" s="138">
        <f t="shared" si="416"/>
        <v>0</v>
      </c>
      <c r="CD159" s="138">
        <f t="shared" si="417"/>
        <v>0</v>
      </c>
      <c r="CE159" s="238">
        <f t="shared" si="418"/>
        <v>2.3622047244094495E-2</v>
      </c>
      <c r="CF159" s="216">
        <f t="shared" si="419"/>
        <v>0</v>
      </c>
      <c r="CG159" s="138">
        <f t="shared" si="420"/>
        <v>0</v>
      </c>
      <c r="CH159" s="138">
        <f t="shared" si="421"/>
        <v>0</v>
      </c>
      <c r="CI159" s="238">
        <f t="shared" si="422"/>
        <v>1.5748031496062995E-2</v>
      </c>
      <c r="CJ159" s="138">
        <f t="shared" si="423"/>
        <v>0</v>
      </c>
      <c r="CK159" s="138">
        <f t="shared" si="424"/>
        <v>0</v>
      </c>
      <c r="CL159" s="138">
        <f t="shared" si="425"/>
        <v>0</v>
      </c>
      <c r="CM159" s="238">
        <f t="shared" si="426"/>
        <v>1.5748031496062995E-2</v>
      </c>
      <c r="CN159" s="17">
        <f t="shared" si="427"/>
        <v>0.75</v>
      </c>
      <c r="CO159" s="17">
        <f t="shared" si="428"/>
        <v>2.3622047244094495E-2</v>
      </c>
      <c r="CP159" s="17">
        <f t="shared" si="429"/>
        <v>1.5748031496062995E-2</v>
      </c>
      <c r="CQ159" s="17">
        <f>$U159-IF('Inputs-Imperial'!$E$13,0,2)*($CO159+$CN159+$CP159)</f>
        <v>7.1782088911199997</v>
      </c>
      <c r="CR159" s="116">
        <f t="shared" si="430"/>
        <v>17.195075913996661</v>
      </c>
      <c r="CS159" s="8">
        <f t="shared" si="324"/>
        <v>4.4458372755751924E-4</v>
      </c>
      <c r="CT159" s="8">
        <f t="shared" si="431"/>
        <v>2.1085154198096805E-2</v>
      </c>
      <c r="CU159" s="8">
        <f t="shared" si="325"/>
        <v>4.4458372755751924E-4</v>
      </c>
      <c r="CV159" s="8">
        <f t="shared" si="432"/>
        <v>2.1085154198096805E-2</v>
      </c>
      <c r="CW159" s="216">
        <f t="shared" si="433"/>
        <v>7.1571237369219025</v>
      </c>
      <c r="CX159" s="116">
        <f t="shared" si="434"/>
        <v>17.245733250717588</v>
      </c>
      <c r="CY159" s="8">
        <f t="shared" si="435"/>
        <v>4.4589348784588142E-4</v>
      </c>
      <c r="CZ159" s="8">
        <f t="shared" si="436"/>
        <v>2.1116190183029737E-2</v>
      </c>
      <c r="DA159" s="8">
        <f t="shared" si="437"/>
        <v>4.4589348784588142E-4</v>
      </c>
      <c r="DB159" s="8">
        <f t="shared" si="438"/>
        <v>2.1116190183029737E-2</v>
      </c>
      <c r="DC159" s="216">
        <f t="shared" si="439"/>
        <v>7.1570927009369703</v>
      </c>
      <c r="DD159" s="116">
        <f t="shared" si="440"/>
        <v>17.245808035038497</v>
      </c>
      <c r="DE159" s="8">
        <f t="shared" si="441"/>
        <v>4.4589542141641747E-4</v>
      </c>
      <c r="DF159" s="8">
        <f t="shared" si="442"/>
        <v>2.1116235967056664E-2</v>
      </c>
      <c r="DG159" s="8">
        <f t="shared" si="443"/>
        <v>4.4589542141641747E-4</v>
      </c>
      <c r="DH159" s="8">
        <f t="shared" si="444"/>
        <v>2.1116235967056664E-2</v>
      </c>
      <c r="DI159" s="216">
        <f t="shared" si="445"/>
        <v>7.157092655152943</v>
      </c>
      <c r="DJ159" s="116">
        <f t="shared" si="446"/>
        <v>17.245808145360186</v>
      </c>
      <c r="DK159" s="8">
        <f t="shared" si="447"/>
        <v>4.458954242688171E-4</v>
      </c>
      <c r="DL159" s="8">
        <f t="shared" si="448"/>
        <v>2.11162360345971E-2</v>
      </c>
      <c r="DM159" s="8">
        <f t="shared" si="449"/>
        <v>4.458954242688171E-4</v>
      </c>
      <c r="DN159" s="8">
        <f t="shared" si="450"/>
        <v>2.11162360345971E-2</v>
      </c>
      <c r="DO159" s="216">
        <f t="shared" si="451"/>
        <v>7.1570926550854024</v>
      </c>
      <c r="DP159" s="116">
        <f t="shared" si="452"/>
        <v>17.245808145522933</v>
      </c>
      <c r="DQ159" s="170">
        <f t="shared" si="453"/>
        <v>4.4589542427302494E-4</v>
      </c>
      <c r="DR159" s="8">
        <f t="shared" si="454"/>
        <v>2.1116236034696735E-2</v>
      </c>
      <c r="DS159" s="8">
        <f t="shared" si="455"/>
        <v>4.4589542427302494E-4</v>
      </c>
      <c r="DT159" s="134">
        <f t="shared" si="456"/>
        <v>2.1116236034696735E-2</v>
      </c>
      <c r="DU159" s="170">
        <f t="shared" si="566"/>
        <v>2.9973794920998782E-2</v>
      </c>
      <c r="DV159" s="170">
        <f t="shared" si="566"/>
        <v>0.17312941668300849</v>
      </c>
      <c r="DW159" s="170">
        <f t="shared" si="566"/>
        <v>2.9973794920998782E-2</v>
      </c>
      <c r="DX159" s="272">
        <f t="shared" si="566"/>
        <v>0.17312941668300849</v>
      </c>
      <c r="DY159" s="272">
        <f t="shared" si="457"/>
        <v>6.8319500577539829</v>
      </c>
      <c r="DZ159" s="22">
        <f t="shared" si="326"/>
        <v>5.9503394310539166</v>
      </c>
      <c r="EA159" s="216">
        <f t="shared" si="571"/>
        <v>3.8984146329984286E-4</v>
      </c>
      <c r="EB159" s="12">
        <f t="shared" si="458"/>
        <v>1</v>
      </c>
      <c r="EC159" s="7">
        <f>ROUND(MAX(DV159,DX159)/'Inputs-Imperial'!$E$21,0)</f>
        <v>1</v>
      </c>
      <c r="ED159" s="12">
        <f t="shared" si="459"/>
        <v>1</v>
      </c>
      <c r="EE159" s="2">
        <f t="shared" si="460"/>
        <v>2</v>
      </c>
      <c r="EF159" s="127">
        <f t="shared" si="461"/>
        <v>2</v>
      </c>
      <c r="EG159" s="2">
        <f t="shared" si="462"/>
        <v>1.5748031496062995E-2</v>
      </c>
      <c r="EH159" s="8">
        <f t="shared" si="328"/>
        <v>4.1026072002191948E-3</v>
      </c>
      <c r="EI159" s="138">
        <f t="shared" si="463"/>
        <v>0.25</v>
      </c>
      <c r="EJ159" s="12">
        <f t="shared" si="329"/>
        <v>340.06189848473127</v>
      </c>
      <c r="EK159" s="138">
        <f t="shared" si="464"/>
        <v>0.25</v>
      </c>
      <c r="EL159" s="116">
        <f t="shared" si="465"/>
        <v>2175570</v>
      </c>
      <c r="EM159" s="2">
        <f t="shared" si="330"/>
        <v>1.5748031496062995E-2</v>
      </c>
      <c r="EN159" s="8">
        <f t="shared" si="466"/>
        <v>7.1782088911199997</v>
      </c>
      <c r="EO159" s="116">
        <f t="shared" si="467"/>
        <v>2610.6840000000002</v>
      </c>
      <c r="EP159" s="217">
        <f t="shared" si="468"/>
        <v>0.31421188066423711</v>
      </c>
      <c r="EQ159" s="207">
        <f t="shared" si="469"/>
        <v>2.5396086487004434</v>
      </c>
      <c r="ER159" s="144">
        <f t="shared" si="470"/>
        <v>16535.885078518135</v>
      </c>
      <c r="ES159" s="138">
        <f t="shared" si="572"/>
        <v>0.25</v>
      </c>
      <c r="ET159" s="116">
        <f t="shared" si="471"/>
        <v>2175570</v>
      </c>
      <c r="EU159" s="2">
        <f t="shared" si="332"/>
        <v>1.5748031496062995E-2</v>
      </c>
      <c r="EV159" s="8">
        <f t="shared" si="472"/>
        <v>7.1782088911199997</v>
      </c>
      <c r="EW159" s="116">
        <f t="shared" si="473"/>
        <v>2610.6840000000002</v>
      </c>
      <c r="EX159" s="217">
        <f t="shared" si="474"/>
        <v>0.31421188066423711</v>
      </c>
      <c r="EY159" s="207">
        <f t="shared" si="475"/>
        <v>2.5396086487004434</v>
      </c>
      <c r="EZ159" s="144">
        <f t="shared" si="476"/>
        <v>16535.885078518135</v>
      </c>
      <c r="FA159" s="138">
        <f t="shared" si="573"/>
        <v>0.25</v>
      </c>
      <c r="FB159" s="116">
        <f t="shared" si="477"/>
        <v>2175570</v>
      </c>
      <c r="FC159" s="2">
        <f t="shared" si="334"/>
        <v>1.5748031496062995E-2</v>
      </c>
      <c r="FD159" s="8">
        <f t="shared" si="478"/>
        <v>7.1782088911199997</v>
      </c>
      <c r="FE159" s="116">
        <f t="shared" si="479"/>
        <v>2610.6840000000002</v>
      </c>
      <c r="FF159" s="217">
        <f t="shared" si="480"/>
        <v>0.31421188066423711</v>
      </c>
      <c r="FG159" s="207">
        <f t="shared" si="481"/>
        <v>2.5396086487004434</v>
      </c>
      <c r="FH159" s="144">
        <f t="shared" si="482"/>
        <v>16535.885078518135</v>
      </c>
      <c r="FI159" s="128">
        <f t="shared" si="483"/>
        <v>0.25</v>
      </c>
      <c r="FJ159" s="2">
        <f t="shared" si="484"/>
        <v>1.5748031496062995E-2</v>
      </c>
      <c r="FK159" s="127">
        <f t="shared" si="485"/>
        <v>1.5748031496062995E-2</v>
      </c>
      <c r="FL159" s="216">
        <f t="shared" si="486"/>
        <v>0</v>
      </c>
      <c r="FM159" s="138">
        <f t="shared" si="487"/>
        <v>0</v>
      </c>
      <c r="FN159" s="138">
        <f t="shared" si="488"/>
        <v>0</v>
      </c>
      <c r="FO159" s="238">
        <f t="shared" si="489"/>
        <v>0.25</v>
      </c>
      <c r="FP159" s="216">
        <f t="shared" si="335"/>
        <v>0</v>
      </c>
      <c r="FQ159" s="138">
        <f t="shared" si="336"/>
        <v>0</v>
      </c>
      <c r="FR159" s="138">
        <f t="shared" si="337"/>
        <v>0</v>
      </c>
      <c r="FS159" s="238">
        <f t="shared" si="338"/>
        <v>0.25</v>
      </c>
      <c r="FT159" s="216">
        <f t="shared" si="490"/>
        <v>0</v>
      </c>
      <c r="FU159" s="138">
        <f t="shared" si="491"/>
        <v>0</v>
      </c>
      <c r="FV159" s="138">
        <f t="shared" si="492"/>
        <v>0</v>
      </c>
      <c r="FW159" s="238">
        <f t="shared" si="493"/>
        <v>1.5748031496062995E-2</v>
      </c>
      <c r="FX159" s="216">
        <f t="shared" si="339"/>
        <v>0</v>
      </c>
      <c r="FY159" s="138">
        <f t="shared" si="340"/>
        <v>0</v>
      </c>
      <c r="FZ159" s="138">
        <f t="shared" si="341"/>
        <v>0</v>
      </c>
      <c r="GA159" s="238">
        <f t="shared" si="342"/>
        <v>2.3622047244094495E-2</v>
      </c>
      <c r="GB159" s="216">
        <f t="shared" si="494"/>
        <v>0</v>
      </c>
      <c r="GC159" s="138">
        <f t="shared" si="495"/>
        <v>0</v>
      </c>
      <c r="GD159" s="138">
        <f t="shared" si="496"/>
        <v>0</v>
      </c>
      <c r="GE159" s="238">
        <f t="shared" si="497"/>
        <v>1.5748031496062995E-2</v>
      </c>
      <c r="GF159" s="216">
        <f t="shared" si="343"/>
        <v>0</v>
      </c>
      <c r="GG159" s="138">
        <f t="shared" si="344"/>
        <v>0</v>
      </c>
      <c r="GH159" s="138">
        <f t="shared" si="345"/>
        <v>0</v>
      </c>
      <c r="GI159" s="238">
        <f t="shared" si="346"/>
        <v>2.3622047244094495E-2</v>
      </c>
      <c r="GJ159" s="216">
        <f t="shared" si="498"/>
        <v>0.25</v>
      </c>
      <c r="GK159" s="216">
        <f t="shared" si="499"/>
        <v>2.3622047244094495E-2</v>
      </c>
      <c r="GL159" s="17">
        <f t="shared" si="500"/>
        <v>2.3622047244094495E-2</v>
      </c>
      <c r="GM159" s="216">
        <f t="shared" si="347"/>
        <v>1.2068299603308984E-4</v>
      </c>
      <c r="GN159" s="2">
        <f t="shared" si="501"/>
        <v>1</v>
      </c>
      <c r="GO159" s="2">
        <f t="shared" si="502"/>
        <v>2</v>
      </c>
      <c r="GP159" s="142">
        <f t="shared" si="503"/>
        <v>2</v>
      </c>
      <c r="GQ159" s="2">
        <f t="shared" si="504"/>
        <v>1.5748031496062995E-2</v>
      </c>
      <c r="GR159" s="8">
        <f t="shared" si="348"/>
        <v>1.2700417351157076E-3</v>
      </c>
      <c r="GS159" s="138">
        <f t="shared" si="505"/>
        <v>0.25</v>
      </c>
      <c r="GT159" s="12">
        <f t="shared" si="349"/>
        <v>105.27276498106239</v>
      </c>
      <c r="GU159" s="138">
        <f t="shared" si="506"/>
        <v>0.25</v>
      </c>
      <c r="GV159" s="116">
        <f t="shared" si="507"/>
        <v>2175570</v>
      </c>
      <c r="GW159" s="2">
        <f t="shared" si="350"/>
        <v>1.5748031496062995E-2</v>
      </c>
      <c r="GX159" s="8">
        <f t="shared" si="351"/>
        <v>3.5891044455599999</v>
      </c>
      <c r="GY159" s="116">
        <f t="shared" si="508"/>
        <v>2610.6840000000002</v>
      </c>
      <c r="GZ159" s="217">
        <f t="shared" si="509"/>
        <v>1.2568475226569484</v>
      </c>
      <c r="HA159" s="207">
        <f t="shared" si="510"/>
        <v>2</v>
      </c>
      <c r="HB159" s="144">
        <f t="shared" si="511"/>
        <v>52089.553520712099</v>
      </c>
      <c r="HC159" s="138">
        <f t="shared" si="574"/>
        <v>0.25</v>
      </c>
      <c r="HD159" s="116">
        <f t="shared" si="512"/>
        <v>2175570</v>
      </c>
      <c r="HE159" s="2">
        <f t="shared" si="353"/>
        <v>1.5748031496062995E-2</v>
      </c>
      <c r="HF159" s="8">
        <f t="shared" si="513"/>
        <v>3.5891044455599999</v>
      </c>
      <c r="HG159" s="116">
        <f t="shared" si="514"/>
        <v>2610.6840000000002</v>
      </c>
      <c r="HH159" s="217">
        <f t="shared" si="515"/>
        <v>1.2568475226569484</v>
      </c>
      <c r="HI159" s="207">
        <f t="shared" si="516"/>
        <v>2</v>
      </c>
      <c r="HJ159" s="144">
        <f t="shared" si="517"/>
        <v>52089.553520712099</v>
      </c>
      <c r="HK159" s="138">
        <f t="shared" si="575"/>
        <v>0.25</v>
      </c>
      <c r="HL159" s="116">
        <f t="shared" si="518"/>
        <v>2175570</v>
      </c>
      <c r="HM159" s="2">
        <f t="shared" si="355"/>
        <v>1.5748031496062995E-2</v>
      </c>
      <c r="HN159" s="8">
        <f t="shared" si="519"/>
        <v>3.5891044455599999</v>
      </c>
      <c r="HO159" s="116">
        <f t="shared" si="520"/>
        <v>2610.6840000000002</v>
      </c>
      <c r="HP159" s="217">
        <f t="shared" si="521"/>
        <v>1.2568475226569484</v>
      </c>
      <c r="HQ159" s="207">
        <f t="shared" si="522"/>
        <v>2</v>
      </c>
      <c r="HR159" s="144">
        <f t="shared" si="523"/>
        <v>52089.553520712099</v>
      </c>
      <c r="HS159" s="128">
        <f t="shared" si="524"/>
        <v>0.25</v>
      </c>
      <c r="HT159" s="2">
        <f t="shared" si="525"/>
        <v>1.5748031496062995E-2</v>
      </c>
      <c r="HU159" s="127">
        <f t="shared" si="526"/>
        <v>1.5748031496062995E-2</v>
      </c>
      <c r="HV159" s="216">
        <f t="shared" si="527"/>
        <v>0</v>
      </c>
      <c r="HW159" s="138">
        <f t="shared" si="528"/>
        <v>0</v>
      </c>
      <c r="HX159" s="138">
        <f t="shared" si="529"/>
        <v>0</v>
      </c>
      <c r="HY159" s="238">
        <f t="shared" si="530"/>
        <v>0.25</v>
      </c>
      <c r="HZ159" s="138">
        <f t="shared" si="531"/>
        <v>0</v>
      </c>
      <c r="IA159" s="138">
        <f t="shared" si="532"/>
        <v>0</v>
      </c>
      <c r="IB159" s="138">
        <f t="shared" si="533"/>
        <v>0</v>
      </c>
      <c r="IC159" s="138">
        <f t="shared" si="534"/>
        <v>0.25</v>
      </c>
      <c r="ID159" s="216">
        <f t="shared" si="535"/>
        <v>0</v>
      </c>
      <c r="IE159" s="138">
        <f t="shared" si="536"/>
        <v>0</v>
      </c>
      <c r="IF159" s="138">
        <f t="shared" si="537"/>
        <v>0</v>
      </c>
      <c r="IG159" s="238">
        <f t="shared" si="538"/>
        <v>1.5748031496062995E-2</v>
      </c>
      <c r="IH159" s="138">
        <f t="shared" si="539"/>
        <v>0</v>
      </c>
      <c r="II159" s="138">
        <f t="shared" si="540"/>
        <v>0</v>
      </c>
      <c r="IJ159" s="138">
        <f t="shared" si="541"/>
        <v>0</v>
      </c>
      <c r="IK159" s="138">
        <f t="shared" si="542"/>
        <v>1.5748031496062995E-2</v>
      </c>
      <c r="IL159" s="216">
        <f t="shared" si="543"/>
        <v>0</v>
      </c>
      <c r="IM159" s="138">
        <f t="shared" si="544"/>
        <v>0</v>
      </c>
      <c r="IN159" s="138">
        <f t="shared" si="545"/>
        <v>0</v>
      </c>
      <c r="IO159" s="238">
        <f t="shared" si="546"/>
        <v>1.5748031496062995E-2</v>
      </c>
      <c r="IP159" s="138">
        <f t="shared" si="547"/>
        <v>0</v>
      </c>
      <c r="IQ159" s="138">
        <f t="shared" si="548"/>
        <v>0</v>
      </c>
      <c r="IR159" s="138">
        <f t="shared" si="549"/>
        <v>0</v>
      </c>
      <c r="IS159" s="138">
        <f t="shared" si="550"/>
        <v>1.5748031496062995E-2</v>
      </c>
      <c r="IT159" s="17">
        <f t="shared" si="551"/>
        <v>0.25</v>
      </c>
      <c r="IU159" s="17">
        <f t="shared" si="552"/>
        <v>1.5748031496062995E-2</v>
      </c>
      <c r="IV159" s="17">
        <f t="shared" si="553"/>
        <v>1.5748031496062995E-2</v>
      </c>
      <c r="IW159" s="253">
        <f t="shared" si="554"/>
        <v>19.939469142</v>
      </c>
      <c r="IX159" s="116">
        <f t="shared" si="576"/>
        <v>0.61902273290387966</v>
      </c>
      <c r="IY159" s="8">
        <f t="shared" si="357"/>
        <v>1.6005014192070689E-5</v>
      </c>
      <c r="IZ159" s="8">
        <f t="shared" si="555"/>
        <v>1.6005014192070689E-5</v>
      </c>
      <c r="JA159" s="8">
        <f t="shared" si="556"/>
        <v>8.0025070960353445E-6</v>
      </c>
      <c r="JB159" s="134">
        <f t="shared" si="557"/>
        <v>2.8288702861805708E-3</v>
      </c>
      <c r="JC159" s="170">
        <f t="shared" si="567"/>
        <v>5.2711395752220482E-4</v>
      </c>
      <c r="JD159" s="272">
        <f t="shared" si="568"/>
        <v>2.2958962466152619E-2</v>
      </c>
      <c r="JE159" s="8"/>
      <c r="JF159" s="8"/>
    </row>
    <row r="160" spans="1:266" ht="15.75" thickBot="1" x14ac:dyDescent="0.3">
      <c r="A160" s="190">
        <v>100</v>
      </c>
      <c r="B160" s="191">
        <f>A160/100*'Inputs-Imperial'!$E$5</f>
        <v>24.081365599999998</v>
      </c>
      <c r="C160" s="192">
        <f>'Inputs-Imperial'!$E$10+('Inputs-Imperial'!$E$9-'Inputs-Imperial'!$E$10)*(100-A160)/100</f>
        <v>3.3054463000000003</v>
      </c>
      <c r="D160" s="191">
        <f t="shared" si="558"/>
        <v>0.24081365600000026</v>
      </c>
      <c r="E160" s="192">
        <f t="shared" si="559"/>
        <v>0.79813967600602098</v>
      </c>
      <c r="F160" s="423">
        <f>Loads!P120</f>
        <v>0</v>
      </c>
      <c r="G160" s="423">
        <f>Loads!M120</f>
        <v>0</v>
      </c>
      <c r="H160" s="423">
        <f>Loads!N120</f>
        <v>0</v>
      </c>
      <c r="I160" s="423">
        <f>Loads!V120</f>
        <v>0</v>
      </c>
      <c r="J160" s="423">
        <f>Loads!Q120</f>
        <v>0</v>
      </c>
      <c r="K160" s="29">
        <v>100</v>
      </c>
      <c r="L160" s="168">
        <f t="shared" si="358"/>
        <v>288.97638719999998</v>
      </c>
      <c r="M160" s="172">
        <f t="shared" si="359"/>
        <v>39.665355600000005</v>
      </c>
      <c r="N160" s="172">
        <f t="shared" si="360"/>
        <v>2.8897638720000032</v>
      </c>
      <c r="O160" s="137">
        <f t="shared" si="361"/>
        <v>114.93211334486702</v>
      </c>
      <c r="P160" s="153">
        <f t="shared" si="362"/>
        <v>0</v>
      </c>
      <c r="Q160" s="168">
        <f t="shared" si="363"/>
        <v>0</v>
      </c>
      <c r="R160" s="168">
        <f t="shared" si="364"/>
        <v>0</v>
      </c>
      <c r="S160" s="168">
        <f t="shared" si="365"/>
        <v>0</v>
      </c>
      <c r="T160" s="137">
        <f t="shared" si="366"/>
        <v>0</v>
      </c>
      <c r="U160" s="122">
        <f t="shared" si="313"/>
        <v>7.1397640080000011</v>
      </c>
      <c r="V160" s="122">
        <f t="shared" si="314"/>
        <v>7.1397640080000011</v>
      </c>
      <c r="W160" s="132">
        <f t="shared" si="315"/>
        <v>3.5698820040000006</v>
      </c>
      <c r="X160" s="317">
        <f t="shared" si="316"/>
        <v>9.9163389000000013</v>
      </c>
      <c r="Y160" s="172">
        <f t="shared" si="317"/>
        <v>29.749016700000006</v>
      </c>
      <c r="Z160" s="172">
        <f t="shared" si="569"/>
        <v>19.832677800000006</v>
      </c>
      <c r="AA160" s="318">
        <f t="shared" si="367"/>
        <v>29.749016700000006</v>
      </c>
      <c r="AB160" s="170">
        <f t="shared" si="368"/>
        <v>5.3548230060000011</v>
      </c>
      <c r="AC160" s="172">
        <f t="shared" si="369"/>
        <v>29.749016700000006</v>
      </c>
      <c r="AD160" s="137">
        <f t="shared" si="370"/>
        <v>125.11449215487039</v>
      </c>
      <c r="AE160" s="153">
        <f t="shared" si="319"/>
        <v>0</v>
      </c>
      <c r="AF160" s="168">
        <f t="shared" si="320"/>
        <v>0</v>
      </c>
      <c r="AG160" s="218">
        <f t="shared" si="570"/>
        <v>0</v>
      </c>
      <c r="AH160" s="29">
        <f t="shared" si="371"/>
        <v>0</v>
      </c>
      <c r="AI160" s="29">
        <f t="shared" si="372"/>
        <v>3</v>
      </c>
      <c r="AJ160" s="123">
        <f t="shared" si="373"/>
        <v>2</v>
      </c>
      <c r="AK160" s="29">
        <f t="shared" si="374"/>
        <v>1.5748031496062995E-2</v>
      </c>
      <c r="AL160" s="122">
        <f t="shared" si="322"/>
        <v>0</v>
      </c>
      <c r="AM160" s="220">
        <f t="shared" si="375"/>
        <v>0.25</v>
      </c>
      <c r="AN160" s="168">
        <f t="shared" si="323"/>
        <v>0</v>
      </c>
      <c r="AO160" s="220">
        <f t="shared" si="376"/>
        <v>0.25</v>
      </c>
      <c r="AP160" s="221">
        <f t="shared" si="377"/>
        <v>2175570</v>
      </c>
      <c r="AQ160" s="29">
        <f t="shared" si="378"/>
        <v>1.5748031496062995E-2</v>
      </c>
      <c r="AR160" s="8">
        <f t="shared" si="379"/>
        <v>19.832677800000006</v>
      </c>
      <c r="AS160" s="221">
        <f t="shared" si="380"/>
        <v>2610.6840000000002</v>
      </c>
      <c r="AT160" s="222">
        <f t="shared" si="381"/>
        <v>4.116158353188825E-2</v>
      </c>
      <c r="AU160" s="223">
        <f t="shared" si="382"/>
        <v>4.6290004946887713</v>
      </c>
      <c r="AV160" s="224">
        <f t="shared" si="383"/>
        <v>3948.3654886686331</v>
      </c>
      <c r="AW160" s="220">
        <f t="shared" si="384"/>
        <v>0.25</v>
      </c>
      <c r="AX160" s="221">
        <f t="shared" si="385"/>
        <v>2175570</v>
      </c>
      <c r="AY160" s="29">
        <f t="shared" si="386"/>
        <v>1.5748031496062995E-2</v>
      </c>
      <c r="AZ160" s="8">
        <f t="shared" si="387"/>
        <v>19.832677800000006</v>
      </c>
      <c r="BA160" s="221">
        <f t="shared" si="388"/>
        <v>2610.6840000000002</v>
      </c>
      <c r="BB160" s="222">
        <f t="shared" si="389"/>
        <v>4.116158353188825E-2</v>
      </c>
      <c r="BC160" s="223">
        <f t="shared" si="390"/>
        <v>4.6290004946887713</v>
      </c>
      <c r="BD160" s="224">
        <f t="shared" si="391"/>
        <v>3948.3654886686331</v>
      </c>
      <c r="BE160" s="220">
        <f t="shared" si="392"/>
        <v>0.25</v>
      </c>
      <c r="BF160" s="221">
        <f t="shared" si="393"/>
        <v>2175570</v>
      </c>
      <c r="BG160" s="29">
        <f t="shared" si="394"/>
        <v>1.5748031496062995E-2</v>
      </c>
      <c r="BH160" s="8">
        <f t="shared" si="395"/>
        <v>19.832677800000006</v>
      </c>
      <c r="BI160" s="221">
        <f t="shared" si="396"/>
        <v>2610.6840000000002</v>
      </c>
      <c r="BJ160" s="222">
        <f t="shared" si="397"/>
        <v>4.116158353188825E-2</v>
      </c>
      <c r="BK160" s="223">
        <f t="shared" si="398"/>
        <v>4.6290004946887713</v>
      </c>
      <c r="BL160" s="224">
        <f t="shared" si="399"/>
        <v>3948.3654886686331</v>
      </c>
      <c r="BM160" s="218">
        <f t="shared" si="400"/>
        <v>0.25</v>
      </c>
      <c r="BN160" s="218">
        <f t="shared" si="401"/>
        <v>2.3622047244094495E-2</v>
      </c>
      <c r="BO160" s="267">
        <f t="shared" si="402"/>
        <v>1.5748031496062995E-2</v>
      </c>
      <c r="BP160" s="218">
        <f t="shared" si="403"/>
        <v>0</v>
      </c>
      <c r="BQ160" s="220">
        <f t="shared" si="404"/>
        <v>0</v>
      </c>
      <c r="BR160" s="220">
        <f t="shared" si="405"/>
        <v>0</v>
      </c>
      <c r="BS160" s="267">
        <f t="shared" si="406"/>
        <v>0.25</v>
      </c>
      <c r="BT160" s="220">
        <f t="shared" si="407"/>
        <v>0</v>
      </c>
      <c r="BU160" s="220">
        <f t="shared" si="408"/>
        <v>0</v>
      </c>
      <c r="BV160" s="220">
        <f t="shared" si="409"/>
        <v>0</v>
      </c>
      <c r="BW160" s="267">
        <f>IF(BS160&gt;0,MAX(BS$60:BS$160),0)</f>
        <v>0.75</v>
      </c>
      <c r="BX160" s="218">
        <f t="shared" si="411"/>
        <v>0</v>
      </c>
      <c r="BY160" s="220">
        <f t="shared" si="412"/>
        <v>0</v>
      </c>
      <c r="BZ160" s="220">
        <f t="shared" si="413"/>
        <v>0</v>
      </c>
      <c r="CA160" s="267">
        <f t="shared" si="414"/>
        <v>2.3622047244094495E-2</v>
      </c>
      <c r="CB160" s="220">
        <f t="shared" si="415"/>
        <v>0</v>
      </c>
      <c r="CC160" s="220">
        <f t="shared" si="416"/>
        <v>0</v>
      </c>
      <c r="CD160" s="220">
        <f t="shared" si="417"/>
        <v>0</v>
      </c>
      <c r="CE160" s="267">
        <f t="shared" si="418"/>
        <v>2.3622047244094495E-2</v>
      </c>
      <c r="CF160" s="218">
        <f t="shared" si="419"/>
        <v>0</v>
      </c>
      <c r="CG160" s="220">
        <f t="shared" si="420"/>
        <v>0</v>
      </c>
      <c r="CH160" s="220">
        <f t="shared" si="421"/>
        <v>0</v>
      </c>
      <c r="CI160" s="267">
        <f t="shared" si="422"/>
        <v>1.5748031496062995E-2</v>
      </c>
      <c r="CJ160" s="220">
        <f t="shared" si="423"/>
        <v>0</v>
      </c>
      <c r="CK160" s="220">
        <f t="shared" si="424"/>
        <v>0</v>
      </c>
      <c r="CL160" s="220">
        <f t="shared" si="425"/>
        <v>0</v>
      </c>
      <c r="CM160" s="267">
        <f t="shared" si="426"/>
        <v>1.5748031496062995E-2</v>
      </c>
      <c r="CN160" s="206">
        <f t="shared" si="427"/>
        <v>0.75</v>
      </c>
      <c r="CO160" s="206">
        <f t="shared" si="428"/>
        <v>2.3622047244094495E-2</v>
      </c>
      <c r="CP160" s="206">
        <f t="shared" si="429"/>
        <v>1.5748031496062995E-2</v>
      </c>
      <c r="CQ160" s="206">
        <f>$U160-IF('Inputs-Imperial'!$E$13,0,2)*($CO160+$CN160+$CP160)</f>
        <v>7.1397640080000011</v>
      </c>
      <c r="CR160" s="221">
        <f t="shared" si="430"/>
        <v>0</v>
      </c>
      <c r="CS160" s="122">
        <f t="shared" si="324"/>
        <v>0</v>
      </c>
      <c r="CT160" s="122">
        <f t="shared" si="431"/>
        <v>0</v>
      </c>
      <c r="CU160" s="122">
        <f t="shared" si="325"/>
        <v>0</v>
      </c>
      <c r="CV160" s="122">
        <f t="shared" si="432"/>
        <v>0</v>
      </c>
      <c r="CW160" s="218">
        <f t="shared" si="433"/>
        <v>7.1397640080000011</v>
      </c>
      <c r="CX160" s="221">
        <f t="shared" si="434"/>
        <v>0</v>
      </c>
      <c r="CY160" s="122">
        <f t="shared" si="435"/>
        <v>0</v>
      </c>
      <c r="CZ160" s="122">
        <f t="shared" si="436"/>
        <v>0</v>
      </c>
      <c r="DA160" s="122">
        <f t="shared" si="437"/>
        <v>0</v>
      </c>
      <c r="DB160" s="122">
        <f t="shared" si="438"/>
        <v>0</v>
      </c>
      <c r="DC160" s="218">
        <f t="shared" si="439"/>
        <v>7.1397640080000011</v>
      </c>
      <c r="DD160" s="221">
        <f t="shared" si="440"/>
        <v>0</v>
      </c>
      <c r="DE160" s="122">
        <f t="shared" si="441"/>
        <v>0</v>
      </c>
      <c r="DF160" s="122">
        <f t="shared" si="442"/>
        <v>0</v>
      </c>
      <c r="DG160" s="122">
        <f t="shared" si="443"/>
        <v>0</v>
      </c>
      <c r="DH160" s="122">
        <f t="shared" si="444"/>
        <v>0</v>
      </c>
      <c r="DI160" s="218">
        <f t="shared" si="445"/>
        <v>7.1397640080000011</v>
      </c>
      <c r="DJ160" s="221">
        <f t="shared" si="446"/>
        <v>0</v>
      </c>
      <c r="DK160" s="122">
        <f t="shared" si="447"/>
        <v>0</v>
      </c>
      <c r="DL160" s="122">
        <f t="shared" si="448"/>
        <v>0</v>
      </c>
      <c r="DM160" s="122">
        <f t="shared" si="449"/>
        <v>0</v>
      </c>
      <c r="DN160" s="122">
        <f t="shared" si="450"/>
        <v>0</v>
      </c>
      <c r="DO160" s="218">
        <f t="shared" si="451"/>
        <v>7.1397640080000011</v>
      </c>
      <c r="DP160" s="221">
        <f t="shared" si="452"/>
        <v>0</v>
      </c>
      <c r="DQ160" s="171">
        <f t="shared" si="453"/>
        <v>0</v>
      </c>
      <c r="DR160" s="122">
        <f t="shared" si="454"/>
        <v>0</v>
      </c>
      <c r="DS160" s="122">
        <f t="shared" si="455"/>
        <v>0</v>
      </c>
      <c r="DT160" s="132">
        <f t="shared" si="456"/>
        <v>0</v>
      </c>
      <c r="DU160" s="171">
        <f t="shared" si="566"/>
        <v>2.9973794920998782E-2</v>
      </c>
      <c r="DV160" s="171">
        <f t="shared" si="566"/>
        <v>0.17312941668300849</v>
      </c>
      <c r="DW160" s="171">
        <f t="shared" si="566"/>
        <v>2.9973794920998782E-2</v>
      </c>
      <c r="DX160" s="303">
        <f t="shared" si="566"/>
        <v>0.17312941668300849</v>
      </c>
      <c r="DY160" s="303">
        <f t="shared" si="457"/>
        <v>6.7935051746339843</v>
      </c>
      <c r="DZ160" s="356">
        <f t="shared" si="326"/>
        <v>0</v>
      </c>
      <c r="EA160" s="218">
        <f t="shared" si="571"/>
        <v>0</v>
      </c>
      <c r="EB160" s="168">
        <f t="shared" si="458"/>
        <v>0</v>
      </c>
      <c r="EC160" s="276">
        <f>ROUND(MAX(DV160,DX160)/'Inputs-Imperial'!$E$21,0)</f>
        <v>1</v>
      </c>
      <c r="ED160" s="168">
        <f t="shared" si="459"/>
        <v>1</v>
      </c>
      <c r="EE160" s="29">
        <f t="shared" si="460"/>
        <v>2</v>
      </c>
      <c r="EF160" s="123">
        <f t="shared" si="461"/>
        <v>2</v>
      </c>
      <c r="EG160" s="29">
        <f t="shared" si="462"/>
        <v>1.5748031496062995E-2</v>
      </c>
      <c r="EH160" s="122">
        <f t="shared" si="328"/>
        <v>0</v>
      </c>
      <c r="EI160" s="220">
        <f t="shared" si="463"/>
        <v>0.25</v>
      </c>
      <c r="EJ160" s="168">
        <f t="shared" si="329"/>
        <v>0</v>
      </c>
      <c r="EK160" s="220">
        <f t="shared" si="464"/>
        <v>0.25</v>
      </c>
      <c r="EL160" s="221">
        <f t="shared" si="465"/>
        <v>2175570</v>
      </c>
      <c r="EM160" s="29">
        <f t="shared" si="330"/>
        <v>1.5748031496062995E-2</v>
      </c>
      <c r="EN160" s="122">
        <f t="shared" si="466"/>
        <v>7.1397640080000011</v>
      </c>
      <c r="EO160" s="221">
        <f t="shared" si="467"/>
        <v>2610.6840000000002</v>
      </c>
      <c r="EP160" s="222">
        <f t="shared" si="468"/>
        <v>0.31760481120284151</v>
      </c>
      <c r="EQ160" s="223">
        <f t="shared" si="469"/>
        <v>2.5241944671033107</v>
      </c>
      <c r="ER160" s="224">
        <f t="shared" si="470"/>
        <v>16612.994793145659</v>
      </c>
      <c r="ES160" s="220">
        <f t="shared" si="572"/>
        <v>0.25</v>
      </c>
      <c r="ET160" s="221">
        <f t="shared" si="471"/>
        <v>2175570</v>
      </c>
      <c r="EU160" s="29">
        <f t="shared" si="332"/>
        <v>1.5748031496062995E-2</v>
      </c>
      <c r="EV160" s="122">
        <f t="shared" si="472"/>
        <v>7.1397640080000011</v>
      </c>
      <c r="EW160" s="221">
        <f t="shared" si="473"/>
        <v>2610.6840000000002</v>
      </c>
      <c r="EX160" s="222">
        <f t="shared" si="474"/>
        <v>0.31760481120284151</v>
      </c>
      <c r="EY160" s="223">
        <f t="shared" si="475"/>
        <v>2.5241944671033107</v>
      </c>
      <c r="EZ160" s="224">
        <f t="shared" si="476"/>
        <v>16612.994793145659</v>
      </c>
      <c r="FA160" s="220">
        <f t="shared" si="573"/>
        <v>0.25</v>
      </c>
      <c r="FB160" s="221">
        <f t="shared" si="477"/>
        <v>2175570</v>
      </c>
      <c r="FC160" s="29">
        <f t="shared" si="334"/>
        <v>1.5748031496062995E-2</v>
      </c>
      <c r="FD160" s="122">
        <f t="shared" si="478"/>
        <v>7.1397640080000011</v>
      </c>
      <c r="FE160" s="221">
        <f t="shared" si="479"/>
        <v>2610.6840000000002</v>
      </c>
      <c r="FF160" s="222">
        <f t="shared" si="480"/>
        <v>0.31760481120284151</v>
      </c>
      <c r="FG160" s="223">
        <f t="shared" si="481"/>
        <v>2.5241944671033107</v>
      </c>
      <c r="FH160" s="224">
        <f t="shared" si="482"/>
        <v>16612.994793145659</v>
      </c>
      <c r="FI160" s="131">
        <f t="shared" si="483"/>
        <v>0.25</v>
      </c>
      <c r="FJ160" s="29">
        <f t="shared" si="484"/>
        <v>1.5748031496062995E-2</v>
      </c>
      <c r="FK160" s="123">
        <f t="shared" si="485"/>
        <v>1.5748031496062995E-2</v>
      </c>
      <c r="FL160" s="216">
        <f t="shared" si="486"/>
        <v>0</v>
      </c>
      <c r="FM160" s="138">
        <f t="shared" si="487"/>
        <v>0</v>
      </c>
      <c r="FN160" s="138">
        <f t="shared" si="488"/>
        <v>0</v>
      </c>
      <c r="FO160" s="238">
        <f t="shared" si="489"/>
        <v>0.25</v>
      </c>
      <c r="FP160" s="218">
        <f t="shared" si="335"/>
        <v>0</v>
      </c>
      <c r="FQ160" s="220">
        <f t="shared" si="336"/>
        <v>0</v>
      </c>
      <c r="FR160" s="220">
        <f t="shared" si="337"/>
        <v>0</v>
      </c>
      <c r="FS160" s="267">
        <f t="shared" si="338"/>
        <v>0.25</v>
      </c>
      <c r="FT160" s="216">
        <f t="shared" si="490"/>
        <v>0</v>
      </c>
      <c r="FU160" s="138">
        <f t="shared" si="491"/>
        <v>0</v>
      </c>
      <c r="FV160" s="138">
        <f t="shared" si="492"/>
        <v>0</v>
      </c>
      <c r="FW160" s="238">
        <f t="shared" si="493"/>
        <v>1.5748031496062995E-2</v>
      </c>
      <c r="FX160" s="218">
        <f t="shared" si="339"/>
        <v>0</v>
      </c>
      <c r="FY160" s="220">
        <f t="shared" si="340"/>
        <v>0</v>
      </c>
      <c r="FZ160" s="220">
        <f t="shared" si="341"/>
        <v>0</v>
      </c>
      <c r="GA160" s="267">
        <f t="shared" si="342"/>
        <v>2.3622047244094495E-2</v>
      </c>
      <c r="GB160" s="216">
        <f t="shared" si="494"/>
        <v>0</v>
      </c>
      <c r="GC160" s="138">
        <f t="shared" si="495"/>
        <v>0</v>
      </c>
      <c r="GD160" s="138">
        <f t="shared" si="496"/>
        <v>0</v>
      </c>
      <c r="GE160" s="238">
        <f t="shared" si="497"/>
        <v>1.5748031496062995E-2</v>
      </c>
      <c r="GF160" s="218">
        <f t="shared" si="343"/>
        <v>0</v>
      </c>
      <c r="GG160" s="220">
        <f t="shared" si="344"/>
        <v>0</v>
      </c>
      <c r="GH160" s="220">
        <f t="shared" si="345"/>
        <v>0</v>
      </c>
      <c r="GI160" s="267">
        <f t="shared" si="346"/>
        <v>2.3622047244094495E-2</v>
      </c>
      <c r="GJ160" s="218">
        <f t="shared" si="498"/>
        <v>0.25</v>
      </c>
      <c r="GK160" s="218">
        <f t="shared" si="499"/>
        <v>2.3622047244094495E-2</v>
      </c>
      <c r="GL160" s="206">
        <f t="shared" si="500"/>
        <v>2.3622047244094495E-2</v>
      </c>
      <c r="GM160" s="218">
        <f t="shared" si="347"/>
        <v>0</v>
      </c>
      <c r="GN160" s="29">
        <f t="shared" si="501"/>
        <v>0</v>
      </c>
      <c r="GO160" s="29">
        <f t="shared" si="502"/>
        <v>2</v>
      </c>
      <c r="GP160" s="219">
        <f t="shared" si="503"/>
        <v>2</v>
      </c>
      <c r="GQ160" s="29">
        <f t="shared" si="504"/>
        <v>1.5748031496062995E-2</v>
      </c>
      <c r="GR160" s="122">
        <f t="shared" si="348"/>
        <v>0</v>
      </c>
      <c r="GS160" s="220">
        <f t="shared" si="505"/>
        <v>0.25</v>
      </c>
      <c r="GT160" s="168">
        <f t="shared" si="349"/>
        <v>0</v>
      </c>
      <c r="GU160" s="220">
        <f t="shared" si="506"/>
        <v>0.25</v>
      </c>
      <c r="GV160" s="221">
        <f t="shared" si="507"/>
        <v>2175570</v>
      </c>
      <c r="GW160" s="29">
        <f t="shared" si="350"/>
        <v>1.5748031496062995E-2</v>
      </c>
      <c r="GX160" s="122">
        <f t="shared" si="351"/>
        <v>3.5698820040000006</v>
      </c>
      <c r="GY160" s="221">
        <f t="shared" si="508"/>
        <v>2610.6840000000002</v>
      </c>
      <c r="GZ160" s="222">
        <f t="shared" si="509"/>
        <v>1.270419244811366</v>
      </c>
      <c r="HA160" s="223">
        <f t="shared" si="510"/>
        <v>2</v>
      </c>
      <c r="HB160" s="224">
        <f t="shared" si="511"/>
        <v>52652.02823207272</v>
      </c>
      <c r="HC160" s="220">
        <f t="shared" si="574"/>
        <v>0.25</v>
      </c>
      <c r="HD160" s="221">
        <f t="shared" si="512"/>
        <v>2175570</v>
      </c>
      <c r="HE160" s="29">
        <f t="shared" si="353"/>
        <v>1.5748031496062995E-2</v>
      </c>
      <c r="HF160" s="122">
        <f t="shared" si="513"/>
        <v>3.5698820040000006</v>
      </c>
      <c r="HG160" s="221">
        <f t="shared" si="514"/>
        <v>2610.6840000000002</v>
      </c>
      <c r="HH160" s="222">
        <f t="shared" si="515"/>
        <v>1.270419244811366</v>
      </c>
      <c r="HI160" s="223">
        <f t="shared" si="516"/>
        <v>2</v>
      </c>
      <c r="HJ160" s="224">
        <f t="shared" si="517"/>
        <v>52652.02823207272</v>
      </c>
      <c r="HK160" s="220">
        <f t="shared" si="575"/>
        <v>0.25</v>
      </c>
      <c r="HL160" s="221">
        <f t="shared" si="518"/>
        <v>2175570</v>
      </c>
      <c r="HM160" s="29">
        <f t="shared" si="355"/>
        <v>1.5748031496062995E-2</v>
      </c>
      <c r="HN160" s="122">
        <f t="shared" si="519"/>
        <v>3.5698820040000006</v>
      </c>
      <c r="HO160" s="221">
        <f t="shared" si="520"/>
        <v>2610.6840000000002</v>
      </c>
      <c r="HP160" s="222">
        <f t="shared" si="521"/>
        <v>1.270419244811366</v>
      </c>
      <c r="HQ160" s="223">
        <f t="shared" si="522"/>
        <v>2</v>
      </c>
      <c r="HR160" s="224">
        <f t="shared" si="523"/>
        <v>52652.02823207272</v>
      </c>
      <c r="HS160" s="131">
        <f t="shared" si="524"/>
        <v>0.25</v>
      </c>
      <c r="HT160" s="29">
        <f t="shared" si="525"/>
        <v>1.5748031496062995E-2</v>
      </c>
      <c r="HU160" s="123">
        <f t="shared" si="526"/>
        <v>1.5748031496062995E-2</v>
      </c>
      <c r="HV160" s="218">
        <f t="shared" si="527"/>
        <v>0</v>
      </c>
      <c r="HW160" s="220">
        <f t="shared" si="528"/>
        <v>0</v>
      </c>
      <c r="HX160" s="220">
        <f t="shared" si="529"/>
        <v>0</v>
      </c>
      <c r="HY160" s="267">
        <f t="shared" si="530"/>
        <v>0.25</v>
      </c>
      <c r="HZ160" s="220">
        <f t="shared" si="531"/>
        <v>0</v>
      </c>
      <c r="IA160" s="220">
        <f t="shared" si="532"/>
        <v>0</v>
      </c>
      <c r="IB160" s="220">
        <f t="shared" si="533"/>
        <v>0</v>
      </c>
      <c r="IC160" s="220">
        <f t="shared" si="534"/>
        <v>0.25</v>
      </c>
      <c r="ID160" s="216">
        <f t="shared" si="535"/>
        <v>0</v>
      </c>
      <c r="IE160" s="138">
        <f t="shared" si="536"/>
        <v>0</v>
      </c>
      <c r="IF160" s="138">
        <f t="shared" si="537"/>
        <v>0</v>
      </c>
      <c r="IG160" s="238">
        <f t="shared" si="538"/>
        <v>1.5748031496062995E-2</v>
      </c>
      <c r="IH160" s="220">
        <f t="shared" si="539"/>
        <v>0</v>
      </c>
      <c r="II160" s="220">
        <f t="shared" si="540"/>
        <v>0</v>
      </c>
      <c r="IJ160" s="220">
        <f t="shared" si="541"/>
        <v>0</v>
      </c>
      <c r="IK160" s="220">
        <f t="shared" si="542"/>
        <v>1.5748031496062995E-2</v>
      </c>
      <c r="IL160" s="216">
        <f t="shared" si="543"/>
        <v>0</v>
      </c>
      <c r="IM160" s="138">
        <f t="shared" si="544"/>
        <v>0</v>
      </c>
      <c r="IN160" s="138">
        <f t="shared" si="545"/>
        <v>0</v>
      </c>
      <c r="IO160" s="238">
        <f t="shared" si="546"/>
        <v>1.5748031496062995E-2</v>
      </c>
      <c r="IP160" s="220">
        <f t="shared" si="547"/>
        <v>0</v>
      </c>
      <c r="IQ160" s="220">
        <f t="shared" si="548"/>
        <v>0</v>
      </c>
      <c r="IR160" s="220">
        <f t="shared" si="549"/>
        <v>0</v>
      </c>
      <c r="IS160" s="220">
        <f t="shared" si="550"/>
        <v>1.5748031496062995E-2</v>
      </c>
      <c r="IT160" s="206">
        <f t="shared" si="551"/>
        <v>0.25</v>
      </c>
      <c r="IU160" s="206">
        <f t="shared" si="552"/>
        <v>1.5748031496062995E-2</v>
      </c>
      <c r="IV160" s="206">
        <f t="shared" si="553"/>
        <v>1.5748031496062995E-2</v>
      </c>
      <c r="IW160" s="253">
        <f t="shared" si="554"/>
        <v>19.832677800000006</v>
      </c>
      <c r="IX160" s="221">
        <f t="shared" si="576"/>
        <v>0</v>
      </c>
      <c r="IY160" s="122">
        <f t="shared" si="357"/>
        <v>0</v>
      </c>
      <c r="IZ160" s="122">
        <f t="shared" si="555"/>
        <v>0</v>
      </c>
      <c r="JA160" s="122">
        <f t="shared" si="556"/>
        <v>0</v>
      </c>
      <c r="JB160" s="132">
        <f t="shared" si="557"/>
        <v>0</v>
      </c>
      <c r="JC160" s="171">
        <f t="shared" si="567"/>
        <v>5.2711395752220482E-4</v>
      </c>
      <c r="JD160" s="303">
        <f t="shared" si="568"/>
        <v>2.2958962466152619E-2</v>
      </c>
      <c r="JE160" s="8"/>
      <c r="JF160" s="8"/>
    </row>
  </sheetData>
  <sheetProtection sheet="1" objects="1" scenarios="1"/>
  <mergeCells count="29">
    <mergeCell ref="K58:O58"/>
    <mergeCell ref="A58:J58"/>
    <mergeCell ref="P58:T58"/>
    <mergeCell ref="AG57:BO57"/>
    <mergeCell ref="AO58:AV58"/>
    <mergeCell ref="AW58:BD58"/>
    <mergeCell ref="BE58:BL58"/>
    <mergeCell ref="AB58:AD58"/>
    <mergeCell ref="U58:W58"/>
    <mergeCell ref="X58:AA58"/>
    <mergeCell ref="DO58:DT58"/>
    <mergeCell ref="CQ57:DT57"/>
    <mergeCell ref="CR58:CV58"/>
    <mergeCell ref="BP57:CP57"/>
    <mergeCell ref="FL57:GL57"/>
    <mergeCell ref="CW58:DB58"/>
    <mergeCell ref="DC58:DH58"/>
    <mergeCell ref="DI58:DN58"/>
    <mergeCell ref="EA57:FK57"/>
    <mergeCell ref="ES58:EZ58"/>
    <mergeCell ref="FA58:FH58"/>
    <mergeCell ref="EK58:ER58"/>
    <mergeCell ref="DU57:DX57"/>
    <mergeCell ref="IW57:JB57"/>
    <mergeCell ref="HV57:IV57"/>
    <mergeCell ref="GM57:HU57"/>
    <mergeCell ref="GU58:HB58"/>
    <mergeCell ref="HC58:HJ58"/>
    <mergeCell ref="HK58:HR58"/>
  </mergeCells>
  <conditionalFormatting sqref="CN60:CP160">
    <cfRule type="colorScale" priority="13">
      <colorScale>
        <cfvo type="min"/>
        <cfvo type="max"/>
        <color rgb="FFFCFCFF"/>
        <color rgb="FFF8696B"/>
      </colorScale>
    </cfRule>
  </conditionalFormatting>
  <conditionalFormatting sqref="CO60:CP160">
    <cfRule type="colorScale" priority="12">
      <colorScale>
        <cfvo type="min"/>
        <cfvo type="max"/>
        <color rgb="FFFCFCFF"/>
        <color rgb="FF63BE7B"/>
      </colorScale>
    </cfRule>
  </conditionalFormatting>
  <conditionalFormatting sqref="DU60:DU160">
    <cfRule type="colorScale" priority="3">
      <colorScale>
        <cfvo type="min"/>
        <cfvo type="max"/>
        <color rgb="FFFCFCFF"/>
        <color rgb="FFF8696B"/>
      </colorScale>
    </cfRule>
  </conditionalFormatting>
  <conditionalFormatting sqref="DW60:DW160">
    <cfRule type="colorScale" priority="2">
      <colorScale>
        <cfvo type="min"/>
        <cfvo type="max"/>
        <color rgb="FFFCFCFF"/>
        <color rgb="FF63BE7B"/>
      </colorScale>
    </cfRule>
  </conditionalFormatting>
  <conditionalFormatting sqref="GJ60:GL160">
    <cfRule type="colorScale" priority="10">
      <colorScale>
        <cfvo type="min"/>
        <cfvo type="max"/>
        <color rgb="FFFCFCFF"/>
        <color rgb="FFF8696B"/>
      </colorScale>
    </cfRule>
  </conditionalFormatting>
  <conditionalFormatting sqref="GK60:GL160">
    <cfRule type="colorScale" priority="9">
      <colorScale>
        <cfvo type="min"/>
        <cfvo type="max"/>
        <color rgb="FFFCFCFF"/>
        <color rgb="FF63BE7B"/>
      </colorScale>
    </cfRule>
  </conditionalFormatting>
  <conditionalFormatting sqref="IT60:IV160">
    <cfRule type="colorScale" priority="5">
      <colorScale>
        <cfvo type="min"/>
        <cfvo type="max"/>
        <color rgb="FFFCFCFF"/>
        <color rgb="FFF8696B"/>
      </colorScale>
    </cfRule>
  </conditionalFormatting>
  <conditionalFormatting sqref="IU60:IV160">
    <cfRule type="colorScale" priority="4">
      <colorScale>
        <cfvo type="min"/>
        <cfvo type="max"/>
        <color rgb="FFFCFCFF"/>
        <color rgb="FF63BE7B"/>
      </colorScale>
    </cfRule>
  </conditionalFormatting>
  <conditionalFormatting sqref="JC60:JC160">
    <cfRule type="colorScale" priority="1">
      <colorScale>
        <cfvo type="min"/>
        <cfvo type="max"/>
        <color rgb="FFFCFCFF"/>
        <color rgb="FFF8696B"/>
      </colorScale>
    </cfRule>
  </conditionalFormatting>
  <pageMargins left="0.7" right="0.7" top="0.75" bottom="0.75" header="0.3" footer="0.3"/>
  <pageSetup orientation="portrait" horizontalDpi="0"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7"/>
  <dimension ref="A1:H57"/>
  <sheetViews>
    <sheetView zoomScale="85" zoomScaleNormal="85" workbookViewId="0">
      <selection activeCell="H53" sqref="H53"/>
    </sheetView>
  </sheetViews>
  <sheetFormatPr defaultRowHeight="15" x14ac:dyDescent="0.25"/>
  <cols>
    <col min="2" max="2" width="9.5703125" customWidth="1"/>
    <col min="3" max="3" width="11.85546875" customWidth="1"/>
    <col min="4" max="4" width="13.140625" customWidth="1"/>
    <col min="5" max="5" width="13.42578125" bestFit="1" customWidth="1"/>
    <col min="6" max="6" width="14.85546875" customWidth="1"/>
    <col min="7" max="7" width="16.85546875" customWidth="1"/>
    <col min="8" max="8" width="17.85546875" customWidth="1"/>
    <col min="9" max="9" width="12.42578125" bestFit="1" customWidth="1"/>
    <col min="12" max="12" width="11.140625" customWidth="1"/>
    <col min="13" max="13" width="10.140625" customWidth="1"/>
    <col min="14" max="15" width="15.140625" customWidth="1"/>
  </cols>
  <sheetData>
    <row r="1" spans="1:8" x14ac:dyDescent="0.25">
      <c r="A1" s="352" t="s">
        <v>129</v>
      </c>
    </row>
    <row r="2" spans="1:8" x14ac:dyDescent="0.25">
      <c r="A2" s="5" t="s">
        <v>590</v>
      </c>
    </row>
    <row r="4" spans="1:8" ht="15.75" thickBot="1" x14ac:dyDescent="0.3"/>
    <row r="5" spans="1:8" ht="15.75" thickBot="1" x14ac:dyDescent="0.3">
      <c r="B5" s="441" t="s">
        <v>417</v>
      </c>
      <c r="C5" s="442"/>
      <c r="D5" s="442"/>
      <c r="E5" s="442"/>
      <c r="F5" s="442"/>
      <c r="G5" s="442"/>
      <c r="H5" s="443"/>
    </row>
    <row r="6" spans="1:8" ht="45.75" thickBot="1" x14ac:dyDescent="0.3">
      <c r="B6" s="164" t="s">
        <v>401</v>
      </c>
      <c r="C6" s="252" t="s">
        <v>404</v>
      </c>
      <c r="D6" s="252" t="s">
        <v>405</v>
      </c>
      <c r="E6" s="165" t="s">
        <v>406</v>
      </c>
      <c r="F6" s="252" t="s">
        <v>402</v>
      </c>
      <c r="G6" s="252" t="s">
        <v>411</v>
      </c>
      <c r="H6" s="162" t="s">
        <v>403</v>
      </c>
    </row>
    <row r="7" spans="1:8" x14ac:dyDescent="0.25">
      <c r="B7" s="129">
        <v>1</v>
      </c>
      <c r="C7" s="166">
        <v>0</v>
      </c>
      <c r="D7" s="166">
        <f>'Inputs-Imperial'!$E$6*'Inputs-Imperial'!$E$5*12</f>
        <v>72.244096799999994</v>
      </c>
      <c r="E7" s="166">
        <f>D7-C7</f>
        <v>72.244096799999994</v>
      </c>
      <c r="F7" s="24">
        <f>MAX(Sizing!CB60:CB160)/'Inputs-Imperial'!$E$28</f>
        <v>3</v>
      </c>
      <c r="G7" s="24">
        <f>MAX(Sizing!CJ60:CJ160)/'Inputs-Imperial'!$E$28</f>
        <v>3</v>
      </c>
      <c r="H7" s="121">
        <f>MAX(Sizing!BT60:BT160)</f>
        <v>2</v>
      </c>
    </row>
    <row r="8" spans="1:8" x14ac:dyDescent="0.25">
      <c r="B8" s="128">
        <v>2</v>
      </c>
      <c r="C8" s="12">
        <f>D7</f>
        <v>72.244096799999994</v>
      </c>
      <c r="D8" s="12">
        <f>'Inputs-Imperial'!$E$7*'Inputs-Imperial'!$E$5*12</f>
        <v>144.48819359999999</v>
      </c>
      <c r="E8" s="12">
        <f t="shared" ref="E8:E10" si="0">D8-C8</f>
        <v>72.244096799999994</v>
      </c>
      <c r="F8" s="2">
        <f>MAX(Sizing!CC60:CC160)/'Inputs-Imperial'!$E$28</f>
        <v>3</v>
      </c>
      <c r="G8" s="2">
        <f>MAX(Sizing!CK60:CK160)/'Inputs-Imperial'!$E$28</f>
        <v>2</v>
      </c>
      <c r="H8" s="127">
        <f>MAX(Sizing!BU60:BU160)</f>
        <v>2.5</v>
      </c>
    </row>
    <row r="9" spans="1:8" x14ac:dyDescent="0.25">
      <c r="B9" s="128">
        <v>3</v>
      </c>
      <c r="C9" s="12">
        <f>D8</f>
        <v>144.48819359999999</v>
      </c>
      <c r="D9" s="12">
        <f>'Inputs-Imperial'!$E$8*'Inputs-Imperial'!$E$5*12</f>
        <v>216.73229039999998</v>
      </c>
      <c r="E9" s="12">
        <f t="shared" si="0"/>
        <v>72.244096799999994</v>
      </c>
      <c r="F9" s="2">
        <f>MAX(Sizing!CD60:CD160)/'Inputs-Imperial'!$E$28</f>
        <v>3</v>
      </c>
      <c r="G9" s="2">
        <f>MAX(Sizing!CL60:CL160)/'Inputs-Imperial'!$E$28</f>
        <v>2</v>
      </c>
      <c r="H9" s="127">
        <f>MAX(Sizing!BV60:BV160)</f>
        <v>1.5</v>
      </c>
    </row>
    <row r="10" spans="1:8" ht="15.75" thickBot="1" x14ac:dyDescent="0.3">
      <c r="B10" s="131">
        <v>4</v>
      </c>
      <c r="C10" s="168">
        <f>D9</f>
        <v>216.73229039999998</v>
      </c>
      <c r="D10" s="168">
        <f>'Inputs-Imperial'!$E$5*12</f>
        <v>288.97638719999998</v>
      </c>
      <c r="E10" s="168">
        <f t="shared" si="0"/>
        <v>72.244096799999994</v>
      </c>
      <c r="F10" s="29">
        <f>MAX(Sizing!CE60:CE160)/'Inputs-Imperial'!$E$28</f>
        <v>3</v>
      </c>
      <c r="G10" s="29">
        <f>MAX(Sizing!CM60:CM160)/'Inputs-Imperial'!$E$28</f>
        <v>2</v>
      </c>
      <c r="H10" s="123">
        <f>MAX(Sizing!BW60:BW160)</f>
        <v>0.75</v>
      </c>
    </row>
    <row r="11" spans="1:8" ht="15.75" thickBot="1" x14ac:dyDescent="0.3"/>
    <row r="12" spans="1:8" ht="15.75" thickBot="1" x14ac:dyDescent="0.3">
      <c r="B12" s="444" t="s">
        <v>418</v>
      </c>
      <c r="C12" s="445"/>
      <c r="D12" s="445"/>
      <c r="E12" s="445"/>
      <c r="F12" s="445"/>
      <c r="G12" s="445"/>
      <c r="H12" s="446"/>
    </row>
    <row r="13" spans="1:8" ht="45.75" thickBot="1" x14ac:dyDescent="0.3">
      <c r="B13" s="164" t="str">
        <f t="shared" ref="B13:H17" si="1">B6</f>
        <v>Zone</v>
      </c>
      <c r="C13" s="252" t="str">
        <f t="shared" si="1"/>
        <v>BL [in]
Inboard</v>
      </c>
      <c r="D13" s="252" t="str">
        <f t="shared" si="1"/>
        <v>BL [in]
Outboard</v>
      </c>
      <c r="E13" s="165" t="str">
        <f t="shared" si="1"/>
        <v>dSpan [in]</v>
      </c>
      <c r="F13" s="252" t="str">
        <f t="shared" si="1"/>
        <v>OML Plies
[-]</v>
      </c>
      <c r="G13" s="252" t="str">
        <f t="shared" si="1"/>
        <v>IML Plies
[-]</v>
      </c>
      <c r="H13" s="162" t="str">
        <f t="shared" si="1"/>
        <v>Core 
Thickness
 [in]</v>
      </c>
    </row>
    <row r="14" spans="1:8" x14ac:dyDescent="0.25">
      <c r="B14" s="129">
        <f t="shared" si="1"/>
        <v>1</v>
      </c>
      <c r="C14" s="166">
        <f t="shared" si="1"/>
        <v>0</v>
      </c>
      <c r="D14" s="166">
        <f t="shared" si="1"/>
        <v>72.244096799999994</v>
      </c>
      <c r="E14" s="166">
        <f t="shared" si="1"/>
        <v>72.244096799999994</v>
      </c>
      <c r="F14" s="24">
        <f t="shared" si="1"/>
        <v>3</v>
      </c>
      <c r="G14" s="24">
        <f t="shared" si="1"/>
        <v>3</v>
      </c>
      <c r="H14" s="121">
        <f t="shared" si="1"/>
        <v>2</v>
      </c>
    </row>
    <row r="15" spans="1:8" x14ac:dyDescent="0.25">
      <c r="B15" s="128">
        <f t="shared" si="1"/>
        <v>2</v>
      </c>
      <c r="C15" s="12">
        <f t="shared" si="1"/>
        <v>72.244096799999994</v>
      </c>
      <c r="D15" s="12">
        <f t="shared" si="1"/>
        <v>144.48819359999999</v>
      </c>
      <c r="E15" s="12">
        <f t="shared" si="1"/>
        <v>72.244096799999994</v>
      </c>
      <c r="F15" s="2">
        <f t="shared" si="1"/>
        <v>3</v>
      </c>
      <c r="G15" s="2">
        <f t="shared" si="1"/>
        <v>2</v>
      </c>
      <c r="H15" s="127">
        <f t="shared" si="1"/>
        <v>2.5</v>
      </c>
    </row>
    <row r="16" spans="1:8" x14ac:dyDescent="0.25">
      <c r="B16" s="128">
        <f t="shared" si="1"/>
        <v>3</v>
      </c>
      <c r="C16" s="12">
        <f t="shared" si="1"/>
        <v>144.48819359999999</v>
      </c>
      <c r="D16" s="12">
        <f t="shared" si="1"/>
        <v>216.73229039999998</v>
      </c>
      <c r="E16" s="12">
        <f t="shared" si="1"/>
        <v>72.244096799999994</v>
      </c>
      <c r="F16" s="2">
        <f t="shared" si="1"/>
        <v>3</v>
      </c>
      <c r="G16" s="2">
        <f t="shared" si="1"/>
        <v>2</v>
      </c>
      <c r="H16" s="127">
        <f t="shared" si="1"/>
        <v>1.5</v>
      </c>
    </row>
    <row r="17" spans="2:8" ht="15.75" thickBot="1" x14ac:dyDescent="0.3">
      <c r="B17" s="131">
        <f t="shared" si="1"/>
        <v>4</v>
      </c>
      <c r="C17" s="168">
        <f t="shared" si="1"/>
        <v>216.73229039999998</v>
      </c>
      <c r="D17" s="168">
        <f t="shared" si="1"/>
        <v>288.97638719999998</v>
      </c>
      <c r="E17" s="168">
        <f t="shared" si="1"/>
        <v>72.244096799999994</v>
      </c>
      <c r="F17" s="29">
        <f t="shared" si="1"/>
        <v>3</v>
      </c>
      <c r="G17" s="29">
        <f t="shared" si="1"/>
        <v>2</v>
      </c>
      <c r="H17" s="123">
        <f t="shared" si="1"/>
        <v>0.75</v>
      </c>
    </row>
    <row r="18" spans="2:8" ht="15.75" thickBot="1" x14ac:dyDescent="0.3"/>
    <row r="19" spans="2:8" ht="15.75" thickBot="1" x14ac:dyDescent="0.3">
      <c r="B19" s="447" t="s">
        <v>407</v>
      </c>
      <c r="C19" s="448"/>
      <c r="D19" s="448"/>
      <c r="E19" s="448"/>
      <c r="F19" s="448"/>
      <c r="G19" s="448"/>
      <c r="H19" s="449"/>
    </row>
    <row r="20" spans="2:8" ht="45.75" thickBot="1" x14ac:dyDescent="0.3">
      <c r="B20" s="164" t="s">
        <v>401</v>
      </c>
      <c r="C20" s="252" t="s">
        <v>404</v>
      </c>
      <c r="D20" s="252" t="s">
        <v>405</v>
      </c>
      <c r="E20" s="165" t="s">
        <v>406</v>
      </c>
      <c r="F20" s="252" t="s">
        <v>410</v>
      </c>
      <c r="G20" s="252" t="s">
        <v>412</v>
      </c>
      <c r="H20" s="162" t="s">
        <v>403</v>
      </c>
    </row>
    <row r="21" spans="2:8" x14ac:dyDescent="0.25">
      <c r="B21" s="129">
        <v>1</v>
      </c>
      <c r="C21" s="166">
        <v>0</v>
      </c>
      <c r="D21" s="166">
        <f>'Inputs-Imperial'!$E$6*'Inputs-Imperial'!$E$5*12</f>
        <v>72.244096799999994</v>
      </c>
      <c r="E21" s="166">
        <f>D21-C21</f>
        <v>72.244096799999994</v>
      </c>
      <c r="F21" s="24">
        <f>MAX(Sizing!FX60:FX160)/'Inputs-Imperial'!$E$28</f>
        <v>8</v>
      </c>
      <c r="G21" s="24">
        <f>MAX(Sizing!GF60:GF160)/'Inputs-Imperial'!$E$28</f>
        <v>8</v>
      </c>
      <c r="H21" s="121">
        <f>MAX(Sizing!FP60:FP160)</f>
        <v>0.75</v>
      </c>
    </row>
    <row r="22" spans="2:8" x14ac:dyDescent="0.25">
      <c r="B22" s="128">
        <v>2</v>
      </c>
      <c r="C22" s="12">
        <f>D21</f>
        <v>72.244096799999994</v>
      </c>
      <c r="D22" s="12">
        <f>'Inputs-Imperial'!$E$7*'Inputs-Imperial'!$E$5*12</f>
        <v>144.48819359999999</v>
      </c>
      <c r="E22" s="12">
        <f t="shared" ref="E22:E24" si="2">D22-C22</f>
        <v>72.244096799999994</v>
      </c>
      <c r="F22" s="2">
        <f>MAX(Sizing!FY60:FY160)/'Inputs-Imperial'!$E$28</f>
        <v>7</v>
      </c>
      <c r="G22" s="2">
        <f>MAX(Sizing!GG60:GG160)/'Inputs-Imperial'!$E$28</f>
        <v>7</v>
      </c>
      <c r="H22" s="127">
        <f>MAX(Sizing!FQ60:FQ160)</f>
        <v>0.5</v>
      </c>
    </row>
    <row r="23" spans="2:8" x14ac:dyDescent="0.25">
      <c r="B23" s="128">
        <v>3</v>
      </c>
      <c r="C23" s="12">
        <f>D22</f>
        <v>144.48819359999999</v>
      </c>
      <c r="D23" s="12">
        <f>'Inputs-Imperial'!$E$8*'Inputs-Imperial'!$E$5*12</f>
        <v>216.73229039999998</v>
      </c>
      <c r="E23" s="12">
        <f t="shared" si="2"/>
        <v>72.244096799999994</v>
      </c>
      <c r="F23" s="2">
        <f>MAX(Sizing!FZ60:FZ160)/'Inputs-Imperial'!$E$28</f>
        <v>4</v>
      </c>
      <c r="G23" s="2">
        <f>MAX(Sizing!GH60:GH160)/'Inputs-Imperial'!$E$28</f>
        <v>4</v>
      </c>
      <c r="H23" s="127">
        <f>MAX(Sizing!FR60:FR160)</f>
        <v>0.5</v>
      </c>
    </row>
    <row r="24" spans="2:8" ht="15.75" thickBot="1" x14ac:dyDescent="0.3">
      <c r="B24" s="131">
        <v>4</v>
      </c>
      <c r="C24" s="168">
        <f>D23</f>
        <v>216.73229039999998</v>
      </c>
      <c r="D24" s="168">
        <f>'Inputs-Imperial'!$E$5*12</f>
        <v>288.97638719999998</v>
      </c>
      <c r="E24" s="168">
        <f t="shared" si="2"/>
        <v>72.244096799999994</v>
      </c>
      <c r="F24" s="29">
        <f>MAX(Sizing!GA60:GA160)/'Inputs-Imperial'!$E$28</f>
        <v>3</v>
      </c>
      <c r="G24" s="29">
        <f>MAX(Sizing!GI60:GI160)/'Inputs-Imperial'!$E$28</f>
        <v>3</v>
      </c>
      <c r="H24" s="123">
        <f>MAX(Sizing!FS60:FS160)</f>
        <v>0.25</v>
      </c>
    </row>
    <row r="25" spans="2:8" ht="15.75" thickBot="1" x14ac:dyDescent="0.3"/>
    <row r="26" spans="2:8" ht="15.75" thickBot="1" x14ac:dyDescent="0.3">
      <c r="B26" s="456" t="s">
        <v>420</v>
      </c>
      <c r="C26" s="457"/>
      <c r="D26" s="457"/>
      <c r="E26" s="457"/>
      <c r="F26" s="457"/>
      <c r="G26" s="457"/>
      <c r="H26" s="458"/>
    </row>
    <row r="27" spans="2:8" ht="45.75" thickBot="1" x14ac:dyDescent="0.3">
      <c r="B27" s="163" t="s">
        <v>401</v>
      </c>
      <c r="C27" s="125" t="s">
        <v>404</v>
      </c>
      <c r="D27" s="125" t="s">
        <v>405</v>
      </c>
      <c r="E27" s="266" t="s">
        <v>406</v>
      </c>
      <c r="F27" s="124" t="s">
        <v>408</v>
      </c>
      <c r="G27" s="154" t="s">
        <v>413</v>
      </c>
      <c r="H27" s="119" t="s">
        <v>415</v>
      </c>
    </row>
    <row r="28" spans="2:8" x14ac:dyDescent="0.25">
      <c r="B28" s="129">
        <v>1</v>
      </c>
      <c r="C28" s="24">
        <v>0</v>
      </c>
      <c r="D28" s="166">
        <f>Sizing!L69</f>
        <v>26.007874847999997</v>
      </c>
      <c r="E28" s="167">
        <f>D28-C28</f>
        <v>26.007874847999997</v>
      </c>
      <c r="F28" s="216">
        <f>Sizing!DU69</f>
        <v>3.5859228878785925</v>
      </c>
      <c r="G28" s="238">
        <f t="shared" ref="G28:G37" si="3">SQRT(F28)</f>
        <v>1.8936533177639967</v>
      </c>
      <c r="H28" s="195">
        <f>G28/2+$H$7+$F$7*'Inputs-Imperial'!$E$28+$G$7*'Inputs-Imperial'!$E$28</f>
        <v>2.9940707533701874</v>
      </c>
    </row>
    <row r="29" spans="2:8" x14ac:dyDescent="0.25">
      <c r="B29" s="128">
        <v>2</v>
      </c>
      <c r="C29" s="12">
        <f>D28</f>
        <v>26.007874847999997</v>
      </c>
      <c r="D29" s="12">
        <f>Sizing!L79</f>
        <v>54.905513567999996</v>
      </c>
      <c r="E29" s="152">
        <f t="shared" ref="E29:E37" si="4">D29-C29</f>
        <v>28.89763872</v>
      </c>
      <c r="F29" s="216">
        <f>Sizing!DU79</f>
        <v>2.8934969275004128</v>
      </c>
      <c r="G29" s="238">
        <f t="shared" si="3"/>
        <v>1.7010281971503038</v>
      </c>
      <c r="H29" s="272">
        <f>G29/2+$H$7+$F$7*'Inputs-Imperial'!$E$28+$G$7*'Inputs-Imperial'!$E$28</f>
        <v>2.8977581930633409</v>
      </c>
    </row>
    <row r="30" spans="2:8" x14ac:dyDescent="0.25">
      <c r="B30" s="128">
        <v>3</v>
      </c>
      <c r="C30" s="12">
        <f t="shared" ref="C30:C37" si="5">D29</f>
        <v>54.905513567999996</v>
      </c>
      <c r="D30" s="12">
        <f>Sizing!L89</f>
        <v>83.803152287999978</v>
      </c>
      <c r="E30" s="152">
        <f t="shared" si="4"/>
        <v>28.897638719999982</v>
      </c>
      <c r="F30" s="216">
        <f>Sizing!DU89</f>
        <v>2.271823534607841</v>
      </c>
      <c r="G30" s="238">
        <f t="shared" si="3"/>
        <v>1.5072569570606869</v>
      </c>
      <c r="H30" s="272">
        <f>G30/2+$H$8+$F$8*'Inputs-Imperial'!$E$28+$G$8*'Inputs-Imperial'!$E$28</f>
        <v>3.2929985572705007</v>
      </c>
    </row>
    <row r="31" spans="2:8" x14ac:dyDescent="0.25">
      <c r="B31" s="128">
        <v>4</v>
      </c>
      <c r="C31" s="12">
        <f t="shared" si="5"/>
        <v>83.803152287999978</v>
      </c>
      <c r="D31" s="12">
        <f>Sizing!L99</f>
        <v>112.700791008</v>
      </c>
      <c r="E31" s="152">
        <f t="shared" si="4"/>
        <v>28.897638720000018</v>
      </c>
      <c r="F31" s="216">
        <f>Sizing!DU99</f>
        <v>1.7233950944186762</v>
      </c>
      <c r="G31" s="238">
        <f t="shared" si="3"/>
        <v>1.3127814343669995</v>
      </c>
      <c r="H31" s="272">
        <f>G31/2+$H$8+$F$8*'Inputs-Imperial'!$E$28+$G$8*'Inputs-Imperial'!$E$28</f>
        <v>3.1957607959236571</v>
      </c>
    </row>
    <row r="32" spans="2:8" x14ac:dyDescent="0.25">
      <c r="B32" s="128">
        <v>5</v>
      </c>
      <c r="C32" s="12">
        <f t="shared" si="5"/>
        <v>112.700791008</v>
      </c>
      <c r="D32" s="12">
        <f>Sizing!L109</f>
        <v>141.59842972799999</v>
      </c>
      <c r="E32" s="152">
        <f t="shared" si="4"/>
        <v>28.897638719999989</v>
      </c>
      <c r="F32" s="216">
        <f>Sizing!DU109</f>
        <v>1.2501892583384084</v>
      </c>
      <c r="G32" s="238">
        <f t="shared" si="3"/>
        <v>1.1181186244484118</v>
      </c>
      <c r="H32" s="272">
        <f>G32/2+$H$8+$F$8*'Inputs-Imperial'!$E$28+$G$8*'Inputs-Imperial'!$E$28</f>
        <v>3.0984293909643634</v>
      </c>
    </row>
    <row r="33" spans="2:8" x14ac:dyDescent="0.25">
      <c r="B33" s="128">
        <v>6</v>
      </c>
      <c r="C33" s="12">
        <f t="shared" si="5"/>
        <v>141.59842972799999</v>
      </c>
      <c r="D33" s="12">
        <f>Sizing!L119</f>
        <v>170.49606844799996</v>
      </c>
      <c r="E33" s="152">
        <f t="shared" si="4"/>
        <v>28.897638719999975</v>
      </c>
      <c r="F33" s="216">
        <f>Sizing!DU119</f>
        <v>0.85358264160295871</v>
      </c>
      <c r="G33" s="238">
        <f t="shared" si="3"/>
        <v>0.92389536290802909</v>
      </c>
      <c r="H33" s="272">
        <f>G33/2+$H$9+$F$9*'Inputs-Imperial'!$E$28+$G$9*'Inputs-Imperial'!$E$28</f>
        <v>2.0013177601941718</v>
      </c>
    </row>
    <row r="34" spans="2:8" x14ac:dyDescent="0.25">
      <c r="B34" s="128">
        <v>7</v>
      </c>
      <c r="C34" s="12">
        <f t="shared" si="5"/>
        <v>170.49606844799996</v>
      </c>
      <c r="D34" s="12">
        <f>Sizing!L129</f>
        <v>199.39370716799996</v>
      </c>
      <c r="E34" s="152">
        <f t="shared" si="4"/>
        <v>28.897638720000003</v>
      </c>
      <c r="F34" s="216">
        <f>Sizing!DU129</f>
        <v>0.53422373583376614</v>
      </c>
      <c r="G34" s="238">
        <f t="shared" si="3"/>
        <v>0.73090610603125084</v>
      </c>
      <c r="H34" s="272">
        <f>G34/2+$H$9+$F$9*'Inputs-Imperial'!$E$28+$G$9*'Inputs-Imperial'!$E$28</f>
        <v>1.9048231317557829</v>
      </c>
    </row>
    <row r="35" spans="2:8" x14ac:dyDescent="0.25">
      <c r="B35" s="128">
        <v>8</v>
      </c>
      <c r="C35" s="12">
        <f t="shared" si="5"/>
        <v>199.39370716799996</v>
      </c>
      <c r="D35" s="12">
        <f>Sizing!L139</f>
        <v>228.291345888</v>
      </c>
      <c r="E35" s="152">
        <f t="shared" si="4"/>
        <v>28.897638720000032</v>
      </c>
      <c r="F35" s="216">
        <f>Sizing!DU139</f>
        <v>0.29183693344119632</v>
      </c>
      <c r="G35" s="238">
        <f t="shared" si="3"/>
        <v>0.54021933827029589</v>
      </c>
      <c r="H35" s="272">
        <f>G35/2+$H$9+$F$9*'Inputs-Imperial'!$E$28+$G$9*'Inputs-Imperial'!$E$28</f>
        <v>1.8094797478753053</v>
      </c>
    </row>
    <row r="36" spans="2:8" x14ac:dyDescent="0.25">
      <c r="B36" s="128">
        <v>9</v>
      </c>
      <c r="C36" s="12">
        <f t="shared" si="5"/>
        <v>228.291345888</v>
      </c>
      <c r="D36" s="12">
        <f>Sizing!L149</f>
        <v>257.188984608</v>
      </c>
      <c r="E36" s="152">
        <f t="shared" si="4"/>
        <v>28.897638720000003</v>
      </c>
      <c r="F36" s="216">
        <f>Sizing!DU149</f>
        <v>0.12489389406218925</v>
      </c>
      <c r="G36" s="238">
        <f t="shared" si="3"/>
        <v>0.35340330227968902</v>
      </c>
      <c r="H36" s="272">
        <f>G36/2+$H$10+$F$10*'Inputs-Imperial'!$E$28+$G$10*'Inputs-Imperial'!$E$28</f>
        <v>0.96607172988000189</v>
      </c>
    </row>
    <row r="37" spans="2:8" ht="15.75" thickBot="1" x14ac:dyDescent="0.3">
      <c r="B37" s="131">
        <v>10</v>
      </c>
      <c r="C37" s="168">
        <f t="shared" si="5"/>
        <v>257.188984608</v>
      </c>
      <c r="D37" s="168">
        <f>Sizing!L160</f>
        <v>288.97638719999998</v>
      </c>
      <c r="E37" s="137">
        <f t="shared" si="4"/>
        <v>31.787402591999978</v>
      </c>
      <c r="F37" s="218">
        <f>Sizing!DU160</f>
        <v>2.9973794920998782E-2</v>
      </c>
      <c r="G37" s="267">
        <f t="shared" si="3"/>
        <v>0.17312941668300849</v>
      </c>
      <c r="H37" s="303">
        <f>G37/2+$H$10+$F$10*'Inputs-Imperial'!$E$28+$G$10*'Inputs-Imperial'!$E$28</f>
        <v>0.87593478708166161</v>
      </c>
    </row>
    <row r="38" spans="2:8" ht="15.75" thickBot="1" x14ac:dyDescent="0.3"/>
    <row r="39" spans="2:8" ht="15.75" thickBot="1" x14ac:dyDescent="0.3">
      <c r="B39" s="453" t="s">
        <v>419</v>
      </c>
      <c r="C39" s="454"/>
      <c r="D39" s="454"/>
      <c r="E39" s="454"/>
      <c r="F39" s="454"/>
      <c r="G39" s="454"/>
      <c r="H39" s="455"/>
    </row>
    <row r="40" spans="2:8" ht="45.75" thickBot="1" x14ac:dyDescent="0.3">
      <c r="B40" s="163" t="str">
        <f t="shared" ref="B40:E50" si="6">B27</f>
        <v>Zone</v>
      </c>
      <c r="C40" s="125" t="str">
        <f t="shared" si="6"/>
        <v>BL [in]
Inboard</v>
      </c>
      <c r="D40" s="125" t="str">
        <f t="shared" si="6"/>
        <v>BL [in]
Outboard</v>
      </c>
      <c r="E40" s="266" t="str">
        <f t="shared" si="6"/>
        <v>dSpan [in]</v>
      </c>
      <c r="F40" s="124" t="s">
        <v>409</v>
      </c>
      <c r="G40" s="154" t="s">
        <v>413</v>
      </c>
      <c r="H40" s="119" t="s">
        <v>416</v>
      </c>
    </row>
    <row r="41" spans="2:8" x14ac:dyDescent="0.25">
      <c r="B41" s="129">
        <f t="shared" si="6"/>
        <v>1</v>
      </c>
      <c r="C41" s="24">
        <f t="shared" si="6"/>
        <v>0</v>
      </c>
      <c r="D41" s="166">
        <f t="shared" si="6"/>
        <v>26.007874847999997</v>
      </c>
      <c r="E41" s="167">
        <f t="shared" si="6"/>
        <v>26.007874847999997</v>
      </c>
      <c r="F41" s="311">
        <f>Sizing!DW69</f>
        <v>3.5859228878785925</v>
      </c>
      <c r="G41" s="238">
        <f t="shared" ref="G41:G50" si="7">SQRT(F41)</f>
        <v>1.8936533177639967</v>
      </c>
      <c r="H41" s="195">
        <f>G41/2+$H$7+$F$7*'Inputs-Imperial'!$E$28+$G$7*'Inputs-Imperial'!$E$28</f>
        <v>2.9940707533701874</v>
      </c>
    </row>
    <row r="42" spans="2:8" x14ac:dyDescent="0.25">
      <c r="B42" s="128">
        <f t="shared" si="6"/>
        <v>2</v>
      </c>
      <c r="C42" s="12">
        <f t="shared" si="6"/>
        <v>26.007874847999997</v>
      </c>
      <c r="D42" s="12">
        <f t="shared" si="6"/>
        <v>54.905513567999996</v>
      </c>
      <c r="E42" s="152">
        <f t="shared" si="6"/>
        <v>28.89763872</v>
      </c>
      <c r="F42" s="311">
        <f>Sizing!DW79</f>
        <v>2.8934969275004128</v>
      </c>
      <c r="G42" s="238">
        <f t="shared" si="7"/>
        <v>1.7010281971503038</v>
      </c>
      <c r="H42" s="272">
        <f>G42/2+$H$7+$F$7*'Inputs-Imperial'!$E$28+$G$7*'Inputs-Imperial'!$E$28</f>
        <v>2.8977581930633409</v>
      </c>
    </row>
    <row r="43" spans="2:8" x14ac:dyDescent="0.25">
      <c r="B43" s="128">
        <f t="shared" si="6"/>
        <v>3</v>
      </c>
      <c r="C43" s="12">
        <f t="shared" si="6"/>
        <v>54.905513567999996</v>
      </c>
      <c r="D43" s="12">
        <f t="shared" si="6"/>
        <v>83.803152287999978</v>
      </c>
      <c r="E43" s="152">
        <f t="shared" si="6"/>
        <v>28.897638719999982</v>
      </c>
      <c r="F43" s="311">
        <f>Sizing!DW89</f>
        <v>2.271823534607841</v>
      </c>
      <c r="G43" s="238">
        <f t="shared" si="7"/>
        <v>1.5072569570606869</v>
      </c>
      <c r="H43" s="272">
        <f>G43/2+$H$8+$F$8*'Inputs-Imperial'!$E$28+$G$8*'Inputs-Imperial'!$E$28</f>
        <v>3.2929985572705007</v>
      </c>
    </row>
    <row r="44" spans="2:8" x14ac:dyDescent="0.25">
      <c r="B44" s="128">
        <f t="shared" si="6"/>
        <v>4</v>
      </c>
      <c r="C44" s="12">
        <f t="shared" si="6"/>
        <v>83.803152287999978</v>
      </c>
      <c r="D44" s="12">
        <f t="shared" si="6"/>
        <v>112.700791008</v>
      </c>
      <c r="E44" s="152">
        <f t="shared" si="6"/>
        <v>28.897638720000018</v>
      </c>
      <c r="F44" s="311">
        <f>Sizing!DW99</f>
        <v>1.7233950944186762</v>
      </c>
      <c r="G44" s="238">
        <f t="shared" si="7"/>
        <v>1.3127814343669995</v>
      </c>
      <c r="H44" s="272">
        <f>G44/2+$H$8+$F$8*'Inputs-Imperial'!$E$28+$G$8*'Inputs-Imperial'!$E$28</f>
        <v>3.1957607959236571</v>
      </c>
    </row>
    <row r="45" spans="2:8" x14ac:dyDescent="0.25">
      <c r="B45" s="128">
        <f t="shared" si="6"/>
        <v>5</v>
      </c>
      <c r="C45" s="12">
        <f t="shared" si="6"/>
        <v>112.700791008</v>
      </c>
      <c r="D45" s="12">
        <f t="shared" si="6"/>
        <v>141.59842972799999</v>
      </c>
      <c r="E45" s="152">
        <f t="shared" si="6"/>
        <v>28.897638719999989</v>
      </c>
      <c r="F45" s="311">
        <f>Sizing!DW109</f>
        <v>1.2501892583384084</v>
      </c>
      <c r="G45" s="238">
        <f t="shared" si="7"/>
        <v>1.1181186244484118</v>
      </c>
      <c r="H45" s="272">
        <f>G45/2+$H$8+$F$8*'Inputs-Imperial'!$E$28+$G$8*'Inputs-Imperial'!$E$28</f>
        <v>3.0984293909643634</v>
      </c>
    </row>
    <row r="46" spans="2:8" x14ac:dyDescent="0.25">
      <c r="B46" s="128">
        <f t="shared" si="6"/>
        <v>6</v>
      </c>
      <c r="C46" s="12">
        <f t="shared" si="6"/>
        <v>141.59842972799999</v>
      </c>
      <c r="D46" s="12">
        <f t="shared" si="6"/>
        <v>170.49606844799996</v>
      </c>
      <c r="E46" s="152">
        <f t="shared" si="6"/>
        <v>28.897638719999975</v>
      </c>
      <c r="F46" s="311">
        <f>Sizing!DW119</f>
        <v>0.85358264160295871</v>
      </c>
      <c r="G46" s="238">
        <f t="shared" si="7"/>
        <v>0.92389536290802909</v>
      </c>
      <c r="H46" s="272">
        <f>G46/2+$H$9+$F$9*'Inputs-Imperial'!$E$28+$G$9*'Inputs-Imperial'!$E$28</f>
        <v>2.0013177601941718</v>
      </c>
    </row>
    <row r="47" spans="2:8" x14ac:dyDescent="0.25">
      <c r="B47" s="128">
        <f t="shared" si="6"/>
        <v>7</v>
      </c>
      <c r="C47" s="12">
        <f t="shared" si="6"/>
        <v>170.49606844799996</v>
      </c>
      <c r="D47" s="12">
        <f t="shared" si="6"/>
        <v>199.39370716799996</v>
      </c>
      <c r="E47" s="152">
        <f t="shared" si="6"/>
        <v>28.897638720000003</v>
      </c>
      <c r="F47" s="311">
        <f>Sizing!DW129</f>
        <v>0.53422373583376614</v>
      </c>
      <c r="G47" s="238">
        <f t="shared" si="7"/>
        <v>0.73090610603125084</v>
      </c>
      <c r="H47" s="272">
        <f>G47/2+$H$9+$F$9*'Inputs-Imperial'!$E$28+$G$9*'Inputs-Imperial'!$E$28</f>
        <v>1.9048231317557829</v>
      </c>
    </row>
    <row r="48" spans="2:8" x14ac:dyDescent="0.25">
      <c r="B48" s="128">
        <f t="shared" si="6"/>
        <v>8</v>
      </c>
      <c r="C48" s="12">
        <f t="shared" si="6"/>
        <v>199.39370716799996</v>
      </c>
      <c r="D48" s="12">
        <f t="shared" si="6"/>
        <v>228.291345888</v>
      </c>
      <c r="E48" s="152">
        <f t="shared" si="6"/>
        <v>28.897638720000032</v>
      </c>
      <c r="F48" s="311">
        <f>Sizing!DW139</f>
        <v>0.29183693344119632</v>
      </c>
      <c r="G48" s="238">
        <f t="shared" si="7"/>
        <v>0.54021933827029589</v>
      </c>
      <c r="H48" s="272">
        <f>G48/2+$H$9+$F$9*'Inputs-Imperial'!$E$28+$G$9*'Inputs-Imperial'!$E$28</f>
        <v>1.8094797478753053</v>
      </c>
    </row>
    <row r="49" spans="2:8" x14ac:dyDescent="0.25">
      <c r="B49" s="128">
        <f t="shared" si="6"/>
        <v>9</v>
      </c>
      <c r="C49" s="12">
        <f t="shared" si="6"/>
        <v>228.291345888</v>
      </c>
      <c r="D49" s="12">
        <f t="shared" si="6"/>
        <v>257.188984608</v>
      </c>
      <c r="E49" s="152">
        <f t="shared" si="6"/>
        <v>28.897638720000003</v>
      </c>
      <c r="F49" s="311">
        <f>Sizing!DW149</f>
        <v>0.12489389406218925</v>
      </c>
      <c r="G49" s="238">
        <f t="shared" si="7"/>
        <v>0.35340330227968902</v>
      </c>
      <c r="H49" s="272">
        <f>G49/2+$H$10+$F$10*'Inputs-Imperial'!$E$28+$G$10*'Inputs-Imperial'!$E$28</f>
        <v>0.96607172988000189</v>
      </c>
    </row>
    <row r="50" spans="2:8" ht="15.75" thickBot="1" x14ac:dyDescent="0.3">
      <c r="B50" s="131">
        <f t="shared" si="6"/>
        <v>10</v>
      </c>
      <c r="C50" s="168">
        <f t="shared" si="6"/>
        <v>257.188984608</v>
      </c>
      <c r="D50" s="168">
        <f t="shared" si="6"/>
        <v>288.97638719999998</v>
      </c>
      <c r="E50" s="137">
        <f t="shared" si="6"/>
        <v>31.787402591999978</v>
      </c>
      <c r="F50" s="317">
        <f>Sizing!DW160</f>
        <v>2.9973794920998782E-2</v>
      </c>
      <c r="G50" s="267">
        <f t="shared" si="7"/>
        <v>0.17312941668300849</v>
      </c>
      <c r="H50" s="303">
        <f>G50/2+$H$10+$F$10*'Inputs-Imperial'!$E$28+$G$10*'Inputs-Imperial'!$E$28</f>
        <v>0.87593478708166161</v>
      </c>
    </row>
    <row r="51" spans="2:8" ht="15.75" thickBot="1" x14ac:dyDescent="0.3"/>
    <row r="52" spans="2:8" ht="15.75" thickBot="1" x14ac:dyDescent="0.3">
      <c r="B52" s="450" t="s">
        <v>387</v>
      </c>
      <c r="C52" s="451"/>
      <c r="D52" s="451"/>
      <c r="E52" s="451"/>
      <c r="F52" s="451"/>
      <c r="G52" s="451"/>
      <c r="H52" s="452"/>
    </row>
    <row r="53" spans="2:8" ht="45.75" thickBot="1" x14ac:dyDescent="0.3">
      <c r="B53" s="163" t="s">
        <v>401</v>
      </c>
      <c r="C53" s="125" t="s">
        <v>404</v>
      </c>
      <c r="D53" s="125" t="s">
        <v>405</v>
      </c>
      <c r="E53" s="266" t="s">
        <v>406</v>
      </c>
      <c r="F53" s="125" t="s">
        <v>410</v>
      </c>
      <c r="G53" s="125" t="s">
        <v>412</v>
      </c>
      <c r="H53" s="154" t="s">
        <v>403</v>
      </c>
    </row>
    <row r="54" spans="2:8" x14ac:dyDescent="0.25">
      <c r="B54" s="129">
        <v>1</v>
      </c>
      <c r="C54" s="166">
        <v>0</v>
      </c>
      <c r="D54" s="166">
        <f>'Inputs-Imperial'!$E$6*'Inputs-Imperial'!$E$5*12</f>
        <v>72.244096799999994</v>
      </c>
      <c r="E54" s="166">
        <f>D54-C54</f>
        <v>72.244096799999994</v>
      </c>
      <c r="F54" s="24">
        <f>MAX(Sizing!IH60:IH160)/'Inputs-Imperial'!$E$28</f>
        <v>2</v>
      </c>
      <c r="G54" s="24">
        <f>MAX(Sizing!IP60:IP160)/'Inputs-Imperial'!$E$28</f>
        <v>2</v>
      </c>
      <c r="H54" s="121">
        <f>MAX(Sizing!HZ60:HZ160)</f>
        <v>0.5</v>
      </c>
    </row>
    <row r="55" spans="2:8" x14ac:dyDescent="0.25">
      <c r="B55" s="128">
        <v>2</v>
      </c>
      <c r="C55" s="12">
        <f>D54</f>
        <v>72.244096799999994</v>
      </c>
      <c r="D55" s="12">
        <f>'Inputs-Imperial'!$E$7*'Inputs-Imperial'!$E$5*12</f>
        <v>144.48819359999999</v>
      </c>
      <c r="E55" s="12">
        <f t="shared" ref="E55:E57" si="8">D55-C55</f>
        <v>72.244096799999994</v>
      </c>
      <c r="F55" s="2">
        <f>MAX(Sizing!II60:II160)/'Inputs-Imperial'!$E$28</f>
        <v>2</v>
      </c>
      <c r="G55" s="2">
        <f>MAX(Sizing!IQ60:IQ160)/'Inputs-Imperial'!$E$28</f>
        <v>2</v>
      </c>
      <c r="H55" s="127">
        <f>MAX(Sizing!IA60:IA160)</f>
        <v>0.5</v>
      </c>
    </row>
    <row r="56" spans="2:8" x14ac:dyDescent="0.25">
      <c r="B56" s="128">
        <v>3</v>
      </c>
      <c r="C56" s="12">
        <f>D55</f>
        <v>144.48819359999999</v>
      </c>
      <c r="D56" s="12">
        <f>'Inputs-Imperial'!$E$8*'Inputs-Imperial'!$E$5*12</f>
        <v>216.73229039999998</v>
      </c>
      <c r="E56" s="12">
        <f t="shared" si="8"/>
        <v>72.244096799999994</v>
      </c>
      <c r="F56" s="2">
        <f>MAX(Sizing!IJ60:IJ160)/'Inputs-Imperial'!$E$28</f>
        <v>2</v>
      </c>
      <c r="G56" s="2">
        <f>MAX(Sizing!IR60:IR160)/'Inputs-Imperial'!$E$28</f>
        <v>2</v>
      </c>
      <c r="H56" s="127">
        <f>MAX(Sizing!IB60:IB160)</f>
        <v>0.25</v>
      </c>
    </row>
    <row r="57" spans="2:8" ht="15.75" thickBot="1" x14ac:dyDescent="0.3">
      <c r="B57" s="131">
        <v>4</v>
      </c>
      <c r="C57" s="168">
        <f>D56</f>
        <v>216.73229039999998</v>
      </c>
      <c r="D57" s="168">
        <f>'Inputs-Imperial'!$E$5*12</f>
        <v>288.97638719999998</v>
      </c>
      <c r="E57" s="168">
        <f t="shared" si="8"/>
        <v>72.244096799999994</v>
      </c>
      <c r="F57" s="29">
        <f>MAX(Sizing!IK60:IK160)/'Inputs-Imperial'!$E$28</f>
        <v>2</v>
      </c>
      <c r="G57" s="29">
        <f>MAX(Sizing!IS60:IS160)/'Inputs-Imperial'!$E$28</f>
        <v>2</v>
      </c>
      <c r="H57" s="123">
        <f>MAX(Sizing!IC60:IC160)</f>
        <v>0.25</v>
      </c>
    </row>
  </sheetData>
  <sheetProtection sheet="1" objects="1" scenarios="1"/>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6"/>
  <dimension ref="A1:BU148"/>
  <sheetViews>
    <sheetView zoomScale="70" zoomScaleNormal="70" workbookViewId="0">
      <selection activeCell="H36" sqref="H36"/>
    </sheetView>
  </sheetViews>
  <sheetFormatPr defaultRowHeight="15" x14ac:dyDescent="0.25"/>
  <cols>
    <col min="1" max="1" width="39.140625" customWidth="1"/>
    <col min="2" max="2" width="47.140625" customWidth="1"/>
    <col min="3" max="3" width="16" customWidth="1"/>
    <col min="4" max="4" width="9.140625" bestFit="1" customWidth="1"/>
    <col min="5" max="5" width="11" customWidth="1"/>
    <col min="6" max="6" width="13.28515625" customWidth="1"/>
    <col min="7" max="7" width="12" customWidth="1"/>
    <col min="8" max="8" width="6.7109375" customWidth="1"/>
    <col min="9" max="9" width="7.5703125" customWidth="1"/>
    <col min="10" max="10" width="9.85546875" customWidth="1"/>
    <col min="11" max="11" width="8.140625" bestFit="1" customWidth="1"/>
    <col min="12" max="12" width="5.42578125" customWidth="1"/>
    <col min="13" max="13" width="5.85546875" bestFit="1" customWidth="1"/>
    <col min="14" max="14" width="11.85546875" customWidth="1"/>
    <col min="15" max="15" width="11" customWidth="1"/>
    <col min="16" max="16" width="8.85546875" customWidth="1"/>
    <col min="17" max="17" width="12.85546875" bestFit="1" customWidth="1"/>
    <col min="18" max="18" width="16.42578125" bestFit="1" customWidth="1"/>
    <col min="19" max="19" width="9.140625" bestFit="1" customWidth="1"/>
    <col min="20" max="20" width="9.5703125" bestFit="1" customWidth="1"/>
    <col min="21" max="21" width="9.5703125" customWidth="1"/>
    <col min="22" max="22" width="12.42578125" customWidth="1"/>
    <col min="23" max="23" width="11.140625" customWidth="1"/>
    <col min="24" max="25" width="10.85546875" customWidth="1"/>
    <col min="26" max="26" width="9.85546875" customWidth="1"/>
    <col min="27" max="27" width="10.85546875" customWidth="1"/>
    <col min="28" max="28" width="13.5703125" customWidth="1"/>
    <col min="29" max="29" width="14.85546875" customWidth="1"/>
    <col min="30" max="30" width="14.42578125" customWidth="1"/>
    <col min="31" max="31" width="16.140625" customWidth="1"/>
    <col min="32" max="32" width="14.42578125" customWidth="1"/>
    <col min="33" max="33" width="13.140625" customWidth="1"/>
    <col min="38" max="38" width="10.5703125" customWidth="1"/>
    <col min="39" max="39" width="12.140625" customWidth="1"/>
    <col min="40" max="40" width="11.85546875" customWidth="1"/>
    <col min="41" max="42" width="10.140625" customWidth="1"/>
    <col min="43" max="43" width="9.85546875" customWidth="1"/>
    <col min="44" max="44" width="10.5703125" customWidth="1"/>
    <col min="45" max="45" width="10" customWidth="1"/>
    <col min="46" max="46" width="10.5703125" customWidth="1"/>
    <col min="56" max="57" width="11" customWidth="1"/>
    <col min="58" max="58" width="10.85546875" customWidth="1"/>
    <col min="59" max="59" width="11" customWidth="1"/>
  </cols>
  <sheetData>
    <row r="1" spans="1:19" x14ac:dyDescent="0.25">
      <c r="A1" s="4" t="s">
        <v>129</v>
      </c>
    </row>
    <row r="2" spans="1:19" x14ac:dyDescent="0.25">
      <c r="A2" t="s">
        <v>595</v>
      </c>
    </row>
    <row r="3" spans="1:19" x14ac:dyDescent="0.25">
      <c r="A3" t="s">
        <v>361</v>
      </c>
    </row>
    <row r="8" spans="1:19" x14ac:dyDescent="0.25">
      <c r="R8" s="41"/>
    </row>
    <row r="9" spans="1:19" ht="15.75" thickBot="1" x14ac:dyDescent="0.3">
      <c r="R9" s="11"/>
      <c r="S9" s="138"/>
    </row>
    <row r="10" spans="1:19" ht="15.75" thickBot="1" x14ac:dyDescent="0.3">
      <c r="H10" s="821" t="s">
        <v>423</v>
      </c>
      <c r="I10" s="822"/>
      <c r="J10" s="822"/>
      <c r="K10" s="822"/>
      <c r="L10" s="822"/>
      <c r="M10" s="822"/>
      <c r="N10" s="822"/>
      <c r="O10" s="822"/>
      <c r="P10" s="823"/>
      <c r="Q10" s="159"/>
      <c r="R10" s="159"/>
    </row>
    <row r="11" spans="1:19" ht="15.75" thickBot="1" x14ac:dyDescent="0.3">
      <c r="A11" s="197" t="s">
        <v>152</v>
      </c>
      <c r="B11" s="124" t="str">
        <f>'Inputs-Imperial'!B1</f>
        <v>Description</v>
      </c>
      <c r="C11" s="125" t="str">
        <f>'Inputs-Imperial'!C1</f>
        <v>Symbol</v>
      </c>
      <c r="D11" s="125" t="str">
        <f>'Inputs-Imperial'!D1</f>
        <v>Unit</v>
      </c>
      <c r="E11" s="120" t="s">
        <v>152</v>
      </c>
      <c r="F11" s="174"/>
      <c r="H11" s="863" t="s">
        <v>360</v>
      </c>
      <c r="I11" s="864"/>
      <c r="J11" s="864"/>
      <c r="K11" s="864"/>
      <c r="L11" s="864"/>
      <c r="M11" s="864"/>
      <c r="N11" s="335">
        <f>SUM($AB$46:$AB$146)+SUM($AE$46:$AE$146)</f>
        <v>244.75887339547887</v>
      </c>
      <c r="O11" s="336"/>
      <c r="P11" s="336"/>
      <c r="Q11" s="2"/>
      <c r="R11" s="2"/>
    </row>
    <row r="12" spans="1:19" x14ac:dyDescent="0.25">
      <c r="A12" s="273" t="str">
        <f>'Inputs-Imperial'!A5</f>
        <v>Planform</v>
      </c>
      <c r="B12" s="203"/>
      <c r="C12" s="203"/>
      <c r="D12" s="203"/>
      <c r="E12" s="271"/>
      <c r="F12" s="174"/>
      <c r="H12" s="332"/>
      <c r="I12" s="333" t="s">
        <v>376</v>
      </c>
      <c r="J12" s="333"/>
      <c r="K12" s="333"/>
      <c r="L12" s="333"/>
      <c r="M12" s="333"/>
      <c r="N12" s="337"/>
      <c r="O12" s="338">
        <f>SUM(AB46:AB146)</f>
        <v>123.44360571250238</v>
      </c>
      <c r="P12" s="338"/>
      <c r="Q12" s="2"/>
      <c r="R12" s="11"/>
    </row>
    <row r="13" spans="1:19" x14ac:dyDescent="0.25">
      <c r="A13" s="306"/>
      <c r="B13" s="2" t="str">
        <f>'Inputs-Imperial'!B5</f>
        <v>Half-Span</v>
      </c>
      <c r="C13" s="2" t="str">
        <f>'Inputs-Imperial'!C5</f>
        <v>b/2</v>
      </c>
      <c r="D13" s="2" t="str">
        <f>'Inputs-Imperial'!D5</f>
        <v>ft</v>
      </c>
      <c r="E13" s="272">
        <f>'Inputs-Imperial'!E5</f>
        <v>24.081365599999998</v>
      </c>
      <c r="F13" s="174"/>
      <c r="H13" s="332"/>
      <c r="I13" s="333"/>
      <c r="J13" s="333" t="s">
        <v>377</v>
      </c>
      <c r="K13" s="333"/>
      <c r="L13" s="333"/>
      <c r="M13" s="333"/>
      <c r="N13" s="337"/>
      <c r="O13" s="338"/>
      <c r="P13" s="338">
        <f>SUM(Z46:Z146)</f>
        <v>47.932805229076152</v>
      </c>
      <c r="Q13" s="2"/>
      <c r="R13" s="11"/>
    </row>
    <row r="14" spans="1:19" x14ac:dyDescent="0.25">
      <c r="A14" s="306"/>
      <c r="B14" s="425" t="str">
        <f>'Inputs-Imperial'!B6</f>
        <v>Core Zone Split (% Half-Span)</v>
      </c>
      <c r="C14" s="425" t="str">
        <f>'Inputs-Imperial'!C6</f>
        <v>Core_Split1</v>
      </c>
      <c r="D14" s="425" t="str">
        <f>'Inputs-Imperial'!D6</f>
        <v>-</v>
      </c>
      <c r="E14" s="426">
        <f>'Inputs-Imperial'!E6</f>
        <v>0.25</v>
      </c>
      <c r="F14" s="174"/>
      <c r="H14" s="332"/>
      <c r="I14" s="333"/>
      <c r="J14" s="333" t="s">
        <v>378</v>
      </c>
      <c r="K14" s="333"/>
      <c r="L14" s="333"/>
      <c r="M14" s="333"/>
      <c r="N14" s="337"/>
      <c r="O14" s="338"/>
      <c r="P14" s="338">
        <f>SUM(AA46:AA146)</f>
        <v>75.510800483426308</v>
      </c>
      <c r="Q14" s="2"/>
      <c r="R14" s="11"/>
    </row>
    <row r="15" spans="1:19" x14ac:dyDescent="0.25">
      <c r="A15" s="306"/>
      <c r="B15" s="425" t="str">
        <f>'Inputs-Imperial'!B7</f>
        <v>Core Zone Split (% Half-Span)</v>
      </c>
      <c r="C15" s="425" t="str">
        <f>'Inputs-Imperial'!C7</f>
        <v>Core_Split2</v>
      </c>
      <c r="D15" s="425" t="str">
        <f>'Inputs-Imperial'!D7</f>
        <v>-</v>
      </c>
      <c r="E15" s="426">
        <f>'Inputs-Imperial'!E7</f>
        <v>0.5</v>
      </c>
      <c r="F15" s="174"/>
      <c r="H15" s="332"/>
      <c r="I15" s="333" t="s">
        <v>379</v>
      </c>
      <c r="J15" s="333"/>
      <c r="K15" s="333"/>
      <c r="L15" s="333"/>
      <c r="M15" s="333"/>
      <c r="N15" s="337"/>
      <c r="O15" s="338">
        <f>SUM(AE46:AE146)</f>
        <v>121.31526768297648</v>
      </c>
      <c r="P15" s="338"/>
      <c r="Q15" s="11"/>
      <c r="R15" s="11"/>
    </row>
    <row r="16" spans="1:19" ht="15.75" thickBot="1" x14ac:dyDescent="0.3">
      <c r="A16" s="306"/>
      <c r="B16" s="425" t="str">
        <f>'Inputs-Imperial'!B8</f>
        <v>Core Zone Split (% Half-Span)</v>
      </c>
      <c r="C16" s="425" t="str">
        <f>'Inputs-Imperial'!C8</f>
        <v>Core_Split3</v>
      </c>
      <c r="D16" s="425" t="str">
        <f>'Inputs-Imperial'!D8</f>
        <v>-</v>
      </c>
      <c r="E16" s="426">
        <f>'Inputs-Imperial'!E8</f>
        <v>0.75</v>
      </c>
      <c r="F16" s="174"/>
      <c r="H16" s="332"/>
      <c r="I16" s="333"/>
      <c r="J16" s="333" t="s">
        <v>380</v>
      </c>
      <c r="K16" s="333"/>
      <c r="L16" s="333"/>
      <c r="M16" s="333"/>
      <c r="N16" s="337"/>
      <c r="O16" s="338"/>
      <c r="P16" s="338">
        <f>SUM(AC46:AC146)</f>
        <v>47.106377552712772</v>
      </c>
      <c r="Q16" s="2"/>
      <c r="R16" s="2"/>
    </row>
    <row r="17" spans="1:19" ht="15.75" thickBot="1" x14ac:dyDescent="0.3">
      <c r="A17" s="273" t="str">
        <f>'Inputs-Imperial'!A11</f>
        <v>Main Spar</v>
      </c>
      <c r="B17" s="24" t="str">
        <f>'Inputs-Imperial'!B11</f>
        <v>Spar Height/Chord</v>
      </c>
      <c r="C17" s="347" t="str">
        <f>'Inputs-Imperial'!C11</f>
        <v>Spar_t/c</v>
      </c>
      <c r="D17" s="347" t="str">
        <f>'Inputs-Imperial'!D11</f>
        <v>-</v>
      </c>
      <c r="E17" s="427">
        <f>'Inputs-Imperial'!E11</f>
        <v>0.18</v>
      </c>
      <c r="F17" s="175"/>
      <c r="H17" s="331"/>
      <c r="I17" s="330"/>
      <c r="J17" s="330" t="s">
        <v>381</v>
      </c>
      <c r="K17" s="330"/>
      <c r="L17" s="330"/>
      <c r="M17" s="330"/>
      <c r="N17" s="337"/>
      <c r="O17" s="338"/>
      <c r="P17" s="338">
        <f>SUM(AD46:AD146)</f>
        <v>74.208890130263725</v>
      </c>
      <c r="Q17" s="2"/>
      <c r="R17" s="2"/>
    </row>
    <row r="18" spans="1:19" ht="15.75" thickBot="1" x14ac:dyDescent="0.3">
      <c r="A18" s="275"/>
      <c r="B18" s="276" t="str">
        <f>'Inputs-Imperial'!B12</f>
        <v>Spar Location % Chord</v>
      </c>
      <c r="C18" s="29" t="str">
        <f>'Inputs-Imperial'!C12</f>
        <v>Spar_x/c</v>
      </c>
      <c r="D18" s="277" t="str">
        <f>'Inputs-Imperial'!D12</f>
        <v>-</v>
      </c>
      <c r="E18" s="206">
        <f>'Inputs-Imperial'!E12</f>
        <v>0.25</v>
      </c>
      <c r="F18" s="138"/>
      <c r="H18" s="865" t="s">
        <v>371</v>
      </c>
      <c r="I18" s="866"/>
      <c r="J18" s="866"/>
      <c r="K18" s="866"/>
      <c r="L18" s="866"/>
      <c r="M18" s="866"/>
      <c r="N18" s="339">
        <f>SUM($AR$46:$AR$146)+SUM($AS$46:$AS$146)+SUM($AT$46:$AT$146)</f>
        <v>68.774326800065765</v>
      </c>
      <c r="O18" s="340"/>
      <c r="P18" s="340"/>
      <c r="Q18" s="2"/>
    </row>
    <row r="19" spans="1:19" x14ac:dyDescent="0.25">
      <c r="A19" s="156"/>
      <c r="B19" s="7"/>
      <c r="C19" s="2"/>
      <c r="D19" s="6"/>
      <c r="E19" s="17"/>
      <c r="F19" s="138"/>
      <c r="H19" s="332"/>
      <c r="I19" s="333" t="s">
        <v>382</v>
      </c>
      <c r="J19" s="334"/>
      <c r="K19" s="333"/>
      <c r="L19" s="333"/>
      <c r="M19" s="333"/>
      <c r="N19" s="337"/>
      <c r="O19" s="338">
        <f>SUM(AS46:AS146)</f>
        <v>23.43386104768587</v>
      </c>
      <c r="P19" s="338"/>
    </row>
    <row r="20" spans="1:19" x14ac:dyDescent="0.25">
      <c r="A20" s="307"/>
      <c r="B20" s="13"/>
      <c r="C20" s="1"/>
      <c r="D20" s="10"/>
      <c r="E20" s="16"/>
      <c r="F20" s="138"/>
      <c r="H20" s="332"/>
      <c r="I20" s="333" t="s">
        <v>383</v>
      </c>
      <c r="J20" s="334"/>
      <c r="K20" s="333"/>
      <c r="L20" s="333"/>
      <c r="M20" s="333"/>
      <c r="N20" s="337"/>
      <c r="O20" s="338">
        <f>SUM(AT46:AT146)</f>
        <v>23.43386104768587</v>
      </c>
      <c r="P20" s="338"/>
    </row>
    <row r="21" spans="1:19" x14ac:dyDescent="0.25">
      <c r="A21" s="156" t="str">
        <f>'Inputs-Imperial'!A14</f>
        <v>Aft Shear Web</v>
      </c>
      <c r="B21" s="2" t="str">
        <f>'Inputs-Imperial'!B14</f>
        <v>Aft Web Height/Chord</v>
      </c>
      <c r="C21" s="2" t="str">
        <f>'Inputs-Imperial'!C14</f>
        <v>AW_t/c</v>
      </c>
      <c r="D21" s="6" t="str">
        <f>'Inputs-Imperial'!D14</f>
        <v>-</v>
      </c>
      <c r="E21" s="17">
        <f>'Inputs-Imperial'!E14</f>
        <v>0.09</v>
      </c>
      <c r="F21" s="138"/>
      <c r="H21" s="332"/>
      <c r="I21" s="333" t="s">
        <v>384</v>
      </c>
      <c r="J21" s="333"/>
      <c r="K21" s="333"/>
      <c r="L21" s="333"/>
      <c r="M21" s="333"/>
      <c r="N21" s="337"/>
      <c r="O21" s="338">
        <f>SUM(AR46:AR146)</f>
        <v>21.906604704694029</v>
      </c>
      <c r="P21" s="340"/>
    </row>
    <row r="22" spans="1:19" x14ac:dyDescent="0.25">
      <c r="A22" s="26"/>
      <c r="B22" s="13" t="str">
        <f>'Inputs-Imperial'!B15</f>
        <v>Aft Web Location % Chord</v>
      </c>
      <c r="C22" s="1" t="str">
        <f>'Inputs-Imperial'!C15</f>
        <v>AW_x/c_tip</v>
      </c>
      <c r="D22" s="10" t="str">
        <f>'Inputs-Imperial'!D15</f>
        <v>-</v>
      </c>
      <c r="E22" s="16">
        <f>'Inputs-Imperial'!E15</f>
        <v>0.75</v>
      </c>
      <c r="F22" s="138"/>
      <c r="H22" s="332"/>
      <c r="I22" s="333"/>
      <c r="J22" s="333" t="s">
        <v>385</v>
      </c>
      <c r="K22" s="333"/>
      <c r="L22" s="333"/>
      <c r="M22" s="333"/>
      <c r="N22" s="337"/>
      <c r="O22" s="340"/>
      <c r="P22" s="338">
        <f>SUM(AP46:AP146)</f>
        <v>18.009745449347243</v>
      </c>
    </row>
    <row r="23" spans="1:19" ht="15.75" thickBot="1" x14ac:dyDescent="0.3">
      <c r="A23" s="157" t="e">
        <f>'Inputs-Imperial'!#REF!</f>
        <v>#REF!</v>
      </c>
      <c r="B23" s="3" t="str">
        <f>'Inputs-Imperial'!B16</f>
        <v>Factor of Safety, Stress</v>
      </c>
      <c r="C23" s="3" t="str">
        <f>'Inputs-Imperial'!C16</f>
        <v>FS_stress</v>
      </c>
      <c r="D23" s="3" t="str">
        <f>'Inputs-Imperial'!D16</f>
        <v>-</v>
      </c>
      <c r="E23" s="15">
        <f>'Inputs-Imperial'!E16</f>
        <v>1.5</v>
      </c>
      <c r="F23" s="2"/>
      <c r="H23" s="332"/>
      <c r="I23" s="333"/>
      <c r="J23" s="333" t="s">
        <v>386</v>
      </c>
      <c r="K23" s="333"/>
      <c r="L23" s="333"/>
      <c r="M23" s="333"/>
      <c r="N23" s="337"/>
      <c r="O23" s="340"/>
      <c r="P23" s="338">
        <f>SUM(AQ46:AQ146)</f>
        <v>3.8968592553468047</v>
      </c>
    </row>
    <row r="24" spans="1:19" x14ac:dyDescent="0.25">
      <c r="A24" s="26"/>
      <c r="B24" s="1" t="str">
        <f>'Inputs-Imperial'!B17</f>
        <v>Factor of Safety, Buckling/Wrinkling/Crimp</v>
      </c>
      <c r="C24" s="1" t="str">
        <f>'Inputs-Imperial'!C17</f>
        <v>FS_buckling</v>
      </c>
      <c r="D24" s="1" t="str">
        <f>'Inputs-Imperial'!D17</f>
        <v>-</v>
      </c>
      <c r="E24" s="19">
        <f>'Inputs-Imperial'!E17</f>
        <v>1.8</v>
      </c>
      <c r="F24" s="11"/>
      <c r="H24" s="429" t="s">
        <v>387</v>
      </c>
      <c r="I24" s="430"/>
      <c r="J24" s="430"/>
      <c r="K24" s="430"/>
      <c r="L24" s="430"/>
      <c r="M24" s="439"/>
      <c r="N24" s="435">
        <f>SUM($BG$46:$BG$146)+SUM($BH$46:$BH$146)+SUM($BI$46:$BI$146)</f>
        <v>5.3485453326827956</v>
      </c>
      <c r="O24" s="340"/>
      <c r="P24" s="340"/>
    </row>
    <row r="25" spans="1:19" x14ac:dyDescent="0.25">
      <c r="A25" s="157" t="str">
        <f>'Inputs-Imperial'!A18</f>
        <v>Materials - Spar Caps</v>
      </c>
      <c r="B25" s="2" t="str">
        <f>'Inputs-Imperial'!B20</f>
        <v>Spar Cap Modulus</v>
      </c>
      <c r="C25" s="2" t="str">
        <f>'Inputs-Imperial'!C20</f>
        <v>E11_Cap</v>
      </c>
      <c r="D25" s="2" t="str">
        <f>'Inputs-Imperial'!D20</f>
        <v>psi</v>
      </c>
      <c r="E25" s="74">
        <f>'Inputs-Imperial'!E20</f>
        <v>15954180</v>
      </c>
      <c r="F25" s="116"/>
      <c r="H25" s="341"/>
      <c r="I25" s="333" t="s">
        <v>382</v>
      </c>
      <c r="J25" s="334"/>
      <c r="K25" s="333"/>
      <c r="L25" s="333"/>
      <c r="M25" s="440"/>
      <c r="N25" s="437"/>
      <c r="O25" s="338">
        <f>SUM(BH46:BH146)</f>
        <v>0.36138944730254979</v>
      </c>
      <c r="P25" s="436"/>
    </row>
    <row r="26" spans="1:19" x14ac:dyDescent="0.25">
      <c r="A26" s="26"/>
      <c r="B26" s="1" t="str">
        <f>'Inputs-Imperial'!B22</f>
        <v>Spar Cap Density</v>
      </c>
      <c r="C26" s="1" t="str">
        <f>'Inputs-Imperial'!C22</f>
        <v>rho_Cap</v>
      </c>
      <c r="D26" s="1" t="str">
        <f>'Inputs-Imperial'!D22</f>
        <v>lb/in^3</v>
      </c>
      <c r="E26" s="16">
        <f>'Inputs-Imperial'!E22</f>
        <v>6.141640685118082E-2</v>
      </c>
      <c r="F26" s="138"/>
      <c r="H26" s="341"/>
      <c r="I26" s="333" t="s">
        <v>383</v>
      </c>
      <c r="J26" s="334"/>
      <c r="K26" s="333"/>
      <c r="L26" s="333"/>
      <c r="M26" s="440"/>
      <c r="N26" s="437"/>
      <c r="O26" s="338">
        <f>SUM(BI46:BI146)</f>
        <v>0.36138944730254979</v>
      </c>
      <c r="P26" s="436"/>
    </row>
    <row r="27" spans="1:19" x14ac:dyDescent="0.25">
      <c r="A27" s="157" t="str">
        <f>'Inputs-Imperial'!A23</f>
        <v>Material - Skins and Webs</v>
      </c>
      <c r="B27" s="2" t="str">
        <f>'Inputs-Imperial'!B24</f>
        <v>Bias Shear Modulus</v>
      </c>
      <c r="C27" s="2" t="str">
        <f>'Inputs-Imperial'!C24</f>
        <v>G12_Bias</v>
      </c>
      <c r="D27" s="2" t="str">
        <f>'Inputs-Imperial'!D24</f>
        <v>psi</v>
      </c>
      <c r="E27" s="74">
        <f>'Inputs-Imperial'!E24</f>
        <v>3770988.0000000005</v>
      </c>
      <c r="F27" s="116"/>
      <c r="H27" s="332"/>
      <c r="I27" s="333" t="s">
        <v>385</v>
      </c>
      <c r="J27" s="334"/>
      <c r="K27" s="333"/>
      <c r="L27" s="333"/>
      <c r="M27" s="440"/>
      <c r="N27" s="434"/>
      <c r="O27" s="338">
        <f>SUM(BE46:BE146)</f>
        <v>3.1659751271349235</v>
      </c>
      <c r="P27" s="338"/>
    </row>
    <row r="28" spans="1:19" x14ac:dyDescent="0.25">
      <c r="A28" s="25"/>
      <c r="B28" s="2" t="str">
        <f>'Inputs-Imperial'!B25</f>
        <v>Bias Skin Compression Modulus</v>
      </c>
      <c r="C28" s="2" t="str">
        <f>'Inputs-Imperial'!C25</f>
        <v>E11_Bias</v>
      </c>
      <c r="D28" s="2" t="str">
        <f>'Inputs-Imperial'!D25</f>
        <v>psi</v>
      </c>
      <c r="E28" s="74">
        <f>'Inputs-Imperial'!E25</f>
        <v>2175570</v>
      </c>
      <c r="F28" s="116"/>
      <c r="G28" s="116"/>
      <c r="H28" s="332"/>
      <c r="I28" s="333" t="s">
        <v>397</v>
      </c>
      <c r="J28" s="334"/>
      <c r="K28" s="333"/>
      <c r="L28" s="333"/>
      <c r="M28" s="440"/>
      <c r="N28" s="434"/>
      <c r="O28" s="338">
        <f>SUM(BF46:BF146)</f>
        <v>1.4597913109427736</v>
      </c>
      <c r="P28" s="338"/>
    </row>
    <row r="29" spans="1:19" ht="15.75" thickBot="1" x14ac:dyDescent="0.3">
      <c r="A29" s="25"/>
      <c r="B29" s="2" t="str">
        <f>'Inputs-Imperial'!B26</f>
        <v>Warp Fabric Modulus</v>
      </c>
      <c r="C29" s="2" t="str">
        <f>'Inputs-Imperial'!C26</f>
        <v>E11=E22</v>
      </c>
      <c r="D29" s="2" t="str">
        <f>'Inputs-Imperial'!D26</f>
        <v>psi</v>
      </c>
      <c r="E29" s="74">
        <f>'Inputs-Imperial'!E26</f>
        <v>7687014.0000000009</v>
      </c>
      <c r="F29" s="116"/>
      <c r="G29" s="116"/>
      <c r="H29" s="431" t="s">
        <v>400</v>
      </c>
      <c r="I29" s="432"/>
      <c r="J29" s="432"/>
      <c r="K29" s="432"/>
      <c r="L29" s="432"/>
      <c r="M29" s="433"/>
      <c r="N29" s="438">
        <f>SUM(N11:N28)*(E36-1)</f>
        <v>15.944087276411386</v>
      </c>
      <c r="O29" s="342"/>
      <c r="P29" s="342"/>
    </row>
    <row r="30" spans="1:19" ht="15.75" thickBot="1" x14ac:dyDescent="0.3">
      <c r="A30" s="25"/>
      <c r="B30" s="2" t="str">
        <f>'Inputs-Imperial'!B27</f>
        <v>Skin Density</v>
      </c>
      <c r="C30" s="2" t="str">
        <f>'Inputs-Imperial'!C27</f>
        <v>rho_Bias</v>
      </c>
      <c r="D30" s="2" t="str">
        <f>'Inputs-Imperial'!D27</f>
        <v>lb/in^3</v>
      </c>
      <c r="E30" s="17">
        <f>'Inputs-Imperial'!E27</f>
        <v>6.141640685118082E-2</v>
      </c>
      <c r="F30" s="138"/>
      <c r="G30" s="138"/>
      <c r="H30" s="428" t="s">
        <v>398</v>
      </c>
      <c r="I30" s="358"/>
      <c r="J30" s="358"/>
      <c r="K30" s="358"/>
      <c r="L30" s="358"/>
      <c r="M30" s="359"/>
      <c r="N30" s="329">
        <f>SUM(N11:N29)</f>
        <v>334.82583280463882</v>
      </c>
      <c r="O30" s="160" t="s">
        <v>399</v>
      </c>
      <c r="P30" s="146"/>
      <c r="R30" s="41"/>
      <c r="S30" s="346"/>
    </row>
    <row r="31" spans="1:19" x14ac:dyDescent="0.25">
      <c r="A31" s="26"/>
      <c r="B31" s="1" t="str">
        <f>'Inputs-Imperial'!B28</f>
        <v>Skin Cured Ply Thickness</v>
      </c>
      <c r="C31" s="1" t="str">
        <f>'Inputs-Imperial'!C28</f>
        <v>CPT_Bias</v>
      </c>
      <c r="D31" s="1" t="str">
        <f>'Inputs-Imperial'!D28</f>
        <v>in</v>
      </c>
      <c r="E31" s="20">
        <f>'Inputs-Imperial'!E28</f>
        <v>7.8740157480314977E-3</v>
      </c>
      <c r="F31" s="2"/>
      <c r="G31" s="2"/>
    </row>
    <row r="32" spans="1:19" x14ac:dyDescent="0.25">
      <c r="A32" s="157" t="str">
        <f>'Inputs-Imperial'!A29</f>
        <v>Material - Skin and Web Core</v>
      </c>
      <c r="B32" s="3" t="str">
        <f>'Inputs-Imperial'!B29</f>
        <v>Core Modulus (E11=E22=E33)</v>
      </c>
      <c r="C32" s="3" t="str">
        <f>'Inputs-Imperial'!C29</f>
        <v>E_Core</v>
      </c>
      <c r="D32" s="3" t="str">
        <f>'Inputs-Imperial'!D29</f>
        <v>psi</v>
      </c>
      <c r="E32" s="73">
        <f>'Inputs-Imperial'!E29</f>
        <v>8267.1660000000011</v>
      </c>
      <c r="F32" s="116"/>
      <c r="G32" s="116"/>
    </row>
    <row r="33" spans="1:73" x14ac:dyDescent="0.25">
      <c r="A33" s="225"/>
      <c r="B33" s="2" t="str">
        <f>'Inputs-Imperial'!B30</f>
        <v>Core Shear Modulus (G12=G13)</v>
      </c>
      <c r="C33" s="2" t="str">
        <f>'Inputs-Imperial'!C30</f>
        <v>G_Core</v>
      </c>
      <c r="D33" s="2" t="str">
        <f>'Inputs-Imperial'!D30</f>
        <v>psi</v>
      </c>
      <c r="E33" s="74">
        <f>'Inputs-Imperial'!E30</f>
        <v>2610.6840000000002</v>
      </c>
      <c r="F33" s="116"/>
    </row>
    <row r="34" spans="1:73" ht="15.75" thickBot="1" x14ac:dyDescent="0.3">
      <c r="A34" s="26"/>
      <c r="B34" s="1" t="str">
        <f>'Inputs-Imperial'!B33</f>
        <v>Core Density</v>
      </c>
      <c r="C34" s="1" t="str">
        <f>'Inputs-Imperial'!C33</f>
        <v>rho_Core</v>
      </c>
      <c r="D34" s="1" t="str">
        <f>'Inputs-Imperial'!D33</f>
        <v>lb/in^3</v>
      </c>
      <c r="E34" s="18">
        <f>'Inputs-Imperial'!E33</f>
        <v>2.312147081456219E-3</v>
      </c>
      <c r="F34" s="2"/>
    </row>
    <row r="35" spans="1:73" x14ac:dyDescent="0.25">
      <c r="A35" s="157" t="str">
        <f>'Inputs-Imperial'!A34</f>
        <v>Manufacturing Weight Factors</v>
      </c>
      <c r="B35" s="3" t="str">
        <f>'Inputs-Imperial'!B34</f>
        <v>As-Built Sandwich Weight Factor  (W_built/W_laminate)</v>
      </c>
      <c r="C35" s="3" t="str">
        <f>'Inputs-Imperial'!C34</f>
        <v>K_Fab</v>
      </c>
      <c r="D35" s="3" t="str">
        <f>'Inputs-Imperial'!D34</f>
        <v>-</v>
      </c>
      <c r="E35" s="195">
        <f>'Inputs-Imperial'!E34</f>
        <v>1.25</v>
      </c>
      <c r="F35" s="8"/>
    </row>
    <row r="36" spans="1:73" ht="15.75" thickBot="1" x14ac:dyDescent="0.3">
      <c r="A36" s="28"/>
      <c r="B36" s="29" t="str">
        <f>'Inputs-Imperial'!B35</f>
        <v>Bonded Joint Weight  (W_joints/W_laminate)</v>
      </c>
      <c r="C36" s="29" t="str">
        <f>'Inputs-Imperial'!C35</f>
        <v>K_Fab</v>
      </c>
      <c r="D36" s="29" t="str">
        <f>'Inputs-Imperial'!D35</f>
        <v>-</v>
      </c>
      <c r="E36" s="30">
        <f>'Inputs-Imperial'!E35</f>
        <v>1.05</v>
      </c>
      <c r="F36" s="2"/>
    </row>
    <row r="37" spans="1:73" ht="15.75" thickBot="1" x14ac:dyDescent="0.3"/>
    <row r="38" spans="1:73" ht="15.75" thickBot="1" x14ac:dyDescent="0.3">
      <c r="A38" s="229" t="s">
        <v>358</v>
      </c>
      <c r="B38" s="208"/>
      <c r="C38" s="208"/>
      <c r="D38" s="208"/>
      <c r="E38" s="196"/>
    </row>
    <row r="39" spans="1:73" x14ac:dyDescent="0.25">
      <c r="A39" s="158"/>
      <c r="B39" s="24" t="s">
        <v>354</v>
      </c>
      <c r="C39" s="24" t="s">
        <v>357</v>
      </c>
      <c r="D39" s="24" t="s">
        <v>14</v>
      </c>
      <c r="E39" s="293">
        <f>1.044*('Inputs-Imperial'!E11/0.182)</f>
        <v>1.0325274725274727</v>
      </c>
    </row>
    <row r="40" spans="1:73" ht="15.75" thickBot="1" x14ac:dyDescent="0.3">
      <c r="A40" s="227"/>
      <c r="B40" s="29" t="s">
        <v>355</v>
      </c>
      <c r="C40" s="29" t="s">
        <v>356</v>
      </c>
      <c r="D40" s="29" t="s">
        <v>14</v>
      </c>
      <c r="E40" s="206">
        <f>1.026*('Inputs-Imperial'!E11/0.182)</f>
        <v>1.0147252747252749</v>
      </c>
    </row>
    <row r="43" spans="1:73" ht="15.75" thickBot="1" x14ac:dyDescent="0.3">
      <c r="V43" s="80" t="s">
        <v>359</v>
      </c>
      <c r="BL43" s="4" t="s">
        <v>814</v>
      </c>
    </row>
    <row r="44" spans="1:73" ht="15" customHeight="1" thickBot="1" x14ac:dyDescent="0.3">
      <c r="A44" s="854" t="s">
        <v>155</v>
      </c>
      <c r="B44" s="855"/>
      <c r="C44" s="855"/>
      <c r="D44" s="855"/>
      <c r="E44" s="855"/>
      <c r="F44" s="855"/>
      <c r="G44" s="855"/>
      <c r="H44" s="855"/>
      <c r="I44" s="855"/>
      <c r="J44" s="856"/>
      <c r="K44" s="821" t="s">
        <v>13</v>
      </c>
      <c r="L44" s="822"/>
      <c r="M44" s="822"/>
      <c r="N44" s="822"/>
      <c r="O44" s="823"/>
      <c r="P44" s="543" t="s">
        <v>372</v>
      </c>
      <c r="Q44" s="544"/>
      <c r="R44" s="544"/>
      <c r="S44" s="545"/>
      <c r="T44" s="870" t="s">
        <v>360</v>
      </c>
      <c r="U44" s="871"/>
      <c r="V44" s="871"/>
      <c r="W44" s="871"/>
      <c r="X44" s="871"/>
      <c r="Y44" s="871"/>
      <c r="Z44" s="871"/>
      <c r="AA44" s="871"/>
      <c r="AB44" s="871"/>
      <c r="AC44" s="871"/>
      <c r="AD44" s="871"/>
      <c r="AE44" s="871"/>
      <c r="AF44" s="842" t="s">
        <v>371</v>
      </c>
      <c r="AG44" s="843"/>
      <c r="AH44" s="843"/>
      <c r="AI44" s="843"/>
      <c r="AJ44" s="843"/>
      <c r="AK44" s="843"/>
      <c r="AL44" s="843"/>
      <c r="AM44" s="843"/>
      <c r="AN44" s="843"/>
      <c r="AO44" s="843"/>
      <c r="AP44" s="843"/>
      <c r="AQ44" s="843"/>
      <c r="AR44" s="843"/>
      <c r="AS44" s="843"/>
      <c r="AT44" s="844"/>
      <c r="AU44" s="867" t="s">
        <v>387</v>
      </c>
      <c r="AV44" s="868"/>
      <c r="AW44" s="868"/>
      <c r="AX44" s="868"/>
      <c r="AY44" s="868"/>
      <c r="AZ44" s="868"/>
      <c r="BA44" s="868"/>
      <c r="BB44" s="868"/>
      <c r="BC44" s="868"/>
      <c r="BD44" s="868"/>
      <c r="BE44" s="868"/>
      <c r="BF44" s="868"/>
      <c r="BG44" s="868"/>
      <c r="BH44" s="868"/>
      <c r="BI44" s="869"/>
      <c r="BJ44" s="561"/>
    </row>
    <row r="45" spans="1:73" ht="87.6" customHeight="1" thickBot="1" x14ac:dyDescent="0.3">
      <c r="A45" s="176" t="s">
        <v>130</v>
      </c>
      <c r="B45" s="177" t="s">
        <v>132</v>
      </c>
      <c r="C45" s="177" t="s">
        <v>131</v>
      </c>
      <c r="D45" s="178" t="s">
        <v>145</v>
      </c>
      <c r="E45" s="178" t="s">
        <v>153</v>
      </c>
      <c r="F45" s="178" t="str">
        <f>Sizing!F59</f>
        <v>Lead-Lag Shear [lbs] -
 Vx</v>
      </c>
      <c r="G45" s="178" t="str">
        <f>Sizing!G59</f>
        <v>Shear [lbs] -
 OB Edge - Vz</v>
      </c>
      <c r="H45" s="178" t="str">
        <f>Sizing!H59</f>
        <v>Moment [ft-lbs] -
 OB Edge - Mx</v>
      </c>
      <c r="I45" s="178" t="str">
        <f>Sizing!I59</f>
        <v>Wing Torsion
[ft-lbs] -
 My</v>
      </c>
      <c r="J45" s="178" t="str">
        <f>Sizing!J59</f>
        <v>Lead-Lag Moment
[ft-lbs] -
Mz</v>
      </c>
      <c r="K45" s="163" t="s">
        <v>176</v>
      </c>
      <c r="L45" s="125" t="s">
        <v>173</v>
      </c>
      <c r="M45" s="125" t="s">
        <v>174</v>
      </c>
      <c r="N45" s="125" t="s">
        <v>175</v>
      </c>
      <c r="O45" s="154" t="s">
        <v>156</v>
      </c>
      <c r="P45" s="125" t="s">
        <v>373</v>
      </c>
      <c r="Q45" s="125" t="s">
        <v>374</v>
      </c>
      <c r="R45" s="125" t="s">
        <v>163</v>
      </c>
      <c r="S45" s="125" t="s">
        <v>375</v>
      </c>
      <c r="T45" s="310" t="str">
        <f>Sizing!CN59</f>
        <v>Wing Skin As-Built Core Thickness
[in]</v>
      </c>
      <c r="U45" s="125" t="str">
        <f>Sizing!CO59</f>
        <v>As-built Skin Facesheet OML Thickness [in]</v>
      </c>
      <c r="V45" s="154" t="str">
        <f>Sizing!CP59</f>
        <v>As-built Skin Facesheet IML Thickness [in]</v>
      </c>
      <c r="W45" s="310" t="s">
        <v>362</v>
      </c>
      <c r="X45" s="120" t="s">
        <v>363</v>
      </c>
      <c r="Y45" s="310" t="s">
        <v>364</v>
      </c>
      <c r="Z45" s="308" t="s">
        <v>365</v>
      </c>
      <c r="AA45" s="309" t="s">
        <v>367</v>
      </c>
      <c r="AB45" s="309" t="s">
        <v>366</v>
      </c>
      <c r="AC45" s="308" t="s">
        <v>368</v>
      </c>
      <c r="AD45" s="309" t="s">
        <v>369</v>
      </c>
      <c r="AE45" s="309" t="s">
        <v>370</v>
      </c>
      <c r="AF45" s="161" t="str">
        <f>Sizing!DU59</f>
        <v>As-built
Vert Spar
Comp.
Cap Area [in^2]</v>
      </c>
      <c r="AG45" s="252" t="str">
        <f>Sizing!DV59</f>
        <v>As-built 
Comp Cap Square
Side Length 
[in]</v>
      </c>
      <c r="AH45" s="252" t="str">
        <f>Sizing!DW59</f>
        <v>As-built
Vert Spar
Tension
Cap Area [in^2]</v>
      </c>
      <c r="AI45" s="162" t="str">
        <f>Sizing!DX59</f>
        <v>As-built
Tension
 Cap Square
Side Length 
[in]</v>
      </c>
      <c r="AJ45" s="320" t="str">
        <f>Sizing!GJ59</f>
        <v>As-Built Spar Core Thickness
[in]</v>
      </c>
      <c r="AK45" s="321" t="str">
        <f>Sizing!GK59</f>
        <v>As-built Facesheet 1 Thickness [in]</v>
      </c>
      <c r="AL45" s="322" t="str">
        <f>Sizing!GL59</f>
        <v>As-built Facesheet 2 Thickness [in]</v>
      </c>
      <c r="AM45" s="323" t="s">
        <v>388</v>
      </c>
      <c r="AN45" s="324" t="s">
        <v>389</v>
      </c>
      <c r="AO45" s="323" t="s">
        <v>390</v>
      </c>
      <c r="AP45" s="310" t="s">
        <v>391</v>
      </c>
      <c r="AQ45" s="120" t="s">
        <v>392</v>
      </c>
      <c r="AR45" s="312" t="s">
        <v>393</v>
      </c>
      <c r="AS45" s="312" t="s">
        <v>394</v>
      </c>
      <c r="AT45" s="312" t="s">
        <v>395</v>
      </c>
      <c r="AU45" s="124" t="str">
        <f>Sizing!JC59</f>
        <v>As-Built
Drag Spar
Cap Area 
[in^2]</v>
      </c>
      <c r="AV45" s="124" t="str">
        <f>Sizing!JD59</f>
        <v xml:space="preserve">
 As-Built
Cap Square
Side Length 
[in]</v>
      </c>
      <c r="AW45" s="124" t="str">
        <f>Sizing!JC59</f>
        <v>As-Built
Drag Spar
Cap Area 
[in^2]</v>
      </c>
      <c r="AX45" s="124" t="str">
        <f>Sizing!JD59</f>
        <v xml:space="preserve">
 As-Built
Cap Square
Side Length 
[in]</v>
      </c>
      <c r="AY45" s="325" t="str">
        <f>Sizing!IT59</f>
        <v>As-Built Aft Web Core Thickness
[in]</v>
      </c>
      <c r="AZ45" s="326" t="str">
        <f>Sizing!IU59</f>
        <v>As-built Skin Facesheet 1 Thickness [in]</v>
      </c>
      <c r="BA45" s="327" t="str">
        <f>Sizing!IV59</f>
        <v>As-built Skin Facesheet 2 Thickness [in]</v>
      </c>
      <c r="BB45" s="327" t="s">
        <v>388</v>
      </c>
      <c r="BC45" s="327" t="s">
        <v>389</v>
      </c>
      <c r="BD45" s="327" t="s">
        <v>390</v>
      </c>
      <c r="BE45" s="327" t="s">
        <v>391</v>
      </c>
      <c r="BF45" s="327" t="s">
        <v>392</v>
      </c>
      <c r="BG45" s="328" t="s">
        <v>393</v>
      </c>
      <c r="BH45" s="328" t="s">
        <v>394</v>
      </c>
      <c r="BI45" s="328" t="s">
        <v>395</v>
      </c>
      <c r="BJ45" s="561"/>
      <c r="BK45" s="563" t="s">
        <v>813</v>
      </c>
      <c r="BL45" s="563" t="s">
        <v>815</v>
      </c>
      <c r="BM45" s="563" t="s">
        <v>816</v>
      </c>
      <c r="BN45" s="563" t="s">
        <v>817</v>
      </c>
      <c r="BO45" s="563" t="s">
        <v>818</v>
      </c>
      <c r="BP45" s="563" t="s">
        <v>821</v>
      </c>
      <c r="BQ45" s="563" t="s">
        <v>820</v>
      </c>
      <c r="BR45" s="563" t="s">
        <v>819</v>
      </c>
      <c r="BS45" s="563" t="s">
        <v>822</v>
      </c>
      <c r="BT45" s="563" t="s">
        <v>823</v>
      </c>
      <c r="BU45" s="563" t="s">
        <v>824</v>
      </c>
    </row>
    <row r="46" spans="1:73" x14ac:dyDescent="0.25">
      <c r="A46" s="180">
        <v>0</v>
      </c>
      <c r="B46" s="181">
        <f>A46/100*'Inputs-Imperial'!$E$5</f>
        <v>0</v>
      </c>
      <c r="C46" s="182">
        <f>'Inputs-Imperial'!$E$10+('Inputs-Imperial'!$E$9-'Inputs-Imperial'!$E$10)*(100-A46)/100</f>
        <v>5.0853020000000004</v>
      </c>
      <c r="D46" s="183">
        <v>0</v>
      </c>
      <c r="E46" s="183">
        <v>0</v>
      </c>
      <c r="F46" s="184">
        <f>Sizing!F60</f>
        <v>970.77706817218188</v>
      </c>
      <c r="G46" s="184">
        <f>Sizing!G60</f>
        <v>9707.7706817218186</v>
      </c>
      <c r="H46" s="184">
        <f>Sizing!H60</f>
        <v>105068.09904309957</v>
      </c>
      <c r="I46" s="184">
        <f>Sizing!I60</f>
        <v>-23217.821192543794</v>
      </c>
      <c r="J46" s="185">
        <f>Sizing!J60</f>
        <v>10506.809904309965</v>
      </c>
      <c r="K46" s="129">
        <v>0</v>
      </c>
      <c r="L46" s="166">
        <f>B46*12</f>
        <v>0</v>
      </c>
      <c r="M46" s="173">
        <f>C46*12</f>
        <v>61.023624000000005</v>
      </c>
      <c r="N46" s="173">
        <f>D46*12</f>
        <v>0</v>
      </c>
      <c r="O46" s="167">
        <f>E46*12*12</f>
        <v>0</v>
      </c>
      <c r="P46" s="130">
        <f t="shared" ref="P46:P77" si="0">M46*$E$17</f>
        <v>10.984252320000001</v>
      </c>
      <c r="Q46" s="166">
        <v>0</v>
      </c>
      <c r="R46" s="130">
        <f t="shared" ref="R46:R77" si="1">M46*$E$21</f>
        <v>5.4921261600000006</v>
      </c>
      <c r="S46" s="167">
        <v>0</v>
      </c>
      <c r="T46" s="293">
        <f>Sizing!CN60</f>
        <v>2</v>
      </c>
      <c r="U46" s="293">
        <f>Sizing!CO60</f>
        <v>2.3622047244094495E-2</v>
      </c>
      <c r="V46" s="293">
        <f>Sizing!CP60</f>
        <v>2.3622047244094495E-2</v>
      </c>
      <c r="W46" s="128">
        <f>(U46*$E$30+V46*$E$30)*$E$35</f>
        <v>3.6269531605028051E-3</v>
      </c>
      <c r="X46" s="2">
        <f>T46*$E$34*$E$35</f>
        <v>5.7803677036405475E-3</v>
      </c>
      <c r="Y46" s="2">
        <f>W46+X46</f>
        <v>9.4073208641433526E-3</v>
      </c>
      <c r="Z46" s="128">
        <f t="shared" ref="Z46:AB47" si="2">$O46*$E$39*W46</f>
        <v>0</v>
      </c>
      <c r="AA46" s="2">
        <f t="shared" si="2"/>
        <v>0</v>
      </c>
      <c r="AB46" s="126">
        <f t="shared" si="2"/>
        <v>0</v>
      </c>
      <c r="AC46" s="314">
        <f t="shared" ref="AC46:AE47" si="3">$O46*$E$40*W46</f>
        <v>0</v>
      </c>
      <c r="AD46" s="313">
        <f t="shared" si="3"/>
        <v>0</v>
      </c>
      <c r="AE46" s="315">
        <f t="shared" si="3"/>
        <v>0</v>
      </c>
      <c r="AF46" s="202">
        <f>Sizing!DU60</f>
        <v>3.5859228878785925</v>
      </c>
      <c r="AG46" s="202">
        <f>Sizing!DV60</f>
        <v>1.8936533177639967</v>
      </c>
      <c r="AH46" s="202">
        <f>Sizing!DW60</f>
        <v>3.5859228878785925</v>
      </c>
      <c r="AI46" s="195">
        <f>Sizing!DX60</f>
        <v>1.8936533177639967</v>
      </c>
      <c r="AJ46" s="240">
        <f>Sizing!GJ60</f>
        <v>0.75</v>
      </c>
      <c r="AK46" s="240">
        <f>Sizing!GK60</f>
        <v>6.2992125984251982E-2</v>
      </c>
      <c r="AL46" s="293">
        <f>Sizing!GL60</f>
        <v>6.2992125984251982E-2</v>
      </c>
      <c r="AM46" s="216">
        <f>(AK46*$E$30+AL46*$E$30)*$E$35</f>
        <v>9.6718750946741469E-3</v>
      </c>
      <c r="AN46" s="138">
        <f>AJ46*$E$34*$E$35</f>
        <v>2.1676378888652054E-3</v>
      </c>
      <c r="AO46" s="138">
        <f>AM46+AN46</f>
        <v>1.1839512983539352E-2</v>
      </c>
      <c r="AP46" s="314">
        <f t="shared" ref="AP46:AR47" si="4">AM46*$Q46</f>
        <v>0</v>
      </c>
      <c r="AQ46" s="173">
        <f t="shared" si="4"/>
        <v>0</v>
      </c>
      <c r="AR46" s="315">
        <f t="shared" si="4"/>
        <v>0</v>
      </c>
      <c r="AS46" s="11">
        <f>AF46*$N46*$E$26</f>
        <v>0</v>
      </c>
      <c r="AT46" s="315">
        <f>AH46*$N46*$E$26</f>
        <v>0</v>
      </c>
      <c r="AU46" s="202">
        <f>Sizing!JC60</f>
        <v>5.3419963961966015E-2</v>
      </c>
      <c r="AV46" s="195">
        <f>Sizing!JD60</f>
        <v>0.23112759238560421</v>
      </c>
      <c r="AW46" s="202">
        <f>Sizing!JC60</f>
        <v>5.3419963961966015E-2</v>
      </c>
      <c r="AX46" s="195">
        <f>Sizing!JD60</f>
        <v>0.23112759238560421</v>
      </c>
      <c r="AY46" s="240">
        <f>Sizing!IT60</f>
        <v>0.5</v>
      </c>
      <c r="AZ46" s="240">
        <f>Sizing!IU60</f>
        <v>1.5748031496062995E-2</v>
      </c>
      <c r="BA46" s="293">
        <f>Sizing!IV60</f>
        <v>1.5748031496062995E-2</v>
      </c>
      <c r="BB46" s="216">
        <f>(AZ46*$E$30+BA46*$E$30)*$E$35</f>
        <v>2.4179687736685367E-3</v>
      </c>
      <c r="BC46" s="138">
        <f>AY46*$E$34*$E$35</f>
        <v>1.4450919259101369E-3</v>
      </c>
      <c r="BD46" s="138">
        <f>BB46+BC46</f>
        <v>3.8630606995786734E-3</v>
      </c>
      <c r="BE46" s="314">
        <f>BB46*$S46</f>
        <v>0</v>
      </c>
      <c r="BF46" s="173">
        <f>BC46*$S46</f>
        <v>0</v>
      </c>
      <c r="BG46" s="315">
        <f>BD46*$S46</f>
        <v>0</v>
      </c>
      <c r="BH46" s="315">
        <f>AU46*$N46*$E$26</f>
        <v>0</v>
      </c>
      <c r="BI46" s="315">
        <f>AW46*$N46*$E$26</f>
        <v>0</v>
      </c>
      <c r="BJ46" s="561"/>
      <c r="BK46">
        <f>0.5*C46</f>
        <v>2.5426510000000002</v>
      </c>
      <c r="BL46">
        <f>0.5*C46</f>
        <v>2.5426510000000002</v>
      </c>
      <c r="BM46">
        <f>C46*'Inputs-Imperial'!$E$12</f>
        <v>1.2713255000000001</v>
      </c>
      <c r="BN46">
        <f>C46*'Inputs-Imperial'!$E$12</f>
        <v>1.2713255000000001</v>
      </c>
      <c r="BO46">
        <f>C46*'Inputs-Imperial'!$E$12</f>
        <v>1.2713255000000001</v>
      </c>
      <c r="BP46">
        <f>C46*'Weight '!$E$15</f>
        <v>2.5426510000000002</v>
      </c>
      <c r="BQ46">
        <f>C46*'Weight '!$E$15</f>
        <v>2.5426510000000002</v>
      </c>
      <c r="BR46">
        <f>C46*'Weight '!$E$15</f>
        <v>2.5426510000000002</v>
      </c>
      <c r="BS46">
        <f>(BK46*AB46+BL46*AE46+BM46*AR46+BN46*AS46+BO46*AT46+BP46*BG46+BQ46*BH46+BR46*BI46)</f>
        <v>0</v>
      </c>
      <c r="BT46" s="564">
        <f>(AB46 +AE46+AR46+AS46+AT46+BG46+BH46+BI46)</f>
        <v>0</v>
      </c>
      <c r="BU46" t="e">
        <f>BS46/BT46</f>
        <v>#DIV/0!</v>
      </c>
    </row>
    <row r="47" spans="1:73" x14ac:dyDescent="0.25">
      <c r="A47" s="186">
        <v>1</v>
      </c>
      <c r="B47" s="187">
        <f>A47/100*'Inputs-Imperial'!$E$5</f>
        <v>0.24081365599999999</v>
      </c>
      <c r="C47" s="188">
        <f>'Inputs-Imperial'!$E$10+('Inputs-Imperial'!$E$9-'Inputs-Imperial'!$E$10)*(100-A47)/100</f>
        <v>5.0675034430000006</v>
      </c>
      <c r="D47" s="187">
        <f>B47-B46</f>
        <v>0.24081365599999999</v>
      </c>
      <c r="E47" s="188">
        <f>D47*AVERAGE(C46:C47)</f>
        <v>1.222467098692765</v>
      </c>
      <c r="F47" s="423">
        <f>Sizing!F61</f>
        <v>958.72160700659083</v>
      </c>
      <c r="G47" s="423">
        <f>Sizing!G61</f>
        <v>9587.2160700659078</v>
      </c>
      <c r="H47" s="423">
        <f>Sizing!H61</f>
        <v>102730.33529362454</v>
      </c>
      <c r="I47" s="423">
        <f>Sizing!I61</f>
        <v>-22872.738201202657</v>
      </c>
      <c r="J47" s="189">
        <f>Sizing!J61</f>
        <v>10273.033529362461</v>
      </c>
      <c r="K47" s="128">
        <v>1</v>
      </c>
      <c r="L47" s="12">
        <f t="shared" ref="L47:N110" si="5">B47*12</f>
        <v>2.8897638719999996</v>
      </c>
      <c r="M47" s="11">
        <f t="shared" si="5"/>
        <v>60.81004131600001</v>
      </c>
      <c r="N47" s="11">
        <f t="shared" si="5"/>
        <v>2.8897638719999996</v>
      </c>
      <c r="O47" s="152">
        <f>E47*12*12</f>
        <v>176.03526221175815</v>
      </c>
      <c r="P47" s="8">
        <f t="shared" si="0"/>
        <v>10.945807436880001</v>
      </c>
      <c r="Q47" s="12">
        <f>AVERAGE(P46:P47)*$N47</f>
        <v>31.686347198116461</v>
      </c>
      <c r="R47" s="8">
        <f t="shared" si="1"/>
        <v>5.4729037184400005</v>
      </c>
      <c r="S47" s="12">
        <f>AVERAGE(R46:R47)*$N47</f>
        <v>15.843173599058231</v>
      </c>
      <c r="T47" s="17">
        <f>Sizing!CN61</f>
        <v>2</v>
      </c>
      <c r="U47" s="17">
        <f>Sizing!CO61</f>
        <v>2.3622047244094495E-2</v>
      </c>
      <c r="V47" s="17">
        <f>Sizing!CP61</f>
        <v>2.3622047244094495E-2</v>
      </c>
      <c r="W47" s="128">
        <f t="shared" ref="W47:W110" si="6">(U47*$E$30+V47*$E$30)*$E$35</f>
        <v>3.6269531605028051E-3</v>
      </c>
      <c r="X47" s="2">
        <f t="shared" ref="X47:X110" si="7">T47*$E$34*$E$35</f>
        <v>5.7803677036405475E-3</v>
      </c>
      <c r="Y47" s="2">
        <f t="shared" ref="Y47:Y110" si="8">W47+X47</f>
        <v>9.4073208641433526E-3</v>
      </c>
      <c r="Z47" s="216">
        <f t="shared" si="2"/>
        <v>0.65923951971460237</v>
      </c>
      <c r="AA47" s="138">
        <f t="shared" si="2"/>
        <v>1.0506468267137818</v>
      </c>
      <c r="AB47" s="17">
        <f t="shared" si="2"/>
        <v>1.7098863464283842</v>
      </c>
      <c r="AC47" s="311">
        <f t="shared" si="3"/>
        <v>0.64787332109883344</v>
      </c>
      <c r="AD47" s="316">
        <f t="shared" si="3"/>
        <v>1.0325322262531993</v>
      </c>
      <c r="AE47" s="21">
        <f t="shared" si="3"/>
        <v>1.6804055473520327</v>
      </c>
      <c r="AF47" s="170">
        <f>Sizing!DU61</f>
        <v>3.5859228878785925</v>
      </c>
      <c r="AG47" s="170">
        <f>Sizing!DV61</f>
        <v>1.8936533177639967</v>
      </c>
      <c r="AH47" s="170">
        <f>Sizing!DW61</f>
        <v>3.5859228878785925</v>
      </c>
      <c r="AI47" s="272">
        <f>Sizing!DX61</f>
        <v>1.8936533177639967</v>
      </c>
      <c r="AJ47" s="216">
        <f>Sizing!GJ61</f>
        <v>0.75</v>
      </c>
      <c r="AK47" s="216">
        <f>Sizing!GK61</f>
        <v>6.2992125984251982E-2</v>
      </c>
      <c r="AL47" s="17">
        <f>Sizing!GL61</f>
        <v>6.2992125984251982E-2</v>
      </c>
      <c r="AM47" s="216">
        <f t="shared" ref="AM47:AM110" si="9">(AK47*$E$30+AL47*$E$30)*$E$35</f>
        <v>9.6718750946741469E-3</v>
      </c>
      <c r="AN47" s="138">
        <f t="shared" ref="AN47:AN110" si="10">AJ47*$E$34*$E$35</f>
        <v>2.1676378888652054E-3</v>
      </c>
      <c r="AO47" s="138">
        <f t="shared" ref="AO47:AO110" si="11">AM47+AN47</f>
        <v>1.1839512983539352E-2</v>
      </c>
      <c r="AP47" s="311">
        <f t="shared" si="4"/>
        <v>0.30646639230666056</v>
      </c>
      <c r="AQ47" s="11">
        <f t="shared" si="4"/>
        <v>6.8684526746375082E-2</v>
      </c>
      <c r="AR47" s="21">
        <f t="shared" si="4"/>
        <v>0.3751509190530356</v>
      </c>
      <c r="AS47" s="11">
        <f t="shared" ref="AS47:AS110" si="12">AF47*$N47*$E$26</f>
        <v>0.63642569863287379</v>
      </c>
      <c r="AT47" s="21">
        <f>AH47*$N47*$E$26</f>
        <v>0.63642569863287379</v>
      </c>
      <c r="AU47" s="170">
        <f>Sizing!JC61</f>
        <v>5.3419963961966015E-2</v>
      </c>
      <c r="AV47" s="272">
        <f>Sizing!JD61</f>
        <v>0.23112759238560421</v>
      </c>
      <c r="AW47" s="170">
        <f>Sizing!JC61</f>
        <v>5.3419963961966015E-2</v>
      </c>
      <c r="AX47" s="272">
        <f>Sizing!JD61</f>
        <v>0.23112759238560421</v>
      </c>
      <c r="AY47" s="216">
        <f>Sizing!IT61</f>
        <v>0.5</v>
      </c>
      <c r="AZ47" s="216">
        <f>Sizing!IU61</f>
        <v>1.5748031496062995E-2</v>
      </c>
      <c r="BA47" s="17">
        <f>Sizing!IV61</f>
        <v>1.5748031496062995E-2</v>
      </c>
      <c r="BB47" s="216">
        <f t="shared" ref="BB47:BB110" si="13">(AZ47*$E$30+BA47*$E$30)*$E$35</f>
        <v>2.4179687736685367E-3</v>
      </c>
      <c r="BC47" s="138">
        <f t="shared" ref="BC47:BC110" si="14">AY47*$E$34*$E$35</f>
        <v>1.4450919259101369E-3</v>
      </c>
      <c r="BD47" s="138">
        <f t="shared" ref="BD47:BD110" si="15">BB47+BC47</f>
        <v>3.8630606995786734E-3</v>
      </c>
      <c r="BE47" s="311">
        <f t="shared" ref="BE47:BE110" si="16">BB47*$S47</f>
        <v>3.830829903833257E-2</v>
      </c>
      <c r="BF47" s="11">
        <f t="shared" ref="BF47:BF110" si="17">BC47*$S47</f>
        <v>2.2894842248791694E-2</v>
      </c>
      <c r="BG47" s="21">
        <f t="shared" ref="BG47:BG110" si="18">BD47*$S47</f>
        <v>6.1203141287124257E-2</v>
      </c>
      <c r="BH47" s="21">
        <f t="shared" ref="BH47:BH110" si="19">AU47*$N47*$E$26</f>
        <v>9.4809171720784142E-3</v>
      </c>
      <c r="BI47" s="21">
        <f t="shared" ref="BI47:BI110" si="20">AW47*$N47*$E$26</f>
        <v>9.4809171720784142E-3</v>
      </c>
      <c r="BJ47" s="561"/>
      <c r="BK47">
        <f t="shared" ref="BK47:BK110" si="21">0.5*C47</f>
        <v>2.5337517215000003</v>
      </c>
      <c r="BL47">
        <f t="shared" ref="BL47:BL110" si="22">0.5*C47</f>
        <v>2.5337517215000003</v>
      </c>
      <c r="BM47">
        <f>C47*'Inputs-Imperial'!$E$12</f>
        <v>1.2668758607500001</v>
      </c>
      <c r="BN47">
        <f>C47*'Inputs-Imperial'!$E$12</f>
        <v>1.2668758607500001</v>
      </c>
      <c r="BO47">
        <f>C47*'Inputs-Imperial'!$E$12</f>
        <v>1.2668758607500001</v>
      </c>
      <c r="BP47">
        <f>C47*'Weight '!$E$15</f>
        <v>2.5337517215000003</v>
      </c>
      <c r="BQ47">
        <f>C47*'Weight '!$E$15</f>
        <v>2.5337517215000003</v>
      </c>
      <c r="BR47">
        <f>C47*'Weight '!$E$15</f>
        <v>2.5337517215000003</v>
      </c>
      <c r="BS47">
        <f t="shared" ref="BS47:BS110" si="23">(BK47*AB47+BL47*AE47+BM47*AR47+BN47*AS47+BO47*AT47+BP47*BG47+BQ47*BH47+BR47*BI47)</f>
        <v>10.881090420267745</v>
      </c>
      <c r="BT47" s="564">
        <f t="shared" ref="BT47:BT110" si="24">(AB47 +AE47+AR47+AS47+AT47+BG47+BH47+BI47)</f>
        <v>5.1184591857304822</v>
      </c>
      <c r="BU47">
        <f>BS47/BT47</f>
        <v>2.1258527274384913</v>
      </c>
    </row>
    <row r="48" spans="1:73" x14ac:dyDescent="0.25">
      <c r="A48" s="186">
        <v>2</v>
      </c>
      <c r="B48" s="187">
        <f>A48/100*'Inputs-Imperial'!$E$5</f>
        <v>0.48162731199999997</v>
      </c>
      <c r="C48" s="188">
        <f>'Inputs-Imperial'!$E$10+('Inputs-Imperial'!$E$9-'Inputs-Imperial'!$E$10)*(100-A48)/100</f>
        <v>5.0497048860000007</v>
      </c>
      <c r="D48" s="187">
        <f t="shared" ref="D48:D111" si="25">B48-B47</f>
        <v>0.24081365599999999</v>
      </c>
      <c r="E48" s="188">
        <f t="shared" ref="E48:E111" si="26">D48*AVERAGE(C47:C48)</f>
        <v>1.2181809631100704</v>
      </c>
      <c r="F48" s="423">
        <f>Sizing!F62</f>
        <v>946.68736012885097</v>
      </c>
      <c r="G48" s="423">
        <f>Sizing!G62</f>
        <v>9466.8736012885092</v>
      </c>
      <c r="H48" s="423">
        <f>Sizing!H62</f>
        <v>100421.60274093001</v>
      </c>
      <c r="I48" s="423">
        <f>Sizing!I62</f>
        <v>-22528.878009685948</v>
      </c>
      <c r="J48" s="189">
        <f>Sizing!J62</f>
        <v>10042.160274093008</v>
      </c>
      <c r="K48" s="128">
        <v>2</v>
      </c>
      <c r="L48" s="12">
        <f t="shared" si="5"/>
        <v>5.7795277439999992</v>
      </c>
      <c r="M48" s="11">
        <f t="shared" si="5"/>
        <v>60.596458632000008</v>
      </c>
      <c r="N48" s="11">
        <f t="shared" si="5"/>
        <v>2.8897638719999996</v>
      </c>
      <c r="O48" s="152">
        <f t="shared" ref="O48:O110" si="27">E48*12*12</f>
        <v>175.41805868785013</v>
      </c>
      <c r="P48" s="8">
        <f t="shared" si="0"/>
        <v>10.907362553760001</v>
      </c>
      <c r="Q48" s="12">
        <f t="shared" ref="Q48:Q111" si="28">AVERAGE(P47:P48)*$N48</f>
        <v>31.575250563813022</v>
      </c>
      <c r="R48" s="8">
        <f t="shared" si="1"/>
        <v>5.4536812768800003</v>
      </c>
      <c r="S48" s="12">
        <f t="shared" ref="S48:S111" si="29">AVERAGE(R47:R48)*$N48</f>
        <v>15.787625281906511</v>
      </c>
      <c r="T48" s="17">
        <f>Sizing!CN62</f>
        <v>2</v>
      </c>
      <c r="U48" s="17">
        <f>Sizing!CO62</f>
        <v>2.3622047244094495E-2</v>
      </c>
      <c r="V48" s="17">
        <f>Sizing!CP62</f>
        <v>2.3622047244094495E-2</v>
      </c>
      <c r="W48" s="128">
        <f t="shared" si="6"/>
        <v>3.6269531605028051E-3</v>
      </c>
      <c r="X48" s="2">
        <f t="shared" si="7"/>
        <v>5.7803677036405475E-3</v>
      </c>
      <c r="Y48" s="2">
        <f t="shared" si="8"/>
        <v>9.4073208641433526E-3</v>
      </c>
      <c r="Z48" s="216">
        <f t="shared" ref="Z48:Z111" si="30">$O48*$E$39*W48</f>
        <v>0.65692813647493176</v>
      </c>
      <c r="AA48" s="138">
        <f t="shared" ref="AA48:AA111" si="31">$O48*$E$39*X48</f>
        <v>1.0469631163271067</v>
      </c>
      <c r="AB48" s="17">
        <f t="shared" ref="AB48:AB111" si="32">$O48*$E$39*Y48</f>
        <v>1.7038912528020385</v>
      </c>
      <c r="AC48" s="311">
        <f t="shared" ref="AC48:AC111" si="33">$O48*$E$40*W48</f>
        <v>0.64560178929432954</v>
      </c>
      <c r="AD48" s="316">
        <f t="shared" ref="AD48:AD111" si="34">$O48*$E$40*X48</f>
        <v>1.0289120281145703</v>
      </c>
      <c r="AE48" s="21">
        <f t="shared" ref="AE48:AE111" si="35">$O48*$E$40*Y48</f>
        <v>1.6745138174088998</v>
      </c>
      <c r="AF48" s="170">
        <f>Sizing!DU62</f>
        <v>3.5859228878785925</v>
      </c>
      <c r="AG48" s="170">
        <f>Sizing!DV62</f>
        <v>1.8936533177639967</v>
      </c>
      <c r="AH48" s="170">
        <f>Sizing!DW62</f>
        <v>3.5859228878785925</v>
      </c>
      <c r="AI48" s="272">
        <f>Sizing!DX62</f>
        <v>1.8936533177639967</v>
      </c>
      <c r="AJ48" s="216">
        <f>Sizing!GJ62</f>
        <v>0.75</v>
      </c>
      <c r="AK48" s="216">
        <f>Sizing!GK62</f>
        <v>6.2992125984251982E-2</v>
      </c>
      <c r="AL48" s="17">
        <f>Sizing!GL62</f>
        <v>6.2992125984251982E-2</v>
      </c>
      <c r="AM48" s="216">
        <f t="shared" si="9"/>
        <v>9.6718750946741469E-3</v>
      </c>
      <c r="AN48" s="138">
        <f t="shared" si="10"/>
        <v>2.1676378888652054E-3</v>
      </c>
      <c r="AO48" s="138">
        <f t="shared" si="11"/>
        <v>1.1839512983539352E-2</v>
      </c>
      <c r="AP48" s="311">
        <f t="shared" ref="AP48:AP111" si="36">AM48*$Q48</f>
        <v>0.30539187953623897</v>
      </c>
      <c r="AQ48" s="11">
        <f t="shared" ref="AQ48:AQ111" si="37">AN48*$Q48</f>
        <v>6.8443709472533545E-2</v>
      </c>
      <c r="AR48" s="21">
        <f t="shared" ref="AR48:AR111" si="38">AO48*$Q48</f>
        <v>0.37383558900877251</v>
      </c>
      <c r="AS48" s="11">
        <f t="shared" si="12"/>
        <v>0.63642569863287379</v>
      </c>
      <c r="AT48" s="21">
        <f t="shared" ref="AT48:AT110" si="39">AH48*$N48*$E$26</f>
        <v>0.63642569863287379</v>
      </c>
      <c r="AU48" s="170">
        <f>Sizing!JC62</f>
        <v>5.3419963961966015E-2</v>
      </c>
      <c r="AV48" s="272">
        <f>Sizing!JD62</f>
        <v>0.23112759238560421</v>
      </c>
      <c r="AW48" s="170">
        <f>Sizing!JC62</f>
        <v>5.3419963961966015E-2</v>
      </c>
      <c r="AX48" s="272">
        <f>Sizing!JD62</f>
        <v>0.23112759238560421</v>
      </c>
      <c r="AY48" s="216">
        <f>Sizing!IT62</f>
        <v>0.5</v>
      </c>
      <c r="AZ48" s="216">
        <f>Sizing!IU62</f>
        <v>1.5748031496062995E-2</v>
      </c>
      <c r="BA48" s="17">
        <f>Sizing!IV62</f>
        <v>1.5748031496062995E-2</v>
      </c>
      <c r="BB48" s="216">
        <f t="shared" si="13"/>
        <v>2.4179687736685367E-3</v>
      </c>
      <c r="BC48" s="138">
        <f t="shared" si="14"/>
        <v>1.4450919259101369E-3</v>
      </c>
      <c r="BD48" s="138">
        <f t="shared" si="15"/>
        <v>3.8630606995786734E-3</v>
      </c>
      <c r="BE48" s="311">
        <f t="shared" si="16"/>
        <v>3.8173984942029872E-2</v>
      </c>
      <c r="BF48" s="11">
        <f t="shared" si="17"/>
        <v>2.2814569824177847E-2</v>
      </c>
      <c r="BG48" s="21">
        <f t="shared" si="18"/>
        <v>6.0988554766207716E-2</v>
      </c>
      <c r="BH48" s="21">
        <f t="shared" si="19"/>
        <v>9.4809171720784142E-3</v>
      </c>
      <c r="BI48" s="21">
        <f t="shared" si="20"/>
        <v>9.4809171720784142E-3</v>
      </c>
      <c r="BJ48" s="561"/>
      <c r="BK48">
        <f t="shared" si="21"/>
        <v>2.5248524430000003</v>
      </c>
      <c r="BL48">
        <f t="shared" si="22"/>
        <v>2.5248524430000003</v>
      </c>
      <c r="BM48">
        <f>C48*'Inputs-Imperial'!$E$12</f>
        <v>1.2624262215000002</v>
      </c>
      <c r="BN48">
        <f>C48*'Inputs-Imperial'!$E$12</f>
        <v>1.2624262215000002</v>
      </c>
      <c r="BO48">
        <f>C48*'Inputs-Imperial'!$E$12</f>
        <v>1.2624262215000002</v>
      </c>
      <c r="BP48">
        <f>C48*'Weight '!$E$15</f>
        <v>2.5248524430000003</v>
      </c>
      <c r="BQ48">
        <f>C48*'Weight '!$E$15</f>
        <v>2.5248524430000003</v>
      </c>
      <c r="BR48">
        <f>C48*'Weight '!$E$15</f>
        <v>2.5248524430000003</v>
      </c>
      <c r="BS48">
        <f t="shared" si="23"/>
        <v>10.810658060305544</v>
      </c>
      <c r="BT48" s="564">
        <f t="shared" si="24"/>
        <v>5.1050424455958243</v>
      </c>
      <c r="BU48">
        <f t="shared" ref="BU48:BU110" si="40">BS48/BT48</f>
        <v>2.1176431294184472</v>
      </c>
    </row>
    <row r="49" spans="1:73" x14ac:dyDescent="0.25">
      <c r="A49" s="186">
        <v>3</v>
      </c>
      <c r="B49" s="187">
        <f>A49/100*'Inputs-Imperial'!$E$5</f>
        <v>0.72244096799999991</v>
      </c>
      <c r="C49" s="188">
        <f>'Inputs-Imperial'!$E$10+('Inputs-Imperial'!$E$9-'Inputs-Imperial'!$E$10)*(100-A49)/100</f>
        <v>5.0319063289999999</v>
      </c>
      <c r="D49" s="187">
        <f t="shared" si="25"/>
        <v>0.24081365599999993</v>
      </c>
      <c r="E49" s="188">
        <f t="shared" si="26"/>
        <v>1.2138948275273758</v>
      </c>
      <c r="F49" s="423">
        <f>Sizing!F63</f>
        <v>934.67494591787545</v>
      </c>
      <c r="G49" s="423">
        <f>Sizing!G63</f>
        <v>9346.7494591787545</v>
      </c>
      <c r="H49" s="423">
        <f>Sizing!H63</f>
        <v>98141.850298113844</v>
      </c>
      <c r="I49" s="423">
        <f>Sizing!I63</f>
        <v>-22186.273742318499</v>
      </c>
      <c r="J49" s="189">
        <f>Sizing!J63</f>
        <v>9814.1850298113914</v>
      </c>
      <c r="K49" s="128">
        <v>3</v>
      </c>
      <c r="L49" s="12">
        <f t="shared" si="5"/>
        <v>8.6692916159999989</v>
      </c>
      <c r="M49" s="11">
        <f t="shared" si="5"/>
        <v>60.382875947999999</v>
      </c>
      <c r="N49" s="11">
        <f t="shared" si="5"/>
        <v>2.8897638719999992</v>
      </c>
      <c r="O49" s="152">
        <f t="shared" si="27"/>
        <v>174.80085516394212</v>
      </c>
      <c r="P49" s="8">
        <f t="shared" si="0"/>
        <v>10.86891767064</v>
      </c>
      <c r="Q49" s="12">
        <f t="shared" si="28"/>
        <v>31.464153929509578</v>
      </c>
      <c r="R49" s="8">
        <f t="shared" si="1"/>
        <v>5.4344588353200001</v>
      </c>
      <c r="S49" s="12">
        <f t="shared" si="29"/>
        <v>15.732076964754789</v>
      </c>
      <c r="T49" s="17">
        <f>Sizing!CN63</f>
        <v>2</v>
      </c>
      <c r="U49" s="17">
        <f>Sizing!CO63</f>
        <v>2.3622047244094495E-2</v>
      </c>
      <c r="V49" s="17">
        <f>Sizing!CP63</f>
        <v>2.3622047244094495E-2</v>
      </c>
      <c r="W49" s="128">
        <f t="shared" si="6"/>
        <v>3.6269531605028051E-3</v>
      </c>
      <c r="X49" s="2">
        <f t="shared" si="7"/>
        <v>5.7803677036405475E-3</v>
      </c>
      <c r="Y49" s="2">
        <f t="shared" si="8"/>
        <v>9.4073208641433526E-3</v>
      </c>
      <c r="Z49" s="216">
        <f t="shared" si="30"/>
        <v>0.65461675323526125</v>
      </c>
      <c r="AA49" s="138">
        <f t="shared" si="31"/>
        <v>1.0432794059404318</v>
      </c>
      <c r="AB49" s="17">
        <f t="shared" si="32"/>
        <v>1.6978961591756929</v>
      </c>
      <c r="AC49" s="311">
        <f t="shared" si="33"/>
        <v>0.64333025748982564</v>
      </c>
      <c r="AD49" s="316">
        <f t="shared" si="34"/>
        <v>1.0252918299759415</v>
      </c>
      <c r="AE49" s="21">
        <f t="shared" si="35"/>
        <v>1.6686220874657671</v>
      </c>
      <c r="AF49" s="170">
        <f>Sizing!DU63</f>
        <v>3.5859228878785925</v>
      </c>
      <c r="AG49" s="170">
        <f>Sizing!DV63</f>
        <v>1.8936533177639967</v>
      </c>
      <c r="AH49" s="170">
        <f>Sizing!DW63</f>
        <v>3.5859228878785925</v>
      </c>
      <c r="AI49" s="272">
        <f>Sizing!DX63</f>
        <v>1.8936533177639967</v>
      </c>
      <c r="AJ49" s="216">
        <f>Sizing!GJ63</f>
        <v>0.75</v>
      </c>
      <c r="AK49" s="216">
        <f>Sizing!GK63</f>
        <v>6.2992125984251982E-2</v>
      </c>
      <c r="AL49" s="17">
        <f>Sizing!GL63</f>
        <v>6.2992125984251982E-2</v>
      </c>
      <c r="AM49" s="216">
        <f t="shared" si="9"/>
        <v>9.6718750946741469E-3</v>
      </c>
      <c r="AN49" s="138">
        <f t="shared" si="10"/>
        <v>2.1676378888652054E-3</v>
      </c>
      <c r="AO49" s="138">
        <f t="shared" si="11"/>
        <v>1.1839512983539352E-2</v>
      </c>
      <c r="AP49" s="311">
        <f t="shared" si="36"/>
        <v>0.30431736676581739</v>
      </c>
      <c r="AQ49" s="11">
        <f t="shared" si="37"/>
        <v>6.8202892198691994E-2</v>
      </c>
      <c r="AR49" s="21">
        <f t="shared" si="38"/>
        <v>0.37252025896450941</v>
      </c>
      <c r="AS49" s="11">
        <f t="shared" si="12"/>
        <v>0.63642569863287379</v>
      </c>
      <c r="AT49" s="21">
        <f t="shared" si="39"/>
        <v>0.63642569863287379</v>
      </c>
      <c r="AU49" s="170">
        <f>Sizing!JC63</f>
        <v>5.3419963961966015E-2</v>
      </c>
      <c r="AV49" s="272">
        <f>Sizing!JD63</f>
        <v>0.23112759238560421</v>
      </c>
      <c r="AW49" s="170">
        <f>Sizing!JC63</f>
        <v>5.3419963961966015E-2</v>
      </c>
      <c r="AX49" s="272">
        <f>Sizing!JD63</f>
        <v>0.23112759238560421</v>
      </c>
      <c r="AY49" s="216">
        <f>Sizing!IT63</f>
        <v>0.5</v>
      </c>
      <c r="AZ49" s="216">
        <f>Sizing!IU63</f>
        <v>1.5748031496062995E-2</v>
      </c>
      <c r="BA49" s="17">
        <f>Sizing!IV63</f>
        <v>1.5748031496062995E-2</v>
      </c>
      <c r="BB49" s="216">
        <f t="shared" si="13"/>
        <v>2.4179687736685367E-3</v>
      </c>
      <c r="BC49" s="138">
        <f t="shared" si="14"/>
        <v>1.4450919259101369E-3</v>
      </c>
      <c r="BD49" s="138">
        <f t="shared" si="15"/>
        <v>3.8630606995786734E-3</v>
      </c>
      <c r="BE49" s="311">
        <f t="shared" si="16"/>
        <v>3.8039670845727173E-2</v>
      </c>
      <c r="BF49" s="11">
        <f t="shared" si="17"/>
        <v>2.2734297399564E-2</v>
      </c>
      <c r="BG49" s="21">
        <f t="shared" si="18"/>
        <v>6.0773968245291167E-2</v>
      </c>
      <c r="BH49" s="21">
        <f t="shared" si="19"/>
        <v>9.4809171720784124E-3</v>
      </c>
      <c r="BI49" s="21">
        <f t="shared" si="20"/>
        <v>9.4809171720784124E-3</v>
      </c>
      <c r="BJ49" s="561"/>
      <c r="BK49">
        <f t="shared" si="21"/>
        <v>2.5159531645</v>
      </c>
      <c r="BL49">
        <f t="shared" si="22"/>
        <v>2.5159531645</v>
      </c>
      <c r="BM49">
        <f>C49*'Inputs-Imperial'!$E$12</f>
        <v>1.25797658225</v>
      </c>
      <c r="BN49">
        <f>C49*'Inputs-Imperial'!$E$12</f>
        <v>1.25797658225</v>
      </c>
      <c r="BO49">
        <f>C49*'Inputs-Imperial'!$E$12</f>
        <v>1.25797658225</v>
      </c>
      <c r="BP49">
        <f>C49*'Weight '!$E$15</f>
        <v>2.5159531645</v>
      </c>
      <c r="BQ49">
        <f>C49*'Weight '!$E$15</f>
        <v>2.5159531645</v>
      </c>
      <c r="BR49">
        <f>C49*'Weight '!$E$15</f>
        <v>2.5159531645</v>
      </c>
      <c r="BS49">
        <f t="shared" si="23"/>
        <v>10.740452793469004</v>
      </c>
      <c r="BT49" s="564">
        <f t="shared" si="24"/>
        <v>5.0916257054611656</v>
      </c>
      <c r="BU49">
        <f t="shared" si="40"/>
        <v>2.1094348671287895</v>
      </c>
    </row>
    <row r="50" spans="1:73" x14ac:dyDescent="0.25">
      <c r="A50" s="186">
        <v>4</v>
      </c>
      <c r="B50" s="187">
        <f>A50/100*'Inputs-Imperial'!$E$5</f>
        <v>0.96325462399999995</v>
      </c>
      <c r="C50" s="188">
        <f>'Inputs-Imperial'!$E$10+('Inputs-Imperial'!$E$9-'Inputs-Imperial'!$E$10)*(100-A50)/100</f>
        <v>5.014107772</v>
      </c>
      <c r="D50" s="187">
        <f t="shared" si="25"/>
        <v>0.24081365600000004</v>
      </c>
      <c r="E50" s="188">
        <f t="shared" si="26"/>
        <v>1.209608691944682</v>
      </c>
      <c r="F50" s="423">
        <f>Sizing!F64</f>
        <v>922.68498312396707</v>
      </c>
      <c r="G50" s="423">
        <f>Sizing!G64</f>
        <v>9226.8498312396714</v>
      </c>
      <c r="H50" s="423">
        <f>Sizing!H64</f>
        <v>95891.025389132992</v>
      </c>
      <c r="I50" s="423">
        <f>Sizing!I64</f>
        <v>-21844.958353338683</v>
      </c>
      <c r="J50" s="189">
        <f>Sizing!J64</f>
        <v>9589.1025389133047</v>
      </c>
      <c r="K50" s="128">
        <v>4</v>
      </c>
      <c r="L50" s="12">
        <f t="shared" si="5"/>
        <v>11.559055487999998</v>
      </c>
      <c r="M50" s="11">
        <f t="shared" si="5"/>
        <v>60.169293264000004</v>
      </c>
      <c r="N50" s="11">
        <f t="shared" si="5"/>
        <v>2.8897638720000005</v>
      </c>
      <c r="O50" s="152">
        <f t="shared" si="27"/>
        <v>174.18365164003421</v>
      </c>
      <c r="P50" s="8">
        <f t="shared" si="0"/>
        <v>10.83047278752</v>
      </c>
      <c r="Q50" s="12">
        <f t="shared" si="28"/>
        <v>31.353057295206153</v>
      </c>
      <c r="R50" s="8">
        <f t="shared" si="1"/>
        <v>5.4152363937599999</v>
      </c>
      <c r="S50" s="12">
        <f t="shared" si="29"/>
        <v>15.676528647603076</v>
      </c>
      <c r="T50" s="17">
        <f>Sizing!CN64</f>
        <v>2</v>
      </c>
      <c r="U50" s="17">
        <f>Sizing!CO64</f>
        <v>2.3622047244094495E-2</v>
      </c>
      <c r="V50" s="17">
        <f>Sizing!CP64</f>
        <v>2.3622047244094495E-2</v>
      </c>
      <c r="W50" s="128">
        <f t="shared" si="6"/>
        <v>3.6269531605028051E-3</v>
      </c>
      <c r="X50" s="2">
        <f t="shared" si="7"/>
        <v>5.7803677036405475E-3</v>
      </c>
      <c r="Y50" s="2">
        <f t="shared" si="8"/>
        <v>9.4073208641433526E-3</v>
      </c>
      <c r="Z50" s="216">
        <f t="shared" si="30"/>
        <v>0.65230536999559097</v>
      </c>
      <c r="AA50" s="138">
        <f t="shared" si="31"/>
        <v>1.0395956955537573</v>
      </c>
      <c r="AB50" s="17">
        <f t="shared" si="32"/>
        <v>1.6919010655493483</v>
      </c>
      <c r="AC50" s="311">
        <f t="shared" si="33"/>
        <v>0.64105872568532218</v>
      </c>
      <c r="AD50" s="316">
        <f t="shared" si="34"/>
        <v>1.0216716318373131</v>
      </c>
      <c r="AE50" s="21">
        <f t="shared" si="35"/>
        <v>1.6627303575226353</v>
      </c>
      <c r="AF50" s="170">
        <f>Sizing!DU64</f>
        <v>3.5859228878785925</v>
      </c>
      <c r="AG50" s="170">
        <f>Sizing!DV64</f>
        <v>1.8936533177639967</v>
      </c>
      <c r="AH50" s="170">
        <f>Sizing!DW64</f>
        <v>3.5859228878785925</v>
      </c>
      <c r="AI50" s="272">
        <f>Sizing!DX64</f>
        <v>1.8936533177639967</v>
      </c>
      <c r="AJ50" s="216">
        <f>Sizing!GJ64</f>
        <v>0.75</v>
      </c>
      <c r="AK50" s="216">
        <f>Sizing!GK64</f>
        <v>6.2992125984251982E-2</v>
      </c>
      <c r="AL50" s="17">
        <f>Sizing!GL64</f>
        <v>6.2992125984251982E-2</v>
      </c>
      <c r="AM50" s="216">
        <f t="shared" si="9"/>
        <v>9.6718750946741469E-3</v>
      </c>
      <c r="AN50" s="138">
        <f t="shared" si="10"/>
        <v>2.1676378888652054E-3</v>
      </c>
      <c r="AO50" s="138">
        <f t="shared" si="11"/>
        <v>1.1839512983539352E-2</v>
      </c>
      <c r="AP50" s="311">
        <f t="shared" si="36"/>
        <v>0.30324285399539597</v>
      </c>
      <c r="AQ50" s="11">
        <f t="shared" si="37"/>
        <v>6.7962074924850499E-2</v>
      </c>
      <c r="AR50" s="21">
        <f t="shared" si="38"/>
        <v>0.37120492892024648</v>
      </c>
      <c r="AS50" s="11">
        <f t="shared" si="12"/>
        <v>0.63642569863287402</v>
      </c>
      <c r="AT50" s="21">
        <f t="shared" si="39"/>
        <v>0.63642569863287402</v>
      </c>
      <c r="AU50" s="170">
        <f>Sizing!JC64</f>
        <v>5.3419963961966015E-2</v>
      </c>
      <c r="AV50" s="272">
        <f>Sizing!JD64</f>
        <v>0.23112759238560421</v>
      </c>
      <c r="AW50" s="170">
        <f>Sizing!JC64</f>
        <v>5.3419963961966015E-2</v>
      </c>
      <c r="AX50" s="272">
        <f>Sizing!JD64</f>
        <v>0.23112759238560421</v>
      </c>
      <c r="AY50" s="216">
        <f>Sizing!IT64</f>
        <v>0.5</v>
      </c>
      <c r="AZ50" s="216">
        <f>Sizing!IU64</f>
        <v>1.5748031496062995E-2</v>
      </c>
      <c r="BA50" s="17">
        <f>Sizing!IV64</f>
        <v>1.5748031496062995E-2</v>
      </c>
      <c r="BB50" s="216">
        <f t="shared" si="13"/>
        <v>2.4179687736685367E-3</v>
      </c>
      <c r="BC50" s="138">
        <f t="shared" si="14"/>
        <v>1.4450919259101369E-3</v>
      </c>
      <c r="BD50" s="138">
        <f t="shared" si="15"/>
        <v>3.8630606995786734E-3</v>
      </c>
      <c r="BE50" s="311">
        <f t="shared" si="16"/>
        <v>3.7905356749424496E-2</v>
      </c>
      <c r="BF50" s="11">
        <f t="shared" si="17"/>
        <v>2.2654024974950164E-2</v>
      </c>
      <c r="BG50" s="21">
        <f t="shared" si="18"/>
        <v>6.0559381724374653E-2</v>
      </c>
      <c r="BH50" s="21">
        <f t="shared" si="19"/>
        <v>9.4809171720784177E-3</v>
      </c>
      <c r="BI50" s="21">
        <f t="shared" si="20"/>
        <v>9.4809171720784177E-3</v>
      </c>
      <c r="BJ50" s="561"/>
      <c r="BK50">
        <f t="shared" si="21"/>
        <v>2.507053886</v>
      </c>
      <c r="BL50">
        <f t="shared" si="22"/>
        <v>2.507053886</v>
      </c>
      <c r="BM50">
        <f>C50*'Inputs-Imperial'!$E$12</f>
        <v>1.253526943</v>
      </c>
      <c r="BN50">
        <f>C50*'Inputs-Imperial'!$E$12</f>
        <v>1.253526943</v>
      </c>
      <c r="BO50">
        <f>C50*'Inputs-Imperial'!$E$12</f>
        <v>1.253526943</v>
      </c>
      <c r="BP50">
        <f>C50*'Weight '!$E$15</f>
        <v>2.507053886</v>
      </c>
      <c r="BQ50">
        <f>C50*'Weight '!$E$15</f>
        <v>2.507053886</v>
      </c>
      <c r="BR50">
        <f>C50*'Weight '!$E$15</f>
        <v>2.507053886</v>
      </c>
      <c r="BS50">
        <f t="shared" si="23"/>
        <v>10.670474619758123</v>
      </c>
      <c r="BT50" s="564">
        <f t="shared" si="24"/>
        <v>5.0782089653265103</v>
      </c>
      <c r="BU50">
        <f t="shared" si="40"/>
        <v>2.1012279511566043</v>
      </c>
    </row>
    <row r="51" spans="1:73" x14ac:dyDescent="0.25">
      <c r="A51" s="186">
        <v>5</v>
      </c>
      <c r="B51" s="187">
        <f>A51/100*'Inputs-Imperial'!$E$5</f>
        <v>1.20406828</v>
      </c>
      <c r="C51" s="188">
        <f>'Inputs-Imperial'!$E$10+('Inputs-Imperial'!$E$9-'Inputs-Imperial'!$E$10)*(100-A51)/100</f>
        <v>4.9963092150000001</v>
      </c>
      <c r="D51" s="187">
        <f t="shared" si="25"/>
        <v>0.24081365600000004</v>
      </c>
      <c r="E51" s="188">
        <f t="shared" si="26"/>
        <v>1.2053225563619874</v>
      </c>
      <c r="F51" s="423">
        <f>Sizing!F65</f>
        <v>910.71809105521049</v>
      </c>
      <c r="G51" s="423">
        <f>Sizing!G65</f>
        <v>9107.1809105521061</v>
      </c>
      <c r="H51" s="423">
        <f>Sizing!H65</f>
        <v>93669.073947909186</v>
      </c>
      <c r="I51" s="423">
        <f>Sizing!I65</f>
        <v>-21504.9646318667</v>
      </c>
      <c r="J51" s="189">
        <f>Sizing!J65</f>
        <v>9366.9073947909237</v>
      </c>
      <c r="K51" s="128">
        <v>5</v>
      </c>
      <c r="L51" s="12">
        <f t="shared" si="5"/>
        <v>14.44881936</v>
      </c>
      <c r="M51" s="11">
        <f t="shared" si="5"/>
        <v>59.955710580000002</v>
      </c>
      <c r="N51" s="11">
        <f t="shared" si="5"/>
        <v>2.8897638720000005</v>
      </c>
      <c r="O51" s="152">
        <f t="shared" si="27"/>
        <v>173.5664481161262</v>
      </c>
      <c r="P51" s="8">
        <f t="shared" si="0"/>
        <v>10.792027904399999</v>
      </c>
      <c r="Q51" s="12">
        <f t="shared" si="28"/>
        <v>31.241960660902713</v>
      </c>
      <c r="R51" s="8">
        <f t="shared" si="1"/>
        <v>5.3960139521999997</v>
      </c>
      <c r="S51" s="12">
        <f t="shared" si="29"/>
        <v>15.620980330451356</v>
      </c>
      <c r="T51" s="17">
        <f>Sizing!CN65</f>
        <v>2</v>
      </c>
      <c r="U51" s="17">
        <f>Sizing!CO65</f>
        <v>2.3622047244094495E-2</v>
      </c>
      <c r="V51" s="17">
        <f>Sizing!CP65</f>
        <v>2.3622047244094495E-2</v>
      </c>
      <c r="W51" s="128">
        <f t="shared" si="6"/>
        <v>3.6269531605028051E-3</v>
      </c>
      <c r="X51" s="2">
        <f t="shared" si="7"/>
        <v>5.7803677036405475E-3</v>
      </c>
      <c r="Y51" s="2">
        <f t="shared" si="8"/>
        <v>9.4073208641433526E-3</v>
      </c>
      <c r="Z51" s="216">
        <f t="shared" si="30"/>
        <v>0.64999398675592035</v>
      </c>
      <c r="AA51" s="138">
        <f t="shared" si="31"/>
        <v>1.0359119851670822</v>
      </c>
      <c r="AB51" s="17">
        <f t="shared" si="32"/>
        <v>1.6859059719230025</v>
      </c>
      <c r="AC51" s="311">
        <f t="shared" si="33"/>
        <v>0.63878719388081828</v>
      </c>
      <c r="AD51" s="316">
        <f t="shared" si="34"/>
        <v>1.0180514336986843</v>
      </c>
      <c r="AE51" s="21">
        <f t="shared" si="35"/>
        <v>1.6568386275795026</v>
      </c>
      <c r="AF51" s="170">
        <f>Sizing!DU65</f>
        <v>3.5859228878785925</v>
      </c>
      <c r="AG51" s="170">
        <f>Sizing!DV65</f>
        <v>1.8936533177639967</v>
      </c>
      <c r="AH51" s="170">
        <f>Sizing!DW65</f>
        <v>3.5859228878785925</v>
      </c>
      <c r="AI51" s="272">
        <f>Sizing!DX65</f>
        <v>1.8936533177639967</v>
      </c>
      <c r="AJ51" s="216">
        <f>Sizing!GJ65</f>
        <v>0.75</v>
      </c>
      <c r="AK51" s="216">
        <f>Sizing!GK65</f>
        <v>6.2992125984251982E-2</v>
      </c>
      <c r="AL51" s="17">
        <f>Sizing!GL65</f>
        <v>6.2992125984251982E-2</v>
      </c>
      <c r="AM51" s="216">
        <f t="shared" si="9"/>
        <v>9.6718750946741469E-3</v>
      </c>
      <c r="AN51" s="138">
        <f t="shared" si="10"/>
        <v>2.1676378888652054E-3</v>
      </c>
      <c r="AO51" s="138">
        <f t="shared" si="11"/>
        <v>1.1839512983539352E-2</v>
      </c>
      <c r="AP51" s="311">
        <f t="shared" si="36"/>
        <v>0.30216834122497438</v>
      </c>
      <c r="AQ51" s="11">
        <f t="shared" si="37"/>
        <v>6.7721257651008948E-2</v>
      </c>
      <c r="AR51" s="21">
        <f t="shared" si="38"/>
        <v>0.36988959887598333</v>
      </c>
      <c r="AS51" s="11">
        <f t="shared" si="12"/>
        <v>0.63642569863287402</v>
      </c>
      <c r="AT51" s="21">
        <f t="shared" si="39"/>
        <v>0.63642569863287402</v>
      </c>
      <c r="AU51" s="170">
        <f>Sizing!JC65</f>
        <v>5.3419963961966015E-2</v>
      </c>
      <c r="AV51" s="272">
        <f>Sizing!JD65</f>
        <v>0.23112759238560421</v>
      </c>
      <c r="AW51" s="170">
        <f>Sizing!JC65</f>
        <v>5.3419963961966015E-2</v>
      </c>
      <c r="AX51" s="272">
        <f>Sizing!JD65</f>
        <v>0.23112759238560421</v>
      </c>
      <c r="AY51" s="216">
        <f>Sizing!IT65</f>
        <v>0.5</v>
      </c>
      <c r="AZ51" s="216">
        <f>Sizing!IU65</f>
        <v>1.5748031496062995E-2</v>
      </c>
      <c r="BA51" s="17">
        <f>Sizing!IV65</f>
        <v>1.5748031496062995E-2</v>
      </c>
      <c r="BB51" s="216">
        <f t="shared" si="13"/>
        <v>2.4179687736685367E-3</v>
      </c>
      <c r="BC51" s="138">
        <f t="shared" si="14"/>
        <v>1.4450919259101369E-3</v>
      </c>
      <c r="BD51" s="138">
        <f t="shared" si="15"/>
        <v>3.8630606995786734E-3</v>
      </c>
      <c r="BE51" s="311">
        <f t="shared" si="16"/>
        <v>3.7771042653121797E-2</v>
      </c>
      <c r="BF51" s="11">
        <f t="shared" si="17"/>
        <v>2.2573752550336317E-2</v>
      </c>
      <c r="BG51" s="21">
        <f t="shared" si="18"/>
        <v>6.0344795203458111E-2</v>
      </c>
      <c r="BH51" s="21">
        <f t="shared" si="19"/>
        <v>9.4809171720784177E-3</v>
      </c>
      <c r="BI51" s="21">
        <f t="shared" si="20"/>
        <v>9.4809171720784177E-3</v>
      </c>
      <c r="BJ51" s="561"/>
      <c r="BK51">
        <f t="shared" si="21"/>
        <v>2.4981546075000001</v>
      </c>
      <c r="BL51">
        <f t="shared" si="22"/>
        <v>2.4981546075000001</v>
      </c>
      <c r="BM51">
        <f>C51*'Inputs-Imperial'!$E$12</f>
        <v>1.24907730375</v>
      </c>
      <c r="BN51">
        <f>C51*'Inputs-Imperial'!$E$12</f>
        <v>1.24907730375</v>
      </c>
      <c r="BO51">
        <f>C51*'Inputs-Imperial'!$E$12</f>
        <v>1.24907730375</v>
      </c>
      <c r="BP51">
        <f>C51*'Weight '!$E$15</f>
        <v>2.4981546075000001</v>
      </c>
      <c r="BQ51">
        <f>C51*'Weight '!$E$15</f>
        <v>2.4981546075000001</v>
      </c>
      <c r="BR51">
        <f>C51*'Weight '!$E$15</f>
        <v>2.4981546075000001</v>
      </c>
      <c r="BS51">
        <f t="shared" si="23"/>
        <v>10.600723539172899</v>
      </c>
      <c r="BT51" s="564">
        <f t="shared" si="24"/>
        <v>5.0647922251918525</v>
      </c>
      <c r="BU51">
        <f t="shared" si="40"/>
        <v>2.0930223922011622</v>
      </c>
    </row>
    <row r="52" spans="1:73" x14ac:dyDescent="0.25">
      <c r="A52" s="186">
        <v>6</v>
      </c>
      <c r="B52" s="187">
        <f>A52/100*'Inputs-Imperial'!$E$5</f>
        <v>1.4448819359999998</v>
      </c>
      <c r="C52" s="188">
        <f>'Inputs-Imperial'!$E$10+('Inputs-Imperial'!$E$9-'Inputs-Imperial'!$E$10)*(100-A52)/100</f>
        <v>4.9785106580000003</v>
      </c>
      <c r="D52" s="187">
        <f t="shared" si="25"/>
        <v>0.24081365599999982</v>
      </c>
      <c r="E52" s="188">
        <f t="shared" si="26"/>
        <v>1.2010364207792921</v>
      </c>
      <c r="F52" s="423">
        <f>Sizing!F66</f>
        <v>898.77488976470431</v>
      </c>
      <c r="G52" s="423">
        <f>Sizing!G66</f>
        <v>8987.7488976470449</v>
      </c>
      <c r="H52" s="423">
        <f>Sizing!H66</f>
        <v>91475.94041698573</v>
      </c>
      <c r="I52" s="423">
        <f>Sizing!I66</f>
        <v>-21166.325206806516</v>
      </c>
      <c r="J52" s="189">
        <f>Sizing!J66</f>
        <v>9147.5940416985777</v>
      </c>
      <c r="K52" s="128">
        <v>6</v>
      </c>
      <c r="L52" s="12">
        <f t="shared" si="5"/>
        <v>17.338583231999998</v>
      </c>
      <c r="M52" s="11">
        <f t="shared" si="5"/>
        <v>59.742127896</v>
      </c>
      <c r="N52" s="11">
        <f t="shared" si="5"/>
        <v>2.8897638719999978</v>
      </c>
      <c r="O52" s="152">
        <f t="shared" si="27"/>
        <v>172.94924459221807</v>
      </c>
      <c r="P52" s="8">
        <f t="shared" si="0"/>
        <v>10.753583021279999</v>
      </c>
      <c r="Q52" s="12">
        <f t="shared" si="28"/>
        <v>31.130864026599244</v>
      </c>
      <c r="R52" s="8">
        <f t="shared" si="1"/>
        <v>5.3767915106399995</v>
      </c>
      <c r="S52" s="12">
        <f t="shared" si="29"/>
        <v>15.565432013299622</v>
      </c>
      <c r="T52" s="17">
        <f>Sizing!CN66</f>
        <v>2</v>
      </c>
      <c r="U52" s="17">
        <f>Sizing!CO66</f>
        <v>2.3622047244094495E-2</v>
      </c>
      <c r="V52" s="17">
        <f>Sizing!CP66</f>
        <v>2.3622047244094495E-2</v>
      </c>
      <c r="W52" s="128">
        <f t="shared" si="6"/>
        <v>3.6269531605028051E-3</v>
      </c>
      <c r="X52" s="2">
        <f t="shared" si="7"/>
        <v>5.7803677036405475E-3</v>
      </c>
      <c r="Y52" s="2">
        <f t="shared" si="8"/>
        <v>9.4073208641433526E-3</v>
      </c>
      <c r="Z52" s="216">
        <f t="shared" si="30"/>
        <v>0.64768260351624929</v>
      </c>
      <c r="AA52" s="138">
        <f t="shared" si="31"/>
        <v>1.0322282747804064</v>
      </c>
      <c r="AB52" s="17">
        <f t="shared" si="32"/>
        <v>1.6799108782966556</v>
      </c>
      <c r="AC52" s="311">
        <f t="shared" si="33"/>
        <v>0.63651566207631394</v>
      </c>
      <c r="AD52" s="316">
        <f t="shared" si="34"/>
        <v>1.0144312355600547</v>
      </c>
      <c r="AE52" s="21">
        <f t="shared" si="35"/>
        <v>1.6509468976363686</v>
      </c>
      <c r="AF52" s="170">
        <f>Sizing!DU66</f>
        <v>3.5859228878785925</v>
      </c>
      <c r="AG52" s="170">
        <f>Sizing!DV66</f>
        <v>1.8936533177639967</v>
      </c>
      <c r="AH52" s="170">
        <f>Sizing!DW66</f>
        <v>3.5859228878785925</v>
      </c>
      <c r="AI52" s="272">
        <f>Sizing!DX66</f>
        <v>1.8936533177639967</v>
      </c>
      <c r="AJ52" s="216">
        <f>Sizing!GJ66</f>
        <v>0.75</v>
      </c>
      <c r="AK52" s="216">
        <f>Sizing!GK66</f>
        <v>6.2992125984251982E-2</v>
      </c>
      <c r="AL52" s="17">
        <f>Sizing!GL66</f>
        <v>6.2992125984251982E-2</v>
      </c>
      <c r="AM52" s="216">
        <f t="shared" si="9"/>
        <v>9.6718750946741469E-3</v>
      </c>
      <c r="AN52" s="138">
        <f t="shared" si="10"/>
        <v>2.1676378888652054E-3</v>
      </c>
      <c r="AO52" s="138">
        <f t="shared" si="11"/>
        <v>1.1839512983539352E-2</v>
      </c>
      <c r="AP52" s="311">
        <f t="shared" si="36"/>
        <v>0.30109382845455257</v>
      </c>
      <c r="AQ52" s="11">
        <f t="shared" si="37"/>
        <v>6.7480440377167356E-2</v>
      </c>
      <c r="AR52" s="21">
        <f t="shared" si="38"/>
        <v>0.3685742688317199</v>
      </c>
      <c r="AS52" s="11">
        <f t="shared" si="12"/>
        <v>0.63642569863287346</v>
      </c>
      <c r="AT52" s="21">
        <f t="shared" si="39"/>
        <v>0.63642569863287346</v>
      </c>
      <c r="AU52" s="170">
        <f>Sizing!JC66</f>
        <v>5.3419963961966015E-2</v>
      </c>
      <c r="AV52" s="272">
        <f>Sizing!JD66</f>
        <v>0.23112759238560421</v>
      </c>
      <c r="AW52" s="170">
        <f>Sizing!JC66</f>
        <v>5.3419963961966015E-2</v>
      </c>
      <c r="AX52" s="272">
        <f>Sizing!JD66</f>
        <v>0.23112759238560421</v>
      </c>
      <c r="AY52" s="216">
        <f>Sizing!IT66</f>
        <v>0.5</v>
      </c>
      <c r="AZ52" s="216">
        <f>Sizing!IU66</f>
        <v>1.5748031496062995E-2</v>
      </c>
      <c r="BA52" s="17">
        <f>Sizing!IV66</f>
        <v>1.5748031496062995E-2</v>
      </c>
      <c r="BB52" s="216">
        <f t="shared" si="13"/>
        <v>2.4179687736685367E-3</v>
      </c>
      <c r="BC52" s="138">
        <f t="shared" si="14"/>
        <v>1.4450919259101369E-3</v>
      </c>
      <c r="BD52" s="138">
        <f t="shared" si="15"/>
        <v>3.8630606995786734E-3</v>
      </c>
      <c r="BE52" s="311">
        <f t="shared" si="16"/>
        <v>3.7636728556819071E-2</v>
      </c>
      <c r="BF52" s="11">
        <f t="shared" si="17"/>
        <v>2.249348012572245E-2</v>
      </c>
      <c r="BG52" s="21">
        <f t="shared" si="18"/>
        <v>6.0130208682541514E-2</v>
      </c>
      <c r="BH52" s="21">
        <f t="shared" si="19"/>
        <v>9.480917172078409E-3</v>
      </c>
      <c r="BI52" s="21">
        <f t="shared" si="20"/>
        <v>9.480917172078409E-3</v>
      </c>
      <c r="BJ52" s="561"/>
      <c r="BK52">
        <f t="shared" si="21"/>
        <v>2.4892553290000001</v>
      </c>
      <c r="BL52">
        <f t="shared" si="22"/>
        <v>2.4892553290000001</v>
      </c>
      <c r="BM52">
        <f>C52*'Inputs-Imperial'!$E$12</f>
        <v>1.2446276645000001</v>
      </c>
      <c r="BN52">
        <f>C52*'Inputs-Imperial'!$E$12</f>
        <v>1.2446276645000001</v>
      </c>
      <c r="BO52">
        <f>C52*'Inputs-Imperial'!$E$12</f>
        <v>1.2446276645000001</v>
      </c>
      <c r="BP52">
        <f>C52*'Weight '!$E$15</f>
        <v>2.4892553290000001</v>
      </c>
      <c r="BQ52">
        <f>C52*'Weight '!$E$15</f>
        <v>2.4892553290000001</v>
      </c>
      <c r="BR52">
        <f>C52*'Weight '!$E$15</f>
        <v>2.4892553290000001</v>
      </c>
      <c r="BS52">
        <f t="shared" si="23"/>
        <v>10.531199551713323</v>
      </c>
      <c r="BT52" s="564">
        <f t="shared" si="24"/>
        <v>5.0513754850571901</v>
      </c>
      <c r="BU52">
        <f t="shared" si="40"/>
        <v>2.0848182010754033</v>
      </c>
    </row>
    <row r="53" spans="1:73" x14ac:dyDescent="0.25">
      <c r="A53" s="186">
        <v>7</v>
      </c>
      <c r="B53" s="187">
        <f>A53/100*'Inputs-Imperial'!$E$5</f>
        <v>1.6856955920000001</v>
      </c>
      <c r="C53" s="188">
        <f>'Inputs-Imperial'!$E$10+('Inputs-Imperial'!$E$9-'Inputs-Imperial'!$E$10)*(100-A53)/100</f>
        <v>4.9607121010000004</v>
      </c>
      <c r="D53" s="187">
        <f t="shared" si="25"/>
        <v>0.24081365600000026</v>
      </c>
      <c r="E53" s="188">
        <f t="shared" si="26"/>
        <v>1.1967502851965997</v>
      </c>
      <c r="F53" s="423">
        <f>Sizing!F67</f>
        <v>886.85600023891789</v>
      </c>
      <c r="G53" s="423">
        <f>Sizing!G67</f>
        <v>8868.5600023891802</v>
      </c>
      <c r="H53" s="423">
        <f>Sizing!H67</f>
        <v>89311.567745733366</v>
      </c>
      <c r="I53" s="423">
        <f>Sizing!I67</f>
        <v>-20829.072551688692</v>
      </c>
      <c r="J53" s="189">
        <f>Sizing!J67</f>
        <v>8931.1567745733428</v>
      </c>
      <c r="K53" s="128">
        <v>7</v>
      </c>
      <c r="L53" s="12">
        <f t="shared" si="5"/>
        <v>20.228347104000001</v>
      </c>
      <c r="M53" s="11">
        <f t="shared" si="5"/>
        <v>59.528545212000004</v>
      </c>
      <c r="N53" s="11">
        <f t="shared" si="5"/>
        <v>2.8897638720000032</v>
      </c>
      <c r="O53" s="152">
        <f t="shared" si="27"/>
        <v>172.33204106831036</v>
      </c>
      <c r="P53" s="8">
        <f t="shared" si="0"/>
        <v>10.71513813816</v>
      </c>
      <c r="Q53" s="12">
        <f t="shared" si="28"/>
        <v>31.019767392295869</v>
      </c>
      <c r="R53" s="8">
        <f t="shared" si="1"/>
        <v>5.3575690690800002</v>
      </c>
      <c r="S53" s="12">
        <f t="shared" si="29"/>
        <v>15.509883696147934</v>
      </c>
      <c r="T53" s="17">
        <f>Sizing!CN67</f>
        <v>2</v>
      </c>
      <c r="U53" s="17">
        <f>Sizing!CO67</f>
        <v>2.3622047244094495E-2</v>
      </c>
      <c r="V53" s="17">
        <f>Sizing!CP67</f>
        <v>2.3622047244094495E-2</v>
      </c>
      <c r="W53" s="128">
        <f t="shared" si="6"/>
        <v>3.6269531605028051E-3</v>
      </c>
      <c r="X53" s="2">
        <f t="shared" si="7"/>
        <v>5.7803677036405475E-3</v>
      </c>
      <c r="Y53" s="2">
        <f t="shared" si="8"/>
        <v>9.4073208641433526E-3</v>
      </c>
      <c r="Z53" s="216">
        <f t="shared" si="30"/>
        <v>0.64537122027657989</v>
      </c>
      <c r="AA53" s="138">
        <f t="shared" si="31"/>
        <v>1.0285445643937332</v>
      </c>
      <c r="AB53" s="17">
        <f t="shared" si="32"/>
        <v>1.6739157846703132</v>
      </c>
      <c r="AC53" s="311">
        <f t="shared" si="33"/>
        <v>0.63424413027181126</v>
      </c>
      <c r="AD53" s="316">
        <f t="shared" si="34"/>
        <v>1.0108110374214276</v>
      </c>
      <c r="AE53" s="21">
        <f t="shared" si="35"/>
        <v>1.6450551676932388</v>
      </c>
      <c r="AF53" s="170">
        <f>Sizing!DU67</f>
        <v>3.5859228878785925</v>
      </c>
      <c r="AG53" s="170">
        <f>Sizing!DV67</f>
        <v>1.8936533177639967</v>
      </c>
      <c r="AH53" s="170">
        <f>Sizing!DW67</f>
        <v>3.5859228878785925</v>
      </c>
      <c r="AI53" s="272">
        <f>Sizing!DX67</f>
        <v>1.8936533177639967</v>
      </c>
      <c r="AJ53" s="216">
        <f>Sizing!GJ67</f>
        <v>0.75</v>
      </c>
      <c r="AK53" s="216">
        <f>Sizing!GK67</f>
        <v>6.2992125984251982E-2</v>
      </c>
      <c r="AL53" s="17">
        <f>Sizing!GL67</f>
        <v>6.2992125984251982E-2</v>
      </c>
      <c r="AM53" s="216">
        <f t="shared" si="9"/>
        <v>9.6718750946741469E-3</v>
      </c>
      <c r="AN53" s="138">
        <f t="shared" si="10"/>
        <v>2.1676378888652054E-3</v>
      </c>
      <c r="AO53" s="138">
        <f t="shared" si="11"/>
        <v>1.1839512983539352E-2</v>
      </c>
      <c r="AP53" s="311">
        <f t="shared" si="36"/>
        <v>0.30001931568413159</v>
      </c>
      <c r="AQ53" s="11">
        <f t="shared" si="37"/>
        <v>6.7239623103325957E-2</v>
      </c>
      <c r="AR53" s="21">
        <f t="shared" si="38"/>
        <v>0.36725893878745758</v>
      </c>
      <c r="AS53" s="11">
        <f t="shared" si="12"/>
        <v>0.63642569863287468</v>
      </c>
      <c r="AT53" s="21">
        <f t="shared" si="39"/>
        <v>0.63642569863287468</v>
      </c>
      <c r="AU53" s="170">
        <f>Sizing!JC67</f>
        <v>5.3419963961966015E-2</v>
      </c>
      <c r="AV53" s="272">
        <f>Sizing!JD67</f>
        <v>0.23112759238560421</v>
      </c>
      <c r="AW53" s="170">
        <f>Sizing!JC67</f>
        <v>5.3419963961966015E-2</v>
      </c>
      <c r="AX53" s="272">
        <f>Sizing!JD67</f>
        <v>0.23112759238560421</v>
      </c>
      <c r="AY53" s="216">
        <f>Sizing!IT67</f>
        <v>0.5</v>
      </c>
      <c r="AZ53" s="216">
        <f>Sizing!IU67</f>
        <v>1.5748031496062995E-2</v>
      </c>
      <c r="BA53" s="17">
        <f>Sizing!IV67</f>
        <v>1.5748031496062995E-2</v>
      </c>
      <c r="BB53" s="216">
        <f t="shared" si="13"/>
        <v>2.4179687736685367E-3</v>
      </c>
      <c r="BC53" s="138">
        <f t="shared" si="14"/>
        <v>1.4450919259101369E-3</v>
      </c>
      <c r="BD53" s="138">
        <f t="shared" si="15"/>
        <v>3.8630606995786734E-3</v>
      </c>
      <c r="BE53" s="311">
        <f t="shared" si="16"/>
        <v>3.7502414460516449E-2</v>
      </c>
      <c r="BF53" s="11">
        <f t="shared" si="17"/>
        <v>2.2413207701108651E-2</v>
      </c>
      <c r="BG53" s="21">
        <f t="shared" si="18"/>
        <v>5.9915622161625097E-2</v>
      </c>
      <c r="BH53" s="21">
        <f t="shared" si="19"/>
        <v>9.4809171720784263E-3</v>
      </c>
      <c r="BI53" s="21">
        <f t="shared" si="20"/>
        <v>9.4809171720784263E-3</v>
      </c>
      <c r="BJ53" s="561"/>
      <c r="BK53">
        <f t="shared" si="21"/>
        <v>2.4803560505000002</v>
      </c>
      <c r="BL53">
        <f t="shared" si="22"/>
        <v>2.4803560505000002</v>
      </c>
      <c r="BM53">
        <f>C53*'Inputs-Imperial'!$E$12</f>
        <v>1.2401780252500001</v>
      </c>
      <c r="BN53">
        <f>C53*'Inputs-Imperial'!$E$12</f>
        <v>1.2401780252500001</v>
      </c>
      <c r="BO53">
        <f>C53*'Inputs-Imperial'!$E$12</f>
        <v>1.2401780252500001</v>
      </c>
      <c r="BP53">
        <f>C53*'Weight '!$E$15</f>
        <v>2.4803560505000002</v>
      </c>
      <c r="BQ53">
        <f>C53*'Weight '!$E$15</f>
        <v>2.4803560505000002</v>
      </c>
      <c r="BR53">
        <f>C53*'Weight '!$E$15</f>
        <v>2.4803560505000002</v>
      </c>
      <c r="BS53">
        <f t="shared" si="23"/>
        <v>10.461902657379428</v>
      </c>
      <c r="BT53" s="564">
        <f t="shared" si="24"/>
        <v>5.0379587449225411</v>
      </c>
      <c r="BU53">
        <f t="shared" si="40"/>
        <v>2.0766153887074514</v>
      </c>
    </row>
    <row r="54" spans="1:73" x14ac:dyDescent="0.25">
      <c r="A54" s="186">
        <v>8</v>
      </c>
      <c r="B54" s="187">
        <f>A54/100*'Inputs-Imperial'!$E$5</f>
        <v>1.9265092479999999</v>
      </c>
      <c r="C54" s="188">
        <f>'Inputs-Imperial'!$E$10+('Inputs-Imperial'!$E$9-'Inputs-Imperial'!$E$10)*(100-A54)/100</f>
        <v>4.9429135440000005</v>
      </c>
      <c r="D54" s="187">
        <f t="shared" si="25"/>
        <v>0.24081365599999982</v>
      </c>
      <c r="E54" s="188">
        <f t="shared" si="26"/>
        <v>1.1924641496139035</v>
      </c>
      <c r="F54" s="423">
        <f>Sizing!F68</f>
        <v>874.96204458746081</v>
      </c>
      <c r="G54" s="423">
        <f>Sizing!G68</f>
        <v>8749.6204458746088</v>
      </c>
      <c r="H54" s="423">
        <f>Sizing!H68</f>
        <v>87175.897388102661</v>
      </c>
      <c r="I54" s="423">
        <f>Sizing!I68</f>
        <v>-20493.238989461319</v>
      </c>
      <c r="J54" s="189">
        <f>Sizing!J68</f>
        <v>8717.589738810273</v>
      </c>
      <c r="K54" s="128">
        <v>8</v>
      </c>
      <c r="L54" s="12">
        <f t="shared" si="5"/>
        <v>23.118110975999997</v>
      </c>
      <c r="M54" s="11">
        <f t="shared" si="5"/>
        <v>59.314962528000009</v>
      </c>
      <c r="N54" s="11">
        <f t="shared" si="5"/>
        <v>2.8897638719999978</v>
      </c>
      <c r="O54" s="152">
        <f t="shared" si="27"/>
        <v>171.71483754440209</v>
      </c>
      <c r="P54" s="8">
        <f t="shared" si="0"/>
        <v>10.676693255040002</v>
      </c>
      <c r="Q54" s="12">
        <f t="shared" si="28"/>
        <v>30.908670757992372</v>
      </c>
      <c r="R54" s="8">
        <f t="shared" si="1"/>
        <v>5.3383466275200009</v>
      </c>
      <c r="S54" s="12">
        <f t="shared" si="29"/>
        <v>15.454335378996186</v>
      </c>
      <c r="T54" s="17">
        <f>Sizing!CN68</f>
        <v>2</v>
      </c>
      <c r="U54" s="17">
        <f>Sizing!CO68</f>
        <v>2.3622047244094495E-2</v>
      </c>
      <c r="V54" s="17">
        <f>Sizing!CP68</f>
        <v>2.3622047244094495E-2</v>
      </c>
      <c r="W54" s="128">
        <f t="shared" si="6"/>
        <v>3.6269531605028051E-3</v>
      </c>
      <c r="X54" s="2">
        <f t="shared" si="7"/>
        <v>5.7803677036405475E-3</v>
      </c>
      <c r="Y54" s="2">
        <f t="shared" si="8"/>
        <v>9.4073208641433526E-3</v>
      </c>
      <c r="Z54" s="216">
        <f t="shared" si="30"/>
        <v>0.64305983703690828</v>
      </c>
      <c r="AA54" s="138">
        <f t="shared" si="31"/>
        <v>1.0248608540070567</v>
      </c>
      <c r="AB54" s="17">
        <f t="shared" si="32"/>
        <v>1.667920691043965</v>
      </c>
      <c r="AC54" s="311">
        <f t="shared" si="33"/>
        <v>0.63197259846730636</v>
      </c>
      <c r="AD54" s="316">
        <f t="shared" si="34"/>
        <v>1.0071908392827971</v>
      </c>
      <c r="AE54" s="21">
        <f t="shared" si="35"/>
        <v>1.6391634377501034</v>
      </c>
      <c r="AF54" s="170">
        <f>Sizing!DU68</f>
        <v>3.5859228878785925</v>
      </c>
      <c r="AG54" s="170">
        <f>Sizing!DV68</f>
        <v>1.8936533177639967</v>
      </c>
      <c r="AH54" s="170">
        <f>Sizing!DW68</f>
        <v>3.5859228878785925</v>
      </c>
      <c r="AI54" s="272">
        <f>Sizing!DX68</f>
        <v>1.8936533177639967</v>
      </c>
      <c r="AJ54" s="216">
        <f>Sizing!GJ68</f>
        <v>0.75</v>
      </c>
      <c r="AK54" s="216">
        <f>Sizing!GK68</f>
        <v>6.2992125984251982E-2</v>
      </c>
      <c r="AL54" s="17">
        <f>Sizing!GL68</f>
        <v>6.2992125984251982E-2</v>
      </c>
      <c r="AM54" s="216">
        <f t="shared" si="9"/>
        <v>9.6718750946741469E-3</v>
      </c>
      <c r="AN54" s="138">
        <f t="shared" si="10"/>
        <v>2.1676378888652054E-3</v>
      </c>
      <c r="AO54" s="138">
        <f t="shared" si="11"/>
        <v>1.1839512983539352E-2</v>
      </c>
      <c r="AP54" s="311">
        <f t="shared" si="36"/>
        <v>0.29894480291370951</v>
      </c>
      <c r="AQ54" s="11">
        <f t="shared" si="37"/>
        <v>6.6998805829484295E-2</v>
      </c>
      <c r="AR54" s="21">
        <f t="shared" si="38"/>
        <v>0.36594360874319382</v>
      </c>
      <c r="AS54" s="11">
        <f t="shared" si="12"/>
        <v>0.63642569863287346</v>
      </c>
      <c r="AT54" s="21">
        <f t="shared" si="39"/>
        <v>0.63642569863287346</v>
      </c>
      <c r="AU54" s="170">
        <f>Sizing!JC68</f>
        <v>5.3419963961966015E-2</v>
      </c>
      <c r="AV54" s="272">
        <f>Sizing!JD68</f>
        <v>0.23112759238560421</v>
      </c>
      <c r="AW54" s="170">
        <f>Sizing!JC68</f>
        <v>5.3419963961966015E-2</v>
      </c>
      <c r="AX54" s="272">
        <f>Sizing!JD68</f>
        <v>0.23112759238560421</v>
      </c>
      <c r="AY54" s="216">
        <f>Sizing!IT68</f>
        <v>0.5</v>
      </c>
      <c r="AZ54" s="216">
        <f>Sizing!IU68</f>
        <v>1.5748031496062995E-2</v>
      </c>
      <c r="BA54" s="17">
        <f>Sizing!IV68</f>
        <v>1.5748031496062995E-2</v>
      </c>
      <c r="BB54" s="216">
        <f t="shared" si="13"/>
        <v>2.4179687736685367E-3</v>
      </c>
      <c r="BC54" s="138">
        <f t="shared" si="14"/>
        <v>1.4450919259101369E-3</v>
      </c>
      <c r="BD54" s="138">
        <f t="shared" si="15"/>
        <v>3.8630606995786734E-3</v>
      </c>
      <c r="BE54" s="311">
        <f t="shared" si="16"/>
        <v>3.7368100364213688E-2</v>
      </c>
      <c r="BF54" s="11">
        <f t="shared" si="17"/>
        <v>2.2332935276494763E-2</v>
      </c>
      <c r="BG54" s="21">
        <f t="shared" si="18"/>
        <v>5.9701035640708451E-2</v>
      </c>
      <c r="BH54" s="21">
        <f t="shared" si="19"/>
        <v>9.480917172078409E-3</v>
      </c>
      <c r="BI54" s="21">
        <f t="shared" si="20"/>
        <v>9.480917172078409E-3</v>
      </c>
      <c r="BJ54" s="561"/>
      <c r="BK54">
        <f t="shared" si="21"/>
        <v>2.4714567720000002</v>
      </c>
      <c r="BL54">
        <f t="shared" si="22"/>
        <v>2.4714567720000002</v>
      </c>
      <c r="BM54">
        <f>C54*'Inputs-Imperial'!$E$12</f>
        <v>1.2357283860000001</v>
      </c>
      <c r="BN54">
        <f>C54*'Inputs-Imperial'!$E$12</f>
        <v>1.2357283860000001</v>
      </c>
      <c r="BO54">
        <f>C54*'Inputs-Imperial'!$E$12</f>
        <v>1.2357283860000001</v>
      </c>
      <c r="BP54">
        <f>C54*'Weight '!$E$15</f>
        <v>2.4714567720000002</v>
      </c>
      <c r="BQ54">
        <f>C54*'Weight '!$E$15</f>
        <v>2.4714567720000002</v>
      </c>
      <c r="BR54">
        <f>C54*'Weight '!$E$15</f>
        <v>2.4714567720000002</v>
      </c>
      <c r="BS54">
        <f t="shared" si="23"/>
        <v>10.392832856171159</v>
      </c>
      <c r="BT54" s="564">
        <f t="shared" si="24"/>
        <v>5.0245420047878753</v>
      </c>
      <c r="BU54">
        <f t="shared" si="40"/>
        <v>2.0684139661421579</v>
      </c>
    </row>
    <row r="55" spans="1:73" x14ac:dyDescent="0.25">
      <c r="A55" s="186">
        <v>9</v>
      </c>
      <c r="B55" s="187">
        <f>A55/100*'Inputs-Imperial'!$E$5</f>
        <v>2.1673229039999997</v>
      </c>
      <c r="C55" s="188">
        <f>'Inputs-Imperial'!$E$10+('Inputs-Imperial'!$E$9-'Inputs-Imperial'!$E$10)*(100-A55)/100</f>
        <v>4.9251149870000006</v>
      </c>
      <c r="D55" s="187">
        <f t="shared" si="25"/>
        <v>0.24081365599999982</v>
      </c>
      <c r="E55" s="188">
        <f t="shared" si="26"/>
        <v>1.1881780140312088</v>
      </c>
      <c r="F55" s="423">
        <f>Sizing!F69</f>
        <v>863.09364623455872</v>
      </c>
      <c r="G55" s="423">
        <f>Sizing!G69</f>
        <v>8630.9364623455876</v>
      </c>
      <c r="H55" s="423">
        <f>Sizing!H69</f>
        <v>85068.869299919243</v>
      </c>
      <c r="I55" s="423">
        <f>Sizing!I69</f>
        <v>-20158.85669723614</v>
      </c>
      <c r="J55" s="189">
        <f>Sizing!J69</f>
        <v>8506.8869299919315</v>
      </c>
      <c r="K55" s="128">
        <v>9</v>
      </c>
      <c r="L55" s="12">
        <f t="shared" si="5"/>
        <v>26.007874847999997</v>
      </c>
      <c r="M55" s="11">
        <f t="shared" si="5"/>
        <v>59.101379844000007</v>
      </c>
      <c r="N55" s="11">
        <f t="shared" si="5"/>
        <v>2.8897638719999978</v>
      </c>
      <c r="O55" s="152">
        <f t="shared" si="27"/>
        <v>171.09763402049407</v>
      </c>
      <c r="P55" s="8">
        <f t="shared" si="0"/>
        <v>10.638248371920001</v>
      </c>
      <c r="Q55" s="12">
        <f t="shared" si="28"/>
        <v>30.797574123688936</v>
      </c>
      <c r="R55" s="8">
        <f t="shared" si="1"/>
        <v>5.3191241859600007</v>
      </c>
      <c r="S55" s="12">
        <f t="shared" si="29"/>
        <v>15.398787061844468</v>
      </c>
      <c r="T55" s="17">
        <f>Sizing!CN69</f>
        <v>2</v>
      </c>
      <c r="U55" s="17">
        <f>Sizing!CO69</f>
        <v>2.3622047244094495E-2</v>
      </c>
      <c r="V55" s="17">
        <f>Sizing!CP69</f>
        <v>2.3622047244094495E-2</v>
      </c>
      <c r="W55" s="128">
        <f t="shared" si="6"/>
        <v>3.6269531605028051E-3</v>
      </c>
      <c r="X55" s="2">
        <f t="shared" si="7"/>
        <v>5.7803677036405475E-3</v>
      </c>
      <c r="Y55" s="2">
        <f t="shared" si="8"/>
        <v>9.4073208641433526E-3</v>
      </c>
      <c r="Z55" s="216">
        <f t="shared" si="30"/>
        <v>0.64074845379723766</v>
      </c>
      <c r="AA55" s="138">
        <f t="shared" si="31"/>
        <v>1.0211771436203816</v>
      </c>
      <c r="AB55" s="17">
        <f t="shared" si="32"/>
        <v>1.6619255974176192</v>
      </c>
      <c r="AC55" s="311">
        <f t="shared" si="33"/>
        <v>0.62970106666280257</v>
      </c>
      <c r="AD55" s="316">
        <f t="shared" si="34"/>
        <v>1.0035706411441683</v>
      </c>
      <c r="AE55" s="21">
        <f t="shared" si="35"/>
        <v>1.6332717078069707</v>
      </c>
      <c r="AF55" s="170">
        <f>Sizing!DU69</f>
        <v>3.5859228878785925</v>
      </c>
      <c r="AG55" s="170">
        <f>Sizing!DV69</f>
        <v>1.8936533177639967</v>
      </c>
      <c r="AH55" s="170">
        <f>Sizing!DW69</f>
        <v>3.5859228878785925</v>
      </c>
      <c r="AI55" s="272">
        <f>Sizing!DX69</f>
        <v>1.8936533177639967</v>
      </c>
      <c r="AJ55" s="216">
        <f>Sizing!GJ69</f>
        <v>0.75</v>
      </c>
      <c r="AK55" s="216">
        <f>Sizing!GK69</f>
        <v>6.2992125984251982E-2</v>
      </c>
      <c r="AL55" s="17">
        <f>Sizing!GL69</f>
        <v>6.2992125984251982E-2</v>
      </c>
      <c r="AM55" s="216">
        <f t="shared" si="9"/>
        <v>9.6718750946741469E-3</v>
      </c>
      <c r="AN55" s="138">
        <f t="shared" si="10"/>
        <v>2.1676378888652054E-3</v>
      </c>
      <c r="AO55" s="138">
        <f t="shared" si="11"/>
        <v>1.1839512983539352E-2</v>
      </c>
      <c r="AP55" s="311">
        <f t="shared" si="36"/>
        <v>0.29787029014328797</v>
      </c>
      <c r="AQ55" s="11">
        <f t="shared" si="37"/>
        <v>6.6757988555642758E-2</v>
      </c>
      <c r="AR55" s="21">
        <f t="shared" si="38"/>
        <v>0.36462827869893072</v>
      </c>
      <c r="AS55" s="11">
        <f t="shared" si="12"/>
        <v>0.63642569863287346</v>
      </c>
      <c r="AT55" s="21">
        <f t="shared" si="39"/>
        <v>0.63642569863287346</v>
      </c>
      <c r="AU55" s="170">
        <f>Sizing!JC69</f>
        <v>5.3419963961966015E-2</v>
      </c>
      <c r="AV55" s="272">
        <f>Sizing!JD69</f>
        <v>0.23112759238560421</v>
      </c>
      <c r="AW55" s="170">
        <f>Sizing!JC69</f>
        <v>5.3419963961966015E-2</v>
      </c>
      <c r="AX55" s="272">
        <f>Sizing!JD69</f>
        <v>0.23112759238560421</v>
      </c>
      <c r="AY55" s="216">
        <f>Sizing!IT69</f>
        <v>0.5</v>
      </c>
      <c r="AZ55" s="216">
        <f>Sizing!IU69</f>
        <v>1.5748031496062995E-2</v>
      </c>
      <c r="BA55" s="17">
        <f>Sizing!IV69</f>
        <v>1.5748031496062995E-2</v>
      </c>
      <c r="BB55" s="216">
        <f t="shared" si="13"/>
        <v>2.4179687736685367E-3</v>
      </c>
      <c r="BC55" s="138">
        <f t="shared" si="14"/>
        <v>1.4450919259101369E-3</v>
      </c>
      <c r="BD55" s="138">
        <f t="shared" si="15"/>
        <v>3.8630606995786734E-3</v>
      </c>
      <c r="BE55" s="311">
        <f t="shared" si="16"/>
        <v>3.7233786267910997E-2</v>
      </c>
      <c r="BF55" s="11">
        <f t="shared" si="17"/>
        <v>2.2252662851880919E-2</v>
      </c>
      <c r="BG55" s="21">
        <f t="shared" si="18"/>
        <v>5.9486449119791916E-2</v>
      </c>
      <c r="BH55" s="21">
        <f t="shared" si="19"/>
        <v>9.480917172078409E-3</v>
      </c>
      <c r="BI55" s="21">
        <f t="shared" si="20"/>
        <v>9.480917172078409E-3</v>
      </c>
      <c r="BJ55" s="561"/>
      <c r="BK55">
        <f t="shared" si="21"/>
        <v>2.4625574935000003</v>
      </c>
      <c r="BL55">
        <f t="shared" si="22"/>
        <v>2.4625574935000003</v>
      </c>
      <c r="BM55">
        <f>C55*'Inputs-Imperial'!$E$12</f>
        <v>1.2312787467500002</v>
      </c>
      <c r="BN55">
        <f>C55*'Inputs-Imperial'!$E$12</f>
        <v>1.2312787467500002</v>
      </c>
      <c r="BO55">
        <f>C55*'Inputs-Imperial'!$E$12</f>
        <v>1.2312787467500002</v>
      </c>
      <c r="BP55">
        <f>C55*'Weight '!$E$15</f>
        <v>2.4625574935000003</v>
      </c>
      <c r="BQ55">
        <f>C55*'Weight '!$E$15</f>
        <v>2.4625574935000003</v>
      </c>
      <c r="BR55">
        <f>C55*'Weight '!$E$15</f>
        <v>2.4625574935000003</v>
      </c>
      <c r="BS55">
        <f t="shared" si="23"/>
        <v>10.323990148088564</v>
      </c>
      <c r="BT55" s="564">
        <f t="shared" si="24"/>
        <v>5.0111252646532165</v>
      </c>
      <c r="BU55">
        <f t="shared" si="40"/>
        <v>2.0602139445426562</v>
      </c>
    </row>
    <row r="56" spans="1:73" x14ac:dyDescent="0.25">
      <c r="A56" s="186">
        <v>10</v>
      </c>
      <c r="B56" s="187">
        <f>A56/100*'Inputs-Imperial'!$E$5</f>
        <v>2.40813656</v>
      </c>
      <c r="C56" s="188">
        <f>'Inputs-Imperial'!$E$10+('Inputs-Imperial'!$E$9-'Inputs-Imperial'!$E$10)*(100-A56)/100</f>
        <v>4.9073164299999998</v>
      </c>
      <c r="D56" s="187">
        <f t="shared" si="25"/>
        <v>0.24081365600000026</v>
      </c>
      <c r="E56" s="188">
        <f t="shared" si="26"/>
        <v>1.1838918784485166</v>
      </c>
      <c r="F56" s="423">
        <f>Sizing!F70</f>
        <v>851.25143011253522</v>
      </c>
      <c r="G56" s="423">
        <f>Sizing!G70</f>
        <v>8512.5143011253513</v>
      </c>
      <c r="H56" s="423">
        <f>Sizing!H70</f>
        <v>82990.421935718099</v>
      </c>
      <c r="I56" s="423">
        <f>Sizing!I70</f>
        <v>-19825.957710997001</v>
      </c>
      <c r="J56" s="189">
        <f>Sizing!J70</f>
        <v>8299.0421935718168</v>
      </c>
      <c r="K56" s="128">
        <v>10</v>
      </c>
      <c r="L56" s="12">
        <f t="shared" si="5"/>
        <v>28.89763872</v>
      </c>
      <c r="M56" s="11">
        <f t="shared" si="5"/>
        <v>58.887797159999998</v>
      </c>
      <c r="N56" s="11">
        <f t="shared" si="5"/>
        <v>2.8897638720000032</v>
      </c>
      <c r="O56" s="152">
        <f t="shared" si="27"/>
        <v>170.48043049658639</v>
      </c>
      <c r="P56" s="8">
        <f t="shared" si="0"/>
        <v>10.599803488799999</v>
      </c>
      <c r="Q56" s="12">
        <f t="shared" si="28"/>
        <v>30.686477489385549</v>
      </c>
      <c r="R56" s="8">
        <f t="shared" si="1"/>
        <v>5.2999017443999996</v>
      </c>
      <c r="S56" s="12">
        <f t="shared" si="29"/>
        <v>15.343238744692774</v>
      </c>
      <c r="T56" s="17">
        <f>Sizing!CN70</f>
        <v>2</v>
      </c>
      <c r="U56" s="17">
        <f>Sizing!CO70</f>
        <v>2.3622047244094495E-2</v>
      </c>
      <c r="V56" s="17">
        <f>Sizing!CP70</f>
        <v>2.3622047244094495E-2</v>
      </c>
      <c r="W56" s="128">
        <f t="shared" si="6"/>
        <v>3.6269531605028051E-3</v>
      </c>
      <c r="X56" s="2">
        <f t="shared" si="7"/>
        <v>5.7803677036405475E-3</v>
      </c>
      <c r="Y56" s="2">
        <f t="shared" si="8"/>
        <v>9.4073208641433526E-3</v>
      </c>
      <c r="Z56" s="216">
        <f t="shared" si="30"/>
        <v>0.63843707055756826</v>
      </c>
      <c r="AA56" s="138">
        <f t="shared" si="31"/>
        <v>1.0174934332337087</v>
      </c>
      <c r="AB56" s="17">
        <f t="shared" si="32"/>
        <v>1.6559305037912768</v>
      </c>
      <c r="AC56" s="311">
        <f t="shared" si="33"/>
        <v>0.62742953485829978</v>
      </c>
      <c r="AD56" s="316">
        <f t="shared" si="34"/>
        <v>0.99995044300554115</v>
      </c>
      <c r="AE56" s="21">
        <f t="shared" si="35"/>
        <v>1.6273799778638409</v>
      </c>
      <c r="AF56" s="170">
        <f>Sizing!DU70</f>
        <v>2.8934969275004128</v>
      </c>
      <c r="AG56" s="170">
        <f>Sizing!DV70</f>
        <v>1.7010281971503038</v>
      </c>
      <c r="AH56" s="170">
        <f>Sizing!DW70</f>
        <v>2.8934969275004128</v>
      </c>
      <c r="AI56" s="272">
        <f>Sizing!DX70</f>
        <v>1.7010281971503038</v>
      </c>
      <c r="AJ56" s="216">
        <f>Sizing!GJ70</f>
        <v>0.75</v>
      </c>
      <c r="AK56" s="216">
        <f>Sizing!GK70</f>
        <v>6.2992125984251982E-2</v>
      </c>
      <c r="AL56" s="17">
        <f>Sizing!GL70</f>
        <v>6.2992125984251982E-2</v>
      </c>
      <c r="AM56" s="216">
        <f t="shared" si="9"/>
        <v>9.6718750946741469E-3</v>
      </c>
      <c r="AN56" s="138">
        <f t="shared" si="10"/>
        <v>2.1676378888652054E-3</v>
      </c>
      <c r="AO56" s="138">
        <f t="shared" si="11"/>
        <v>1.1839512983539352E-2</v>
      </c>
      <c r="AP56" s="311">
        <f t="shared" si="36"/>
        <v>0.29679577737286694</v>
      </c>
      <c r="AQ56" s="11">
        <f t="shared" si="37"/>
        <v>6.6517171281801346E-2</v>
      </c>
      <c r="AR56" s="21">
        <f t="shared" si="38"/>
        <v>0.36331294865466829</v>
      </c>
      <c r="AS56" s="11">
        <f t="shared" si="12"/>
        <v>0.51353469139040597</v>
      </c>
      <c r="AT56" s="21">
        <f t="shared" si="39"/>
        <v>0.51353469139040597</v>
      </c>
      <c r="AU56" s="170">
        <f>Sizing!JC70</f>
        <v>4.3725358123599019E-2</v>
      </c>
      <c r="AV56" s="272">
        <f>Sizing!JD70</f>
        <v>0.20910609298535282</v>
      </c>
      <c r="AW56" s="170">
        <f>Sizing!JC70</f>
        <v>4.3725358123599019E-2</v>
      </c>
      <c r="AX56" s="272">
        <f>Sizing!JD70</f>
        <v>0.20910609298535282</v>
      </c>
      <c r="AY56" s="216">
        <f>Sizing!IT70</f>
        <v>0.5</v>
      </c>
      <c r="AZ56" s="216">
        <f>Sizing!IU70</f>
        <v>1.5748031496062995E-2</v>
      </c>
      <c r="BA56" s="17">
        <f>Sizing!IV70</f>
        <v>1.5748031496062995E-2</v>
      </c>
      <c r="BB56" s="216">
        <f t="shared" si="13"/>
        <v>2.4179687736685367E-3</v>
      </c>
      <c r="BC56" s="138">
        <f t="shared" si="14"/>
        <v>1.4450919259101369E-3</v>
      </c>
      <c r="BD56" s="138">
        <f t="shared" si="15"/>
        <v>3.8630606995786734E-3</v>
      </c>
      <c r="BE56" s="311">
        <f t="shared" si="16"/>
        <v>3.7099472171608368E-2</v>
      </c>
      <c r="BF56" s="11">
        <f t="shared" si="17"/>
        <v>2.2172390427267114E-2</v>
      </c>
      <c r="BG56" s="21">
        <f t="shared" si="18"/>
        <v>5.9271862598875479E-2</v>
      </c>
      <c r="BH56" s="21">
        <f t="shared" si="19"/>
        <v>7.7603290594592152E-3</v>
      </c>
      <c r="BI56" s="21">
        <f t="shared" si="20"/>
        <v>7.7603290594592152E-3</v>
      </c>
      <c r="BJ56" s="561"/>
      <c r="BK56">
        <f t="shared" si="21"/>
        <v>2.4536582149999999</v>
      </c>
      <c r="BL56">
        <f t="shared" si="22"/>
        <v>2.4536582149999999</v>
      </c>
      <c r="BM56">
        <f>C56*'Inputs-Imperial'!$E$12</f>
        <v>1.2268291075</v>
      </c>
      <c r="BN56">
        <f>C56*'Inputs-Imperial'!$E$12</f>
        <v>1.2268291075</v>
      </c>
      <c r="BO56">
        <f>C56*'Inputs-Imperial'!$E$12</f>
        <v>1.2268291075</v>
      </c>
      <c r="BP56">
        <f>C56*'Weight '!$E$15</f>
        <v>2.4536582149999999</v>
      </c>
      <c r="BQ56">
        <f>C56*'Weight '!$E$15</f>
        <v>2.4536582149999999</v>
      </c>
      <c r="BR56">
        <f>C56*'Weight '!$E$15</f>
        <v>2.4536582149999999</v>
      </c>
      <c r="BS56">
        <f t="shared" si="23"/>
        <v>9.9453985333472215</v>
      </c>
      <c r="BT56" s="564">
        <f t="shared" si="24"/>
        <v>4.7484853338083921</v>
      </c>
      <c r="BU56">
        <f t="shared" si="40"/>
        <v>2.0944359799403207</v>
      </c>
    </row>
    <row r="57" spans="1:73" x14ac:dyDescent="0.25">
      <c r="A57" s="186">
        <v>11</v>
      </c>
      <c r="B57" s="187">
        <f>A57/100*'Inputs-Imperial'!$E$5</f>
        <v>2.6489502159999998</v>
      </c>
      <c r="C57" s="188">
        <f>'Inputs-Imperial'!$E$10+('Inputs-Imperial'!$E$9-'Inputs-Imperial'!$E$10)*(100-A57)/100</f>
        <v>4.8895178730000008</v>
      </c>
      <c r="D57" s="187">
        <f t="shared" si="25"/>
        <v>0.24081365599999982</v>
      </c>
      <c r="E57" s="188">
        <f t="shared" si="26"/>
        <v>1.17960574286582</v>
      </c>
      <c r="F57" s="423">
        <f>Sizing!F71</f>
        <v>839.43602285760687</v>
      </c>
      <c r="G57" s="423">
        <f>Sizing!G71</f>
        <v>8394.360228576068</v>
      </c>
      <c r="H57" s="423">
        <f>Sizing!H71</f>
        <v>80940.492245111818</v>
      </c>
      <c r="I57" s="423">
        <f>Sizing!I71</f>
        <v>-19494.573930277678</v>
      </c>
      <c r="J57" s="189">
        <f>Sizing!J71</f>
        <v>8094.0492245111882</v>
      </c>
      <c r="K57" s="128">
        <v>11</v>
      </c>
      <c r="L57" s="12">
        <f t="shared" si="5"/>
        <v>31.787402591999999</v>
      </c>
      <c r="M57" s="11">
        <f t="shared" si="5"/>
        <v>58.67421447600001</v>
      </c>
      <c r="N57" s="11">
        <f t="shared" si="5"/>
        <v>2.8897638719999978</v>
      </c>
      <c r="O57" s="152">
        <f t="shared" si="27"/>
        <v>169.86322697267809</v>
      </c>
      <c r="P57" s="8">
        <f t="shared" si="0"/>
        <v>10.561358605680001</v>
      </c>
      <c r="Q57" s="12">
        <f t="shared" si="28"/>
        <v>30.575380855082052</v>
      </c>
      <c r="R57" s="8">
        <f t="shared" si="1"/>
        <v>5.2806793028400003</v>
      </c>
      <c r="S57" s="12">
        <f t="shared" si="29"/>
        <v>15.287690427541026</v>
      </c>
      <c r="T57" s="17">
        <f>Sizing!CN71</f>
        <v>2</v>
      </c>
      <c r="U57" s="17">
        <f>Sizing!CO71</f>
        <v>2.3622047244094495E-2</v>
      </c>
      <c r="V57" s="17">
        <f>Sizing!CP71</f>
        <v>2.3622047244094495E-2</v>
      </c>
      <c r="W57" s="128">
        <f t="shared" si="6"/>
        <v>3.6269531605028051E-3</v>
      </c>
      <c r="X57" s="2">
        <f t="shared" si="7"/>
        <v>5.7803677036405475E-3</v>
      </c>
      <c r="Y57" s="2">
        <f t="shared" si="8"/>
        <v>9.4073208641433526E-3</v>
      </c>
      <c r="Z57" s="216">
        <f t="shared" si="30"/>
        <v>0.63612568731789665</v>
      </c>
      <c r="AA57" s="138">
        <f t="shared" si="31"/>
        <v>1.013809722847032</v>
      </c>
      <c r="AB57" s="17">
        <f t="shared" si="32"/>
        <v>1.6499354101649284</v>
      </c>
      <c r="AC57" s="311">
        <f t="shared" si="33"/>
        <v>0.62515800305379499</v>
      </c>
      <c r="AD57" s="316">
        <f t="shared" si="34"/>
        <v>0.99633024486691057</v>
      </c>
      <c r="AE57" s="21">
        <f t="shared" si="35"/>
        <v>1.6214882479207056</v>
      </c>
      <c r="AF57" s="170">
        <f>Sizing!DU71</f>
        <v>2.8934969275004128</v>
      </c>
      <c r="AG57" s="170">
        <f>Sizing!DV71</f>
        <v>1.7010281971503038</v>
      </c>
      <c r="AH57" s="170">
        <f>Sizing!DW71</f>
        <v>2.8934969275004128</v>
      </c>
      <c r="AI57" s="272">
        <f>Sizing!DX71</f>
        <v>1.7010281971503038</v>
      </c>
      <c r="AJ57" s="216">
        <f>Sizing!GJ71</f>
        <v>0.75</v>
      </c>
      <c r="AK57" s="216">
        <f>Sizing!GK71</f>
        <v>6.2992125984251982E-2</v>
      </c>
      <c r="AL57" s="17">
        <f>Sizing!GL71</f>
        <v>6.2992125984251982E-2</v>
      </c>
      <c r="AM57" s="216">
        <f t="shared" si="9"/>
        <v>9.6718750946741469E-3</v>
      </c>
      <c r="AN57" s="138">
        <f t="shared" si="10"/>
        <v>2.1676378888652054E-3</v>
      </c>
      <c r="AO57" s="138">
        <f t="shared" si="11"/>
        <v>1.1839512983539352E-2</v>
      </c>
      <c r="AP57" s="311">
        <f t="shared" si="36"/>
        <v>0.2957212646024448</v>
      </c>
      <c r="AQ57" s="11">
        <f t="shared" si="37"/>
        <v>6.6276354007959684E-2</v>
      </c>
      <c r="AR57" s="21">
        <f t="shared" si="38"/>
        <v>0.36199761861040453</v>
      </c>
      <c r="AS57" s="11">
        <f t="shared" si="12"/>
        <v>0.51353469139040508</v>
      </c>
      <c r="AT57" s="21">
        <f t="shared" si="39"/>
        <v>0.51353469139040508</v>
      </c>
      <c r="AU57" s="170">
        <f>Sizing!JC71</f>
        <v>4.3725358123599019E-2</v>
      </c>
      <c r="AV57" s="272">
        <f>Sizing!JD71</f>
        <v>0.20910609298535282</v>
      </c>
      <c r="AW57" s="170">
        <f>Sizing!JC71</f>
        <v>4.3725358123599019E-2</v>
      </c>
      <c r="AX57" s="272">
        <f>Sizing!JD71</f>
        <v>0.20910609298535282</v>
      </c>
      <c r="AY57" s="216">
        <f>Sizing!IT71</f>
        <v>0.5</v>
      </c>
      <c r="AZ57" s="216">
        <f>Sizing!IU71</f>
        <v>1.5748031496062995E-2</v>
      </c>
      <c r="BA57" s="17">
        <f>Sizing!IV71</f>
        <v>1.5748031496062995E-2</v>
      </c>
      <c r="BB57" s="216">
        <f t="shared" si="13"/>
        <v>2.4179687736685367E-3</v>
      </c>
      <c r="BC57" s="138">
        <f t="shared" si="14"/>
        <v>1.4450919259101369E-3</v>
      </c>
      <c r="BD57" s="138">
        <f t="shared" si="15"/>
        <v>3.8630606995786734E-3</v>
      </c>
      <c r="BE57" s="311">
        <f t="shared" si="16"/>
        <v>3.69651580753056E-2</v>
      </c>
      <c r="BF57" s="11">
        <f t="shared" si="17"/>
        <v>2.2092118002653226E-2</v>
      </c>
      <c r="BG57" s="21">
        <f t="shared" si="18"/>
        <v>5.9057276077958826E-2</v>
      </c>
      <c r="BH57" s="21">
        <f t="shared" si="19"/>
        <v>7.7603290594591996E-3</v>
      </c>
      <c r="BI57" s="21">
        <f t="shared" si="20"/>
        <v>7.7603290594591996E-3</v>
      </c>
      <c r="BJ57" s="561"/>
      <c r="BK57">
        <f t="shared" si="21"/>
        <v>2.4447589365000004</v>
      </c>
      <c r="BL57">
        <f t="shared" si="22"/>
        <v>2.4447589365000004</v>
      </c>
      <c r="BM57">
        <f>C57*'Inputs-Imperial'!$E$12</f>
        <v>1.2223794682500002</v>
      </c>
      <c r="BN57">
        <f>C57*'Inputs-Imperial'!$E$12</f>
        <v>1.2223794682500002</v>
      </c>
      <c r="BO57">
        <f>C57*'Inputs-Imperial'!$E$12</f>
        <v>1.2223794682500002</v>
      </c>
      <c r="BP57">
        <f>C57*'Weight '!$E$15</f>
        <v>2.4447589365000004</v>
      </c>
      <c r="BQ57">
        <f>C57*'Weight '!$E$15</f>
        <v>2.4447589365000004</v>
      </c>
      <c r="BR57">
        <f>C57*'Weight '!$E$15</f>
        <v>2.4447589365000004</v>
      </c>
      <c r="BS57">
        <f t="shared" si="23"/>
        <v>9.8781342768001164</v>
      </c>
      <c r="BT57" s="564">
        <f t="shared" si="24"/>
        <v>4.7350685936737253</v>
      </c>
      <c r="BU57">
        <f t="shared" si="40"/>
        <v>2.0861649797423776</v>
      </c>
    </row>
    <row r="58" spans="1:73" x14ac:dyDescent="0.25">
      <c r="A58" s="186">
        <v>12</v>
      </c>
      <c r="B58" s="187">
        <f>A58/100*'Inputs-Imperial'!$E$5</f>
        <v>2.8897638719999996</v>
      </c>
      <c r="C58" s="188">
        <f>'Inputs-Imperial'!$E$10+('Inputs-Imperial'!$E$9-'Inputs-Imperial'!$E$10)*(100-A58)/100</f>
        <v>4.8717193160000001</v>
      </c>
      <c r="D58" s="187">
        <f t="shared" si="25"/>
        <v>0.24081365599999982</v>
      </c>
      <c r="E58" s="188">
        <f t="shared" si="26"/>
        <v>1.1753196072831258</v>
      </c>
      <c r="F58" s="423">
        <f>Sizing!F72</f>
        <v>827.64805300830585</v>
      </c>
      <c r="G58" s="423">
        <f>Sizing!G72</f>
        <v>8276.4805300830576</v>
      </c>
      <c r="H58" s="423">
        <f>Sizing!H72</f>
        <v>78919.015668687425</v>
      </c>
      <c r="I58" s="423">
        <f>Sizing!I72</f>
        <v>-19164.737122816216</v>
      </c>
      <c r="J58" s="189">
        <f>Sizing!J72</f>
        <v>7891.9015668687489</v>
      </c>
      <c r="K58" s="128">
        <v>12</v>
      </c>
      <c r="L58" s="12">
        <f t="shared" si="5"/>
        <v>34.677166463999995</v>
      </c>
      <c r="M58" s="11">
        <f t="shared" si="5"/>
        <v>58.460631792000001</v>
      </c>
      <c r="N58" s="11">
        <f t="shared" si="5"/>
        <v>2.8897638719999978</v>
      </c>
      <c r="O58" s="152">
        <f t="shared" si="27"/>
        <v>169.2460234487701</v>
      </c>
      <c r="P58" s="8">
        <f t="shared" si="0"/>
        <v>10.52291372256</v>
      </c>
      <c r="Q58" s="12">
        <f t="shared" si="28"/>
        <v>30.464284220778616</v>
      </c>
      <c r="R58" s="8">
        <f t="shared" si="1"/>
        <v>5.2614568612800001</v>
      </c>
      <c r="S58" s="12">
        <f t="shared" si="29"/>
        <v>15.232142110389308</v>
      </c>
      <c r="T58" s="17">
        <f>Sizing!CN72</f>
        <v>2</v>
      </c>
      <c r="U58" s="17">
        <f>Sizing!CO72</f>
        <v>2.3622047244094495E-2</v>
      </c>
      <c r="V58" s="17">
        <f>Sizing!CP72</f>
        <v>2.3622047244094495E-2</v>
      </c>
      <c r="W58" s="128">
        <f t="shared" si="6"/>
        <v>3.6269531605028051E-3</v>
      </c>
      <c r="X58" s="2">
        <f t="shared" si="7"/>
        <v>5.7803677036405475E-3</v>
      </c>
      <c r="Y58" s="2">
        <f t="shared" si="8"/>
        <v>9.4073208641433526E-3</v>
      </c>
      <c r="Z58" s="216">
        <f t="shared" si="30"/>
        <v>0.63381430407822603</v>
      </c>
      <c r="AA58" s="138">
        <f t="shared" si="31"/>
        <v>1.0101260124603568</v>
      </c>
      <c r="AB58" s="17">
        <f t="shared" si="32"/>
        <v>1.6439403165385831</v>
      </c>
      <c r="AC58" s="311">
        <f t="shared" si="33"/>
        <v>0.62288647124929108</v>
      </c>
      <c r="AD58" s="316">
        <f t="shared" si="34"/>
        <v>0.99271004672828178</v>
      </c>
      <c r="AE58" s="21">
        <f t="shared" si="35"/>
        <v>1.6155965179775729</v>
      </c>
      <c r="AF58" s="170">
        <f>Sizing!DU72</f>
        <v>2.8934969275004128</v>
      </c>
      <c r="AG58" s="170">
        <f>Sizing!DV72</f>
        <v>1.7010281971503038</v>
      </c>
      <c r="AH58" s="170">
        <f>Sizing!DW72</f>
        <v>2.8934969275004128</v>
      </c>
      <c r="AI58" s="272">
        <f>Sizing!DX72</f>
        <v>1.7010281971503038</v>
      </c>
      <c r="AJ58" s="216">
        <f>Sizing!GJ72</f>
        <v>0.75</v>
      </c>
      <c r="AK58" s="216">
        <f>Sizing!GK72</f>
        <v>6.2992125984251982E-2</v>
      </c>
      <c r="AL58" s="17">
        <f>Sizing!GL72</f>
        <v>6.2992125984251982E-2</v>
      </c>
      <c r="AM58" s="216">
        <f t="shared" si="9"/>
        <v>9.6718750946741469E-3</v>
      </c>
      <c r="AN58" s="138">
        <f t="shared" si="10"/>
        <v>2.1676378888652054E-3</v>
      </c>
      <c r="AO58" s="138">
        <f t="shared" si="11"/>
        <v>1.1839512983539352E-2</v>
      </c>
      <c r="AP58" s="311">
        <f t="shared" si="36"/>
        <v>0.29464675183202332</v>
      </c>
      <c r="AQ58" s="11">
        <f t="shared" si="37"/>
        <v>6.6035536734118147E-2</v>
      </c>
      <c r="AR58" s="21">
        <f t="shared" si="38"/>
        <v>0.36068228856614143</v>
      </c>
      <c r="AS58" s="11">
        <f t="shared" si="12"/>
        <v>0.51353469139040508</v>
      </c>
      <c r="AT58" s="21">
        <f t="shared" si="39"/>
        <v>0.51353469139040508</v>
      </c>
      <c r="AU58" s="170">
        <f>Sizing!JC72</f>
        <v>4.3725358123599019E-2</v>
      </c>
      <c r="AV58" s="272">
        <f>Sizing!JD72</f>
        <v>0.20910609298535282</v>
      </c>
      <c r="AW58" s="170">
        <f>Sizing!JC72</f>
        <v>4.3725358123599019E-2</v>
      </c>
      <c r="AX58" s="272">
        <f>Sizing!JD72</f>
        <v>0.20910609298535282</v>
      </c>
      <c r="AY58" s="216">
        <f>Sizing!IT72</f>
        <v>0.5</v>
      </c>
      <c r="AZ58" s="216">
        <f>Sizing!IU72</f>
        <v>1.5748031496062995E-2</v>
      </c>
      <c r="BA58" s="17">
        <f>Sizing!IV72</f>
        <v>1.5748031496062995E-2</v>
      </c>
      <c r="BB58" s="216">
        <f t="shared" si="13"/>
        <v>2.4179687736685367E-3</v>
      </c>
      <c r="BC58" s="138">
        <f t="shared" si="14"/>
        <v>1.4450919259101369E-3</v>
      </c>
      <c r="BD58" s="138">
        <f t="shared" si="15"/>
        <v>3.8630606995786734E-3</v>
      </c>
      <c r="BE58" s="311">
        <f t="shared" si="16"/>
        <v>3.6830843979002915E-2</v>
      </c>
      <c r="BF58" s="11">
        <f t="shared" si="17"/>
        <v>2.2011845578039382E-2</v>
      </c>
      <c r="BG58" s="21">
        <f t="shared" si="18"/>
        <v>5.8842689557042291E-2</v>
      </c>
      <c r="BH58" s="21">
        <f t="shared" si="19"/>
        <v>7.7603290594591996E-3</v>
      </c>
      <c r="BI58" s="21">
        <f t="shared" si="20"/>
        <v>7.7603290594591996E-3</v>
      </c>
      <c r="BJ58" s="561"/>
      <c r="BK58">
        <f t="shared" si="21"/>
        <v>2.435859658</v>
      </c>
      <c r="BL58">
        <f t="shared" si="22"/>
        <v>2.435859658</v>
      </c>
      <c r="BM58">
        <f>C58*'Inputs-Imperial'!$E$12</f>
        <v>1.217929829</v>
      </c>
      <c r="BN58">
        <f>C58*'Inputs-Imperial'!$E$12</f>
        <v>1.217929829</v>
      </c>
      <c r="BO58">
        <f>C58*'Inputs-Imperial'!$E$12</f>
        <v>1.217929829</v>
      </c>
      <c r="BP58">
        <f>C58*'Weight '!$E$15</f>
        <v>2.435859658</v>
      </c>
      <c r="BQ58">
        <f>C58*'Weight '!$E$15</f>
        <v>2.435859658</v>
      </c>
      <c r="BR58">
        <f>C58*'Weight '!$E$15</f>
        <v>2.435859658</v>
      </c>
      <c r="BS58">
        <f t="shared" si="23"/>
        <v>9.8110971133786826</v>
      </c>
      <c r="BT58" s="564">
        <f t="shared" si="24"/>
        <v>4.7216518535390675</v>
      </c>
      <c r="BU58">
        <f t="shared" si="40"/>
        <v>2.0778950709855644</v>
      </c>
    </row>
    <row r="59" spans="1:73" x14ac:dyDescent="0.25">
      <c r="A59" s="186">
        <v>13</v>
      </c>
      <c r="B59" s="187">
        <f>A59/100*'Inputs-Imperial'!$E$5</f>
        <v>3.1305775279999999</v>
      </c>
      <c r="C59" s="188">
        <f>'Inputs-Imperial'!$E$10+('Inputs-Imperial'!$E$9-'Inputs-Imperial'!$E$10)*(100-A59)/100</f>
        <v>4.8539207590000011</v>
      </c>
      <c r="D59" s="187">
        <f t="shared" si="25"/>
        <v>0.24081365600000026</v>
      </c>
      <c r="E59" s="188">
        <f t="shared" si="26"/>
        <v>1.1710334717004336</v>
      </c>
      <c r="F59" s="423">
        <f>Sizing!F73</f>
        <v>815.88815120685547</v>
      </c>
      <c r="G59" s="423">
        <f>Sizing!G73</f>
        <v>8158.881512068554</v>
      </c>
      <c r="H59" s="423">
        <f>Sizing!H73</f>
        <v>76925.92613342531</v>
      </c>
      <c r="I59" s="423">
        <f>Sizing!I73</f>
        <v>-18836.478929192934</v>
      </c>
      <c r="J59" s="189">
        <f>Sizing!J73</f>
        <v>7692.5926133425364</v>
      </c>
      <c r="K59" s="128">
        <v>13</v>
      </c>
      <c r="L59" s="12">
        <f t="shared" si="5"/>
        <v>37.566930335999999</v>
      </c>
      <c r="M59" s="11">
        <f t="shared" si="5"/>
        <v>58.247049108000013</v>
      </c>
      <c r="N59" s="11">
        <f t="shared" si="5"/>
        <v>2.8897638720000032</v>
      </c>
      <c r="O59" s="152">
        <f t="shared" si="27"/>
        <v>168.62881992486243</v>
      </c>
      <c r="P59" s="8">
        <f t="shared" si="0"/>
        <v>10.484468839440002</v>
      </c>
      <c r="Q59" s="12">
        <f t="shared" si="28"/>
        <v>30.35318758647524</v>
      </c>
      <c r="R59" s="8">
        <f t="shared" si="1"/>
        <v>5.2422344197200008</v>
      </c>
      <c r="S59" s="12">
        <f t="shared" si="29"/>
        <v>15.17659379323762</v>
      </c>
      <c r="T59" s="17">
        <f>Sizing!CN73</f>
        <v>2</v>
      </c>
      <c r="U59" s="17">
        <f>Sizing!CO73</f>
        <v>2.3622047244094495E-2</v>
      </c>
      <c r="V59" s="17">
        <f>Sizing!CP73</f>
        <v>2.3622047244094495E-2</v>
      </c>
      <c r="W59" s="128">
        <f t="shared" si="6"/>
        <v>3.6269531605028051E-3</v>
      </c>
      <c r="X59" s="2">
        <f t="shared" si="7"/>
        <v>5.7803677036405475E-3</v>
      </c>
      <c r="Y59" s="2">
        <f t="shared" si="8"/>
        <v>9.4073208641433526E-3</v>
      </c>
      <c r="Z59" s="216">
        <f t="shared" si="30"/>
        <v>0.63150292083855675</v>
      </c>
      <c r="AA59" s="138">
        <f t="shared" si="31"/>
        <v>1.0064423020736839</v>
      </c>
      <c r="AB59" s="17">
        <f t="shared" si="32"/>
        <v>1.6379452229122407</v>
      </c>
      <c r="AC59" s="311">
        <f t="shared" si="33"/>
        <v>0.62061493944478852</v>
      </c>
      <c r="AD59" s="316">
        <f t="shared" si="34"/>
        <v>0.98908984858965487</v>
      </c>
      <c r="AE59" s="21">
        <f t="shared" si="35"/>
        <v>1.6097047880344435</v>
      </c>
      <c r="AF59" s="170">
        <f>Sizing!DU73</f>
        <v>2.8934969275004128</v>
      </c>
      <c r="AG59" s="170">
        <f>Sizing!DV73</f>
        <v>1.7010281971503038</v>
      </c>
      <c r="AH59" s="170">
        <f>Sizing!DW73</f>
        <v>2.8934969275004128</v>
      </c>
      <c r="AI59" s="272">
        <f>Sizing!DX73</f>
        <v>1.7010281971503038</v>
      </c>
      <c r="AJ59" s="216">
        <f>Sizing!GJ73</f>
        <v>0.75</v>
      </c>
      <c r="AK59" s="216">
        <f>Sizing!GK73</f>
        <v>6.2992125984251982E-2</v>
      </c>
      <c r="AL59" s="17">
        <f>Sizing!GL73</f>
        <v>6.2992125984251982E-2</v>
      </c>
      <c r="AM59" s="216">
        <f t="shared" si="9"/>
        <v>9.6718750946741469E-3</v>
      </c>
      <c r="AN59" s="138">
        <f t="shared" si="10"/>
        <v>2.1676378888652054E-3</v>
      </c>
      <c r="AO59" s="138">
        <f t="shared" si="11"/>
        <v>1.1839512983539352E-2</v>
      </c>
      <c r="AP59" s="311">
        <f t="shared" si="36"/>
        <v>0.29357223906160235</v>
      </c>
      <c r="AQ59" s="11">
        <f t="shared" si="37"/>
        <v>6.5794719460276749E-2</v>
      </c>
      <c r="AR59" s="21">
        <f>AO59*$Q59</f>
        <v>0.35936695852187911</v>
      </c>
      <c r="AS59" s="11">
        <f t="shared" si="12"/>
        <v>0.51353469139040597</v>
      </c>
      <c r="AT59" s="21">
        <f t="shared" si="39"/>
        <v>0.51353469139040597</v>
      </c>
      <c r="AU59" s="170">
        <f>Sizing!JC73</f>
        <v>4.3725358123599019E-2</v>
      </c>
      <c r="AV59" s="272">
        <f>Sizing!JD73</f>
        <v>0.20910609298535282</v>
      </c>
      <c r="AW59" s="170">
        <f>Sizing!JC73</f>
        <v>4.3725358123599019E-2</v>
      </c>
      <c r="AX59" s="272">
        <f>Sizing!JD73</f>
        <v>0.20910609298535282</v>
      </c>
      <c r="AY59" s="216">
        <f>Sizing!IT73</f>
        <v>0.5</v>
      </c>
      <c r="AZ59" s="216">
        <f>Sizing!IU73</f>
        <v>1.5748031496062995E-2</v>
      </c>
      <c r="BA59" s="17">
        <f>Sizing!IV73</f>
        <v>1.5748031496062995E-2</v>
      </c>
      <c r="BB59" s="216">
        <f t="shared" si="13"/>
        <v>2.4179687736685367E-3</v>
      </c>
      <c r="BC59" s="138">
        <f t="shared" si="14"/>
        <v>1.4450919259101369E-3</v>
      </c>
      <c r="BD59" s="138">
        <f t="shared" si="15"/>
        <v>3.8630606995786734E-3</v>
      </c>
      <c r="BE59" s="311">
        <f t="shared" si="16"/>
        <v>3.6696529882700293E-2</v>
      </c>
      <c r="BF59" s="11">
        <f t="shared" si="17"/>
        <v>2.1931573153425581E-2</v>
      </c>
      <c r="BG59" s="21">
        <f t="shared" si="18"/>
        <v>5.8628103036125874E-2</v>
      </c>
      <c r="BH59" s="21">
        <f t="shared" si="19"/>
        <v>7.7603290594592152E-3</v>
      </c>
      <c r="BI59" s="21">
        <f t="shared" si="20"/>
        <v>7.7603290594592152E-3</v>
      </c>
      <c r="BJ59" s="561"/>
      <c r="BK59">
        <f t="shared" si="21"/>
        <v>2.4269603795000005</v>
      </c>
      <c r="BL59">
        <f t="shared" si="22"/>
        <v>2.4269603795000005</v>
      </c>
      <c r="BM59">
        <f>C59*'Inputs-Imperial'!$E$12</f>
        <v>1.2134801897500003</v>
      </c>
      <c r="BN59">
        <f>C59*'Inputs-Imperial'!$E$12</f>
        <v>1.2134801897500003</v>
      </c>
      <c r="BO59">
        <f>C59*'Inputs-Imperial'!$E$12</f>
        <v>1.2134801897500003</v>
      </c>
      <c r="BP59">
        <f>C59*'Weight '!$E$15</f>
        <v>2.4269603795000005</v>
      </c>
      <c r="BQ59">
        <f>C59*'Weight '!$E$15</f>
        <v>2.4269603795000005</v>
      </c>
      <c r="BR59">
        <f>C59*'Weight '!$E$15</f>
        <v>2.4269603795000005</v>
      </c>
      <c r="BS59">
        <f t="shared" si="23"/>
        <v>9.7442870430829309</v>
      </c>
      <c r="BT59" s="564">
        <f t="shared" si="24"/>
        <v>4.7082351134044194</v>
      </c>
      <c r="BU59">
        <f t="shared" si="40"/>
        <v>2.0696262630005013</v>
      </c>
    </row>
    <row r="60" spans="1:73" x14ac:dyDescent="0.25">
      <c r="A60" s="186">
        <v>14</v>
      </c>
      <c r="B60" s="187">
        <f>A60/100*'Inputs-Imperial'!$E$5</f>
        <v>3.3713911840000002</v>
      </c>
      <c r="C60" s="188">
        <f>'Inputs-Imperial'!$E$10+('Inputs-Imperial'!$E$9-'Inputs-Imperial'!$E$10)*(100-A60)/100</f>
        <v>4.8361222020000003</v>
      </c>
      <c r="D60" s="187">
        <f t="shared" si="25"/>
        <v>0.24081365600000026</v>
      </c>
      <c r="E60" s="188">
        <f t="shared" si="26"/>
        <v>1.1667473361177392</v>
      </c>
      <c r="F60" s="423">
        <f>Sizing!F74</f>
        <v>804.15695040383389</v>
      </c>
      <c r="G60" s="423">
        <f>Sizing!G74</f>
        <v>8041.569504038338</v>
      </c>
      <c r="H60" s="423">
        <f>Sizing!H74</f>
        <v>74961.156047633267</v>
      </c>
      <c r="I60" s="423">
        <f>Sizing!I74</f>
        <v>-18509.830867459314</v>
      </c>
      <c r="J60" s="189">
        <f>Sizing!J74</f>
        <v>7496.1156047633322</v>
      </c>
      <c r="K60" s="128">
        <v>14</v>
      </c>
      <c r="L60" s="12">
        <f t="shared" si="5"/>
        <v>40.456694208000002</v>
      </c>
      <c r="M60" s="11">
        <f t="shared" si="5"/>
        <v>58.033466424000004</v>
      </c>
      <c r="N60" s="11">
        <f t="shared" si="5"/>
        <v>2.8897638720000032</v>
      </c>
      <c r="O60" s="152">
        <f t="shared" si="27"/>
        <v>168.01161640095444</v>
      </c>
      <c r="P60" s="8">
        <f t="shared" si="0"/>
        <v>10.446023956319999</v>
      </c>
      <c r="Q60" s="12">
        <f t="shared" si="28"/>
        <v>30.2420909521718</v>
      </c>
      <c r="R60" s="8">
        <f t="shared" si="1"/>
        <v>5.2230119781599997</v>
      </c>
      <c r="S60" s="12">
        <f t="shared" si="29"/>
        <v>15.1210454760859</v>
      </c>
      <c r="T60" s="17">
        <f>Sizing!CN74</f>
        <v>2</v>
      </c>
      <c r="U60" s="17">
        <f>Sizing!CO74</f>
        <v>2.3622047244094495E-2</v>
      </c>
      <c r="V60" s="17">
        <f>Sizing!CP74</f>
        <v>2.3622047244094495E-2</v>
      </c>
      <c r="W60" s="128">
        <f t="shared" si="6"/>
        <v>3.6269531605028051E-3</v>
      </c>
      <c r="X60" s="2">
        <f t="shared" si="7"/>
        <v>5.7803677036405475E-3</v>
      </c>
      <c r="Y60" s="2">
        <f t="shared" si="8"/>
        <v>9.4073208641433526E-3</v>
      </c>
      <c r="Z60" s="216">
        <f t="shared" si="30"/>
        <v>0.62919153759888624</v>
      </c>
      <c r="AA60" s="138">
        <f t="shared" si="31"/>
        <v>1.002758591687009</v>
      </c>
      <c r="AB60" s="17">
        <f t="shared" si="32"/>
        <v>1.6319501292858953</v>
      </c>
      <c r="AC60" s="311">
        <f t="shared" si="33"/>
        <v>0.61834340764028473</v>
      </c>
      <c r="AD60" s="316">
        <f t="shared" si="34"/>
        <v>0.98546965045102597</v>
      </c>
      <c r="AE60" s="21">
        <f t="shared" si="35"/>
        <v>1.6038130580913108</v>
      </c>
      <c r="AF60" s="170">
        <f>Sizing!DU74</f>
        <v>2.8934969275004128</v>
      </c>
      <c r="AG60" s="170">
        <f>Sizing!DV74</f>
        <v>1.7010281971503038</v>
      </c>
      <c r="AH60" s="170">
        <f>Sizing!DW74</f>
        <v>2.8934969275004128</v>
      </c>
      <c r="AI60" s="272">
        <f>Sizing!DX74</f>
        <v>1.7010281971503038</v>
      </c>
      <c r="AJ60" s="216">
        <f>Sizing!GJ74</f>
        <v>0.75</v>
      </c>
      <c r="AK60" s="216">
        <f>Sizing!GK74</f>
        <v>6.2992125984251982E-2</v>
      </c>
      <c r="AL60" s="17">
        <f>Sizing!GL74</f>
        <v>6.2992125984251982E-2</v>
      </c>
      <c r="AM60" s="216">
        <f t="shared" si="9"/>
        <v>9.6718750946741469E-3</v>
      </c>
      <c r="AN60" s="138">
        <f t="shared" si="10"/>
        <v>2.1676378888652054E-3</v>
      </c>
      <c r="AO60" s="138">
        <f t="shared" si="11"/>
        <v>1.1839512983539352E-2</v>
      </c>
      <c r="AP60" s="311">
        <f t="shared" si="36"/>
        <v>0.29249772629118082</v>
      </c>
      <c r="AQ60" s="11">
        <f t="shared" si="37"/>
        <v>6.5553902186435212E-2</v>
      </c>
      <c r="AR60" s="21">
        <f t="shared" si="38"/>
        <v>0.35805162847761601</v>
      </c>
      <c r="AS60" s="11">
        <f t="shared" si="12"/>
        <v>0.51353469139040597</v>
      </c>
      <c r="AT60" s="21">
        <f t="shared" si="39"/>
        <v>0.51353469139040597</v>
      </c>
      <c r="AU60" s="170">
        <f>Sizing!JC74</f>
        <v>4.3725358123599019E-2</v>
      </c>
      <c r="AV60" s="272">
        <f>Sizing!JD74</f>
        <v>0.20910609298535282</v>
      </c>
      <c r="AW60" s="170">
        <f>Sizing!JC74</f>
        <v>4.3725358123599019E-2</v>
      </c>
      <c r="AX60" s="272">
        <f>Sizing!JD74</f>
        <v>0.20910609298535282</v>
      </c>
      <c r="AY60" s="216">
        <f>Sizing!IT74</f>
        <v>0.5</v>
      </c>
      <c r="AZ60" s="216">
        <f>Sizing!IU74</f>
        <v>1.5748031496062995E-2</v>
      </c>
      <c r="BA60" s="17">
        <f>Sizing!IV74</f>
        <v>1.5748031496062995E-2</v>
      </c>
      <c r="BB60" s="216">
        <f t="shared" si="13"/>
        <v>2.4179687736685367E-3</v>
      </c>
      <c r="BC60" s="138">
        <f t="shared" si="14"/>
        <v>1.4450919259101369E-3</v>
      </c>
      <c r="BD60" s="138">
        <f t="shared" si="15"/>
        <v>3.8630606995786734E-3</v>
      </c>
      <c r="BE60" s="311">
        <f t="shared" si="16"/>
        <v>3.6562215786397602E-2</v>
      </c>
      <c r="BF60" s="11">
        <f t="shared" si="17"/>
        <v>2.1851300728811737E-2</v>
      </c>
      <c r="BG60" s="21">
        <f t="shared" si="18"/>
        <v>5.8413516515209332E-2</v>
      </c>
      <c r="BH60" s="21">
        <f t="shared" si="19"/>
        <v>7.7603290594592152E-3</v>
      </c>
      <c r="BI60" s="21">
        <f t="shared" si="20"/>
        <v>7.7603290594592152E-3</v>
      </c>
      <c r="BJ60" s="561"/>
      <c r="BK60">
        <f t="shared" si="21"/>
        <v>2.4180611010000002</v>
      </c>
      <c r="BL60">
        <f t="shared" si="22"/>
        <v>2.4180611010000002</v>
      </c>
      <c r="BM60">
        <f>C60*'Inputs-Imperial'!$E$12</f>
        <v>1.2090305505000001</v>
      </c>
      <c r="BN60">
        <f>C60*'Inputs-Imperial'!$E$12</f>
        <v>1.2090305505000001</v>
      </c>
      <c r="BO60">
        <f>C60*'Inputs-Imperial'!$E$12</f>
        <v>1.2090305505000001</v>
      </c>
      <c r="BP60">
        <f>C60*'Weight '!$E$15</f>
        <v>2.4180611010000002</v>
      </c>
      <c r="BQ60">
        <f>C60*'Weight '!$E$15</f>
        <v>2.4180611010000002</v>
      </c>
      <c r="BR60">
        <f>C60*'Weight '!$E$15</f>
        <v>2.4180611010000002</v>
      </c>
      <c r="BS60">
        <f t="shared" si="23"/>
        <v>9.6777040659128151</v>
      </c>
      <c r="BT60" s="564">
        <f t="shared" si="24"/>
        <v>4.6948183732697615</v>
      </c>
      <c r="BU60">
        <f t="shared" si="40"/>
        <v>2.0613585652244657</v>
      </c>
    </row>
    <row r="61" spans="1:73" x14ac:dyDescent="0.25">
      <c r="A61" s="186">
        <v>15</v>
      </c>
      <c r="B61" s="187">
        <f>A61/100*'Inputs-Imperial'!$E$5</f>
        <v>3.6122048399999995</v>
      </c>
      <c r="C61" s="188">
        <f>'Inputs-Imperial'!$E$10+('Inputs-Imperial'!$E$9-'Inputs-Imperial'!$E$10)*(100-A61)/100</f>
        <v>4.8183236450000004</v>
      </c>
      <c r="D61" s="187">
        <f t="shared" si="25"/>
        <v>0.24081365599999938</v>
      </c>
      <c r="E61" s="188">
        <f t="shared" si="26"/>
        <v>1.1624612005350405</v>
      </c>
      <c r="F61" s="423">
        <f>Sizing!F75</f>
        <v>792.45508606647377</v>
      </c>
      <c r="G61" s="423">
        <f>Sizing!G75</f>
        <v>7924.5508606647372</v>
      </c>
      <c r="H61" s="423">
        <f>Sizing!H75</f>
        <v>73024.636295387696</v>
      </c>
      <c r="I61" s="423">
        <f>Sizing!I75</f>
        <v>-18184.824337765112</v>
      </c>
      <c r="J61" s="189">
        <f>Sizing!J75</f>
        <v>7302.4636295387745</v>
      </c>
      <c r="K61" s="128">
        <v>15</v>
      </c>
      <c r="L61" s="12">
        <f t="shared" si="5"/>
        <v>43.346458079999991</v>
      </c>
      <c r="M61" s="11">
        <f t="shared" si="5"/>
        <v>57.819883740000009</v>
      </c>
      <c r="N61" s="11">
        <f t="shared" si="5"/>
        <v>2.8897638719999925</v>
      </c>
      <c r="O61" s="152">
        <f t="shared" si="27"/>
        <v>167.39441287704585</v>
      </c>
      <c r="P61" s="8">
        <f t="shared" si="0"/>
        <v>10.407579073200001</v>
      </c>
      <c r="Q61" s="12">
        <f t="shared" si="28"/>
        <v>30.130994317868247</v>
      </c>
      <c r="R61" s="8">
        <f t="shared" si="1"/>
        <v>5.2037895366000004</v>
      </c>
      <c r="S61" s="12">
        <f t="shared" si="29"/>
        <v>15.065497158934123</v>
      </c>
      <c r="T61" s="17">
        <f>Sizing!CN75</f>
        <v>2</v>
      </c>
      <c r="U61" s="17">
        <f>Sizing!CO75</f>
        <v>2.3622047244094495E-2</v>
      </c>
      <c r="V61" s="17">
        <f>Sizing!CP75</f>
        <v>2.3622047244094495E-2</v>
      </c>
      <c r="W61" s="128">
        <f t="shared" si="6"/>
        <v>3.6269531605028051E-3</v>
      </c>
      <c r="X61" s="2">
        <f t="shared" si="7"/>
        <v>5.7803677036405475E-3</v>
      </c>
      <c r="Y61" s="2">
        <f t="shared" si="8"/>
        <v>9.4073208641433526E-3</v>
      </c>
      <c r="Z61" s="216">
        <f t="shared" si="30"/>
        <v>0.6268801543592134</v>
      </c>
      <c r="AA61" s="138">
        <f t="shared" si="31"/>
        <v>0.99907488130033051</v>
      </c>
      <c r="AB61" s="17">
        <f t="shared" si="32"/>
        <v>1.6259550356595438</v>
      </c>
      <c r="AC61" s="311">
        <f t="shared" si="33"/>
        <v>0.61607187583577872</v>
      </c>
      <c r="AD61" s="316">
        <f t="shared" si="34"/>
        <v>0.98184945231239373</v>
      </c>
      <c r="AE61" s="21">
        <f t="shared" si="35"/>
        <v>1.5979213281481723</v>
      </c>
      <c r="AF61" s="170">
        <f>Sizing!DU75</f>
        <v>2.8934969275004128</v>
      </c>
      <c r="AG61" s="170">
        <f>Sizing!DV75</f>
        <v>1.7010281971503038</v>
      </c>
      <c r="AH61" s="170">
        <f>Sizing!DW75</f>
        <v>2.8934969275004128</v>
      </c>
      <c r="AI61" s="272">
        <f>Sizing!DX75</f>
        <v>1.7010281971503038</v>
      </c>
      <c r="AJ61" s="216">
        <f>Sizing!GJ75</f>
        <v>0.75</v>
      </c>
      <c r="AK61" s="216">
        <f>Sizing!GK75</f>
        <v>6.2992125984251982E-2</v>
      </c>
      <c r="AL61" s="17">
        <f>Sizing!GL75</f>
        <v>6.2992125984251982E-2</v>
      </c>
      <c r="AM61" s="216">
        <f t="shared" si="9"/>
        <v>9.6718750946741469E-3</v>
      </c>
      <c r="AN61" s="138">
        <f t="shared" si="10"/>
        <v>2.1676378888652054E-3</v>
      </c>
      <c r="AO61" s="138">
        <f t="shared" si="11"/>
        <v>1.1839512983539352E-2</v>
      </c>
      <c r="AP61" s="311">
        <f t="shared" si="36"/>
        <v>0.29142321352075812</v>
      </c>
      <c r="AQ61" s="11">
        <f t="shared" si="37"/>
        <v>6.5313084912593425E-2</v>
      </c>
      <c r="AR61" s="21">
        <f t="shared" si="38"/>
        <v>0.35673629843335158</v>
      </c>
      <c r="AS61" s="11">
        <f t="shared" si="12"/>
        <v>0.51353469139040409</v>
      </c>
      <c r="AT61" s="21">
        <f t="shared" si="39"/>
        <v>0.51353469139040409</v>
      </c>
      <c r="AU61" s="170">
        <f>Sizing!JC75</f>
        <v>4.3725358123599019E-2</v>
      </c>
      <c r="AV61" s="272">
        <f>Sizing!JD75</f>
        <v>0.20910609298535282</v>
      </c>
      <c r="AW61" s="170">
        <f>Sizing!JC75</f>
        <v>4.3725358123599019E-2</v>
      </c>
      <c r="AX61" s="272">
        <f>Sizing!JD75</f>
        <v>0.20910609298535282</v>
      </c>
      <c r="AY61" s="216">
        <f>Sizing!IT75</f>
        <v>0.5</v>
      </c>
      <c r="AZ61" s="216">
        <f>Sizing!IU75</f>
        <v>1.5748031496062995E-2</v>
      </c>
      <c r="BA61" s="17">
        <f>Sizing!IV75</f>
        <v>1.5748031496062995E-2</v>
      </c>
      <c r="BB61" s="216">
        <f t="shared" si="13"/>
        <v>2.4179687736685367E-3</v>
      </c>
      <c r="BC61" s="138">
        <f t="shared" si="14"/>
        <v>1.4450919259101369E-3</v>
      </c>
      <c r="BD61" s="138">
        <f t="shared" si="15"/>
        <v>3.8630606995786734E-3</v>
      </c>
      <c r="BE61" s="311">
        <f t="shared" si="16"/>
        <v>3.6427901690094765E-2</v>
      </c>
      <c r="BF61" s="11">
        <f t="shared" si="17"/>
        <v>2.1771028304197807E-2</v>
      </c>
      <c r="BG61" s="21">
        <f t="shared" si="18"/>
        <v>5.8198929994292568E-2</v>
      </c>
      <c r="BH61" s="21">
        <f t="shared" si="19"/>
        <v>7.7603290594591857E-3</v>
      </c>
      <c r="BI61" s="21">
        <f t="shared" si="20"/>
        <v>7.7603290594591857E-3</v>
      </c>
      <c r="BJ61" s="561"/>
      <c r="BK61">
        <f t="shared" si="21"/>
        <v>2.4091618225000002</v>
      </c>
      <c r="BL61">
        <f t="shared" si="22"/>
        <v>2.4091618225000002</v>
      </c>
      <c r="BM61">
        <f>C61*'Inputs-Imperial'!$E$12</f>
        <v>1.2045809112500001</v>
      </c>
      <c r="BN61">
        <f>C61*'Inputs-Imperial'!$E$12</f>
        <v>1.2045809112500001</v>
      </c>
      <c r="BO61">
        <f>C61*'Inputs-Imperial'!$E$12</f>
        <v>1.2045809112500001</v>
      </c>
      <c r="BP61">
        <f>C61*'Weight '!$E$15</f>
        <v>2.4091618225000002</v>
      </c>
      <c r="BQ61">
        <f>C61*'Weight '!$E$15</f>
        <v>2.4091618225000002</v>
      </c>
      <c r="BR61">
        <f>C61*'Weight '!$E$15</f>
        <v>2.4091618225000002</v>
      </c>
      <c r="BS61">
        <f t="shared" si="23"/>
        <v>9.6113481818683244</v>
      </c>
      <c r="BT61" s="564">
        <f t="shared" si="24"/>
        <v>4.6814016331350867</v>
      </c>
      <c r="BU61">
        <f t="shared" si="40"/>
        <v>2.0530919872029232</v>
      </c>
    </row>
    <row r="62" spans="1:73" x14ac:dyDescent="0.25">
      <c r="A62" s="186">
        <v>16</v>
      </c>
      <c r="B62" s="187">
        <f>A62/100*'Inputs-Imperial'!$E$5</f>
        <v>3.8530184959999998</v>
      </c>
      <c r="C62" s="188">
        <f>'Inputs-Imperial'!$E$10+('Inputs-Imperial'!$E$9-'Inputs-Imperial'!$E$10)*(100-A62)/100</f>
        <v>4.8005250880000006</v>
      </c>
      <c r="D62" s="187">
        <f t="shared" si="25"/>
        <v>0.24081365600000026</v>
      </c>
      <c r="E62" s="188">
        <f t="shared" si="26"/>
        <v>1.1581750649523501</v>
      </c>
      <c r="F62" s="423">
        <f>Sizing!F76</f>
        <v>780.78319639095935</v>
      </c>
      <c r="G62" s="423">
        <f>Sizing!G76</f>
        <v>7807.8319639095926</v>
      </c>
      <c r="H62" s="423">
        <f>Sizing!H76</f>
        <v>71116.296230473075</v>
      </c>
      <c r="I62" s="423">
        <f>Sizing!I76</f>
        <v>-17861.490626991144</v>
      </c>
      <c r="J62" s="189">
        <f>Sizing!J76</f>
        <v>7111.6296230473117</v>
      </c>
      <c r="K62" s="128">
        <v>16</v>
      </c>
      <c r="L62" s="12">
        <f t="shared" si="5"/>
        <v>46.236221951999994</v>
      </c>
      <c r="M62" s="11">
        <f t="shared" si="5"/>
        <v>57.606301056000007</v>
      </c>
      <c r="N62" s="11">
        <f t="shared" si="5"/>
        <v>2.8897638720000032</v>
      </c>
      <c r="O62" s="152">
        <f t="shared" si="27"/>
        <v>166.7772093531384</v>
      </c>
      <c r="P62" s="8">
        <f t="shared" si="0"/>
        <v>10.36913419008</v>
      </c>
      <c r="Q62" s="12">
        <f t="shared" si="28"/>
        <v>30.01989768356492</v>
      </c>
      <c r="R62" s="8">
        <f t="shared" si="1"/>
        <v>5.1845670950400002</v>
      </c>
      <c r="S62" s="12">
        <f t="shared" si="29"/>
        <v>15.00994884178246</v>
      </c>
      <c r="T62" s="17">
        <f>Sizing!CN76</f>
        <v>2</v>
      </c>
      <c r="U62" s="17">
        <f>Sizing!CO76</f>
        <v>2.3622047244094495E-2</v>
      </c>
      <c r="V62" s="17">
        <f>Sizing!CP76</f>
        <v>2.3622047244094495E-2</v>
      </c>
      <c r="W62" s="128">
        <f t="shared" si="6"/>
        <v>3.6269531605028051E-3</v>
      </c>
      <c r="X62" s="2">
        <f t="shared" si="7"/>
        <v>5.7803677036405475E-3</v>
      </c>
      <c r="Y62" s="2">
        <f t="shared" si="8"/>
        <v>9.4073208641433526E-3</v>
      </c>
      <c r="Z62" s="216">
        <f t="shared" si="30"/>
        <v>0.6245687711195449</v>
      </c>
      <c r="AA62" s="138">
        <f t="shared" si="31"/>
        <v>0.99539117091365881</v>
      </c>
      <c r="AB62" s="17">
        <f t="shared" si="32"/>
        <v>1.6199599420332038</v>
      </c>
      <c r="AC62" s="311">
        <f t="shared" si="33"/>
        <v>0.61380034403127692</v>
      </c>
      <c r="AD62" s="316">
        <f t="shared" si="34"/>
        <v>0.97822925417376816</v>
      </c>
      <c r="AE62" s="21">
        <f t="shared" si="35"/>
        <v>1.592029598205045</v>
      </c>
      <c r="AF62" s="170">
        <f>Sizing!DU76</f>
        <v>2.8934969275004128</v>
      </c>
      <c r="AG62" s="170">
        <f>Sizing!DV76</f>
        <v>1.7010281971503038</v>
      </c>
      <c r="AH62" s="170">
        <f>Sizing!DW76</f>
        <v>2.8934969275004128</v>
      </c>
      <c r="AI62" s="272">
        <f>Sizing!DX76</f>
        <v>1.7010281971503038</v>
      </c>
      <c r="AJ62" s="216">
        <f>Sizing!GJ76</f>
        <v>0.75</v>
      </c>
      <c r="AK62" s="216">
        <f>Sizing!GK76</f>
        <v>6.2992125984251982E-2</v>
      </c>
      <c r="AL62" s="17">
        <f>Sizing!GL76</f>
        <v>6.2992125984251982E-2</v>
      </c>
      <c r="AM62" s="216">
        <f t="shared" si="9"/>
        <v>9.6718750946741469E-3</v>
      </c>
      <c r="AN62" s="138">
        <f t="shared" si="10"/>
        <v>2.1676378888652054E-3</v>
      </c>
      <c r="AO62" s="138">
        <f t="shared" si="11"/>
        <v>1.1839512983539352E-2</v>
      </c>
      <c r="AP62" s="311">
        <f t="shared" si="36"/>
        <v>0.2903487007503377</v>
      </c>
      <c r="AQ62" s="11">
        <f t="shared" si="37"/>
        <v>6.5072267638752138E-2</v>
      </c>
      <c r="AR62" s="21">
        <f t="shared" si="38"/>
        <v>0.35542096838908982</v>
      </c>
      <c r="AS62" s="11">
        <f t="shared" si="12"/>
        <v>0.51353469139040597</v>
      </c>
      <c r="AT62" s="21">
        <f t="shared" si="39"/>
        <v>0.51353469139040597</v>
      </c>
      <c r="AU62" s="170">
        <f>Sizing!JC76</f>
        <v>4.3725358123599019E-2</v>
      </c>
      <c r="AV62" s="272">
        <f>Sizing!JD76</f>
        <v>0.20910609298535282</v>
      </c>
      <c r="AW62" s="170">
        <f>Sizing!JC76</f>
        <v>4.3725358123599019E-2</v>
      </c>
      <c r="AX62" s="272">
        <f>Sizing!JD76</f>
        <v>0.20910609298535282</v>
      </c>
      <c r="AY62" s="216">
        <f>Sizing!IT76</f>
        <v>0.5</v>
      </c>
      <c r="AZ62" s="216">
        <f>Sizing!IU76</f>
        <v>1.5748031496062995E-2</v>
      </c>
      <c r="BA62" s="17">
        <f>Sizing!IV76</f>
        <v>1.5748031496062995E-2</v>
      </c>
      <c r="BB62" s="216">
        <f t="shared" si="13"/>
        <v>2.4179687736685367E-3</v>
      </c>
      <c r="BC62" s="138">
        <f t="shared" si="14"/>
        <v>1.4450919259101369E-3</v>
      </c>
      <c r="BD62" s="138">
        <f t="shared" si="15"/>
        <v>3.8630606995786734E-3</v>
      </c>
      <c r="BE62" s="311">
        <f t="shared" si="16"/>
        <v>3.6293587593792212E-2</v>
      </c>
      <c r="BF62" s="11">
        <f t="shared" si="17"/>
        <v>2.1690755879584044E-2</v>
      </c>
      <c r="BG62" s="21">
        <f t="shared" si="18"/>
        <v>5.7984343473376249E-2</v>
      </c>
      <c r="BH62" s="21">
        <f t="shared" si="19"/>
        <v>7.7603290594592152E-3</v>
      </c>
      <c r="BI62" s="21">
        <f t="shared" si="20"/>
        <v>7.7603290594592152E-3</v>
      </c>
      <c r="BJ62" s="561"/>
      <c r="BK62">
        <f t="shared" si="21"/>
        <v>2.4002625440000003</v>
      </c>
      <c r="BL62">
        <f t="shared" si="22"/>
        <v>2.4002625440000003</v>
      </c>
      <c r="BM62">
        <f>C62*'Inputs-Imperial'!$E$12</f>
        <v>1.2001312720000001</v>
      </c>
      <c r="BN62">
        <f>C62*'Inputs-Imperial'!$E$12</f>
        <v>1.2001312720000001</v>
      </c>
      <c r="BO62">
        <f>C62*'Inputs-Imperial'!$E$12</f>
        <v>1.2001312720000001</v>
      </c>
      <c r="BP62">
        <f>C62*'Weight '!$E$15</f>
        <v>2.4002625440000003</v>
      </c>
      <c r="BQ62">
        <f>C62*'Weight '!$E$15</f>
        <v>2.4002625440000003</v>
      </c>
      <c r="BR62">
        <f>C62*'Weight '!$E$15</f>
        <v>2.4002625440000003</v>
      </c>
      <c r="BS62">
        <f t="shared" si="23"/>
        <v>9.5452193909495566</v>
      </c>
      <c r="BT62" s="564">
        <f t="shared" si="24"/>
        <v>4.6679848930004448</v>
      </c>
      <c r="BU62">
        <f t="shared" si="40"/>
        <v>2.0448265385910807</v>
      </c>
    </row>
    <row r="63" spans="1:73" x14ac:dyDescent="0.25">
      <c r="A63" s="186">
        <v>17</v>
      </c>
      <c r="B63" s="187">
        <f>A63/100*'Inputs-Imperial'!$E$5</f>
        <v>4.0938321520000001</v>
      </c>
      <c r="C63" s="188">
        <f>'Inputs-Imperial'!$E$10+('Inputs-Imperial'!$E$9-'Inputs-Imperial'!$E$10)*(100-A63)/100</f>
        <v>4.7827265309999998</v>
      </c>
      <c r="D63" s="187">
        <f t="shared" si="25"/>
        <v>0.24081365600000026</v>
      </c>
      <c r="E63" s="188">
        <f t="shared" si="26"/>
        <v>1.1538889293696559</v>
      </c>
      <c r="F63" s="423">
        <f>Sizing!F77</f>
        <v>769.14192251909731</v>
      </c>
      <c r="G63" s="423">
        <f>Sizing!G77</f>
        <v>7691.4192251909717</v>
      </c>
      <c r="H63" s="423">
        <f>Sizing!H77</f>
        <v>69236.063669810348</v>
      </c>
      <c r="I63" s="423">
        <f>Sizing!I77</f>
        <v>-17539.860913395391</v>
      </c>
      <c r="J63" s="189">
        <f>Sizing!J77</f>
        <v>6923.6063669810383</v>
      </c>
      <c r="K63" s="128">
        <v>17</v>
      </c>
      <c r="L63" s="12">
        <f t="shared" si="5"/>
        <v>49.125985823999997</v>
      </c>
      <c r="M63" s="11">
        <f t="shared" si="5"/>
        <v>57.392718371999997</v>
      </c>
      <c r="N63" s="11">
        <f t="shared" si="5"/>
        <v>2.8897638720000032</v>
      </c>
      <c r="O63" s="152">
        <f t="shared" si="27"/>
        <v>166.16000582923044</v>
      </c>
      <c r="P63" s="8">
        <f t="shared" si="0"/>
        <v>10.330689306959998</v>
      </c>
      <c r="Q63" s="12">
        <f t="shared" si="28"/>
        <v>29.908801049261481</v>
      </c>
      <c r="R63" s="8">
        <f t="shared" si="1"/>
        <v>5.1653446534799992</v>
      </c>
      <c r="S63" s="12">
        <f t="shared" si="29"/>
        <v>14.95440052463074</v>
      </c>
      <c r="T63" s="17">
        <f>Sizing!CN77</f>
        <v>2</v>
      </c>
      <c r="U63" s="17">
        <f>Sizing!CO77</f>
        <v>2.3622047244094495E-2</v>
      </c>
      <c r="V63" s="17">
        <f>Sizing!CP77</f>
        <v>2.3622047244094495E-2</v>
      </c>
      <c r="W63" s="128">
        <f t="shared" si="6"/>
        <v>3.6269531605028051E-3</v>
      </c>
      <c r="X63" s="2">
        <f t="shared" si="7"/>
        <v>5.7803677036405475E-3</v>
      </c>
      <c r="Y63" s="2">
        <f t="shared" si="8"/>
        <v>9.4073208641433526E-3</v>
      </c>
      <c r="Z63" s="216">
        <f t="shared" si="30"/>
        <v>0.62225738787987461</v>
      </c>
      <c r="AA63" s="138">
        <f t="shared" si="31"/>
        <v>0.99170746052698422</v>
      </c>
      <c r="AB63" s="17">
        <f t="shared" si="32"/>
        <v>1.6139648484068587</v>
      </c>
      <c r="AC63" s="311">
        <f t="shared" si="33"/>
        <v>0.61152881222677324</v>
      </c>
      <c r="AD63" s="316">
        <f t="shared" si="34"/>
        <v>0.97460905603513959</v>
      </c>
      <c r="AE63" s="21">
        <f t="shared" si="35"/>
        <v>1.5861378682619129</v>
      </c>
      <c r="AF63" s="170">
        <f>Sizing!DU77</f>
        <v>2.8934969275004128</v>
      </c>
      <c r="AG63" s="170">
        <f>Sizing!DV77</f>
        <v>1.7010281971503038</v>
      </c>
      <c r="AH63" s="170">
        <f>Sizing!DW77</f>
        <v>2.8934969275004128</v>
      </c>
      <c r="AI63" s="272">
        <f>Sizing!DX77</f>
        <v>1.7010281971503038</v>
      </c>
      <c r="AJ63" s="216">
        <f>Sizing!GJ77</f>
        <v>0.75</v>
      </c>
      <c r="AK63" s="216">
        <f>Sizing!GK77</f>
        <v>6.2992125984251982E-2</v>
      </c>
      <c r="AL63" s="17">
        <f>Sizing!GL77</f>
        <v>6.2992125984251982E-2</v>
      </c>
      <c r="AM63" s="216">
        <f t="shared" si="9"/>
        <v>9.6718750946741469E-3</v>
      </c>
      <c r="AN63" s="138">
        <f t="shared" si="10"/>
        <v>2.1676378888652054E-3</v>
      </c>
      <c r="AO63" s="138">
        <f t="shared" si="11"/>
        <v>1.1839512983539352E-2</v>
      </c>
      <c r="AP63" s="311">
        <f t="shared" si="36"/>
        <v>0.28927418797991611</v>
      </c>
      <c r="AQ63" s="11">
        <f t="shared" si="37"/>
        <v>6.4831450364910601E-2</v>
      </c>
      <c r="AR63" s="21">
        <f t="shared" si="38"/>
        <v>0.35410563834482672</v>
      </c>
      <c r="AS63" s="11">
        <f t="shared" si="12"/>
        <v>0.51353469139040597</v>
      </c>
      <c r="AT63" s="21">
        <f t="shared" si="39"/>
        <v>0.51353469139040597</v>
      </c>
      <c r="AU63" s="170">
        <f>Sizing!JC77</f>
        <v>4.3725358123599019E-2</v>
      </c>
      <c r="AV63" s="272">
        <f>Sizing!JD77</f>
        <v>0.20910609298535282</v>
      </c>
      <c r="AW63" s="170">
        <f>Sizing!JC77</f>
        <v>4.3725358123599019E-2</v>
      </c>
      <c r="AX63" s="272">
        <f>Sizing!JD77</f>
        <v>0.20910609298535282</v>
      </c>
      <c r="AY63" s="216">
        <f>Sizing!IT77</f>
        <v>0.5</v>
      </c>
      <c r="AZ63" s="216">
        <f>Sizing!IU77</f>
        <v>1.5748031496062995E-2</v>
      </c>
      <c r="BA63" s="17">
        <f>Sizing!IV77</f>
        <v>1.5748031496062995E-2</v>
      </c>
      <c r="BB63" s="216">
        <f t="shared" si="13"/>
        <v>2.4179687736685367E-3</v>
      </c>
      <c r="BC63" s="138">
        <f t="shared" si="14"/>
        <v>1.4450919259101369E-3</v>
      </c>
      <c r="BD63" s="138">
        <f t="shared" si="15"/>
        <v>3.8630606995786734E-3</v>
      </c>
      <c r="BE63" s="311">
        <f t="shared" si="16"/>
        <v>3.6159273497489514E-2</v>
      </c>
      <c r="BF63" s="11">
        <f t="shared" si="17"/>
        <v>2.1610483454970197E-2</v>
      </c>
      <c r="BG63" s="21">
        <f t="shared" si="18"/>
        <v>5.7769756952459707E-2</v>
      </c>
      <c r="BH63" s="21">
        <f t="shared" si="19"/>
        <v>7.7603290594592152E-3</v>
      </c>
      <c r="BI63" s="21">
        <f t="shared" si="20"/>
        <v>7.7603290594592152E-3</v>
      </c>
      <c r="BJ63" s="561"/>
      <c r="BK63">
        <f t="shared" si="21"/>
        <v>2.3913632654999999</v>
      </c>
      <c r="BL63">
        <f t="shared" si="22"/>
        <v>2.3913632654999999</v>
      </c>
      <c r="BM63">
        <f>C63*'Inputs-Imperial'!$E$12</f>
        <v>1.1956816327499999</v>
      </c>
      <c r="BN63">
        <f>C63*'Inputs-Imperial'!$E$12</f>
        <v>1.1956816327499999</v>
      </c>
      <c r="BO63">
        <f>C63*'Inputs-Imperial'!$E$12</f>
        <v>1.1956816327499999</v>
      </c>
      <c r="BP63">
        <f>C63*'Weight '!$E$15</f>
        <v>2.3913632654999999</v>
      </c>
      <c r="BQ63">
        <f>C63*'Weight '!$E$15</f>
        <v>2.3913632654999999</v>
      </c>
      <c r="BR63">
        <f>C63*'Weight '!$E$15</f>
        <v>2.3913632654999999</v>
      </c>
      <c r="BS63">
        <f t="shared" si="23"/>
        <v>9.4793176931564158</v>
      </c>
      <c r="BT63" s="564">
        <f t="shared" si="24"/>
        <v>4.6545681528657878</v>
      </c>
      <c r="BU63">
        <f t="shared" si="40"/>
        <v>2.0365622291554719</v>
      </c>
    </row>
    <row r="64" spans="1:73" x14ac:dyDescent="0.25">
      <c r="A64" s="186">
        <v>18</v>
      </c>
      <c r="B64" s="187">
        <f>A64/100*'Inputs-Imperial'!$E$5</f>
        <v>4.3346458079999994</v>
      </c>
      <c r="C64" s="188">
        <f>'Inputs-Imperial'!$E$10+('Inputs-Imperial'!$E$9-'Inputs-Imperial'!$E$10)*(100-A64)/100</f>
        <v>4.7649279740000008</v>
      </c>
      <c r="D64" s="187">
        <f t="shared" si="25"/>
        <v>0.24081365599999938</v>
      </c>
      <c r="E64" s="188">
        <f t="shared" si="26"/>
        <v>1.1496027937869573</v>
      </c>
      <c r="F64" s="423">
        <f>Sizing!F78</f>
        <v>757.53190875975486</v>
      </c>
      <c r="G64" s="423">
        <f>Sizing!G78</f>
        <v>7575.3190875975479</v>
      </c>
      <c r="H64" s="423">
        <f>Sizing!H78</f>
        <v>67383.86488636343</v>
      </c>
      <c r="I64" s="423">
        <f>Sizing!I78</f>
        <v>-17219.96627128018</v>
      </c>
      <c r="J64" s="189">
        <f>Sizing!J78</f>
        <v>6738.3864886363463</v>
      </c>
      <c r="K64" s="128">
        <v>18</v>
      </c>
      <c r="L64" s="12">
        <f t="shared" si="5"/>
        <v>52.015749695999993</v>
      </c>
      <c r="M64" s="11">
        <f t="shared" si="5"/>
        <v>57.179135688000009</v>
      </c>
      <c r="N64" s="11">
        <f t="shared" si="5"/>
        <v>2.8897638719999925</v>
      </c>
      <c r="O64" s="152">
        <f t="shared" si="27"/>
        <v>165.54280230532186</v>
      </c>
      <c r="P64" s="8">
        <f t="shared" si="0"/>
        <v>10.292244423840001</v>
      </c>
      <c r="Q64" s="12">
        <f t="shared" si="28"/>
        <v>29.797704414957931</v>
      </c>
      <c r="R64" s="8">
        <f t="shared" si="1"/>
        <v>5.1461222119200007</v>
      </c>
      <c r="S64" s="12">
        <f t="shared" si="29"/>
        <v>14.898852207478965</v>
      </c>
      <c r="T64" s="17">
        <f>Sizing!CN78</f>
        <v>2</v>
      </c>
      <c r="U64" s="17">
        <f>Sizing!CO78</f>
        <v>2.3622047244094495E-2</v>
      </c>
      <c r="V64" s="17">
        <f>Sizing!CP78</f>
        <v>2.3622047244094495E-2</v>
      </c>
      <c r="W64" s="128">
        <f t="shared" si="6"/>
        <v>3.6269531605028051E-3</v>
      </c>
      <c r="X64" s="2">
        <f t="shared" si="7"/>
        <v>5.7803677036405475E-3</v>
      </c>
      <c r="Y64" s="2">
        <f t="shared" si="8"/>
        <v>9.4073208641433526E-3</v>
      </c>
      <c r="Z64" s="216">
        <f t="shared" si="30"/>
        <v>0.61994600464020178</v>
      </c>
      <c r="AA64" s="138">
        <f t="shared" si="31"/>
        <v>0.98802375014030563</v>
      </c>
      <c r="AB64" s="17">
        <f t="shared" si="32"/>
        <v>1.6079697547805074</v>
      </c>
      <c r="AC64" s="311">
        <f t="shared" si="33"/>
        <v>0.60925728042226723</v>
      </c>
      <c r="AD64" s="316">
        <f t="shared" si="34"/>
        <v>0.97098885789650724</v>
      </c>
      <c r="AE64" s="21">
        <f t="shared" si="35"/>
        <v>1.5802461383187745</v>
      </c>
      <c r="AF64" s="170">
        <f>Sizing!DU78</f>
        <v>2.8934969275004128</v>
      </c>
      <c r="AG64" s="170">
        <f>Sizing!DV78</f>
        <v>1.7010281971503038</v>
      </c>
      <c r="AH64" s="170">
        <f>Sizing!DW78</f>
        <v>2.8934969275004128</v>
      </c>
      <c r="AI64" s="272">
        <f>Sizing!DX78</f>
        <v>1.7010281971503038</v>
      </c>
      <c r="AJ64" s="216">
        <f>Sizing!GJ78</f>
        <v>0.75</v>
      </c>
      <c r="AK64" s="216">
        <f>Sizing!GK78</f>
        <v>6.2992125984251982E-2</v>
      </c>
      <c r="AL64" s="17">
        <f>Sizing!GL78</f>
        <v>6.2992125984251982E-2</v>
      </c>
      <c r="AM64" s="216">
        <f t="shared" si="9"/>
        <v>9.6718750946741469E-3</v>
      </c>
      <c r="AN64" s="138">
        <f t="shared" si="10"/>
        <v>2.1676378888652054E-3</v>
      </c>
      <c r="AO64" s="138">
        <f t="shared" si="11"/>
        <v>1.1839512983539352E-2</v>
      </c>
      <c r="AP64" s="311">
        <f t="shared" si="36"/>
        <v>0.28819967520949347</v>
      </c>
      <c r="AQ64" s="11">
        <f t="shared" si="37"/>
        <v>6.4590633091068814E-2</v>
      </c>
      <c r="AR64" s="21">
        <f t="shared" si="38"/>
        <v>0.35279030830056229</v>
      </c>
      <c r="AS64" s="11">
        <f t="shared" si="12"/>
        <v>0.51353469139040409</v>
      </c>
      <c r="AT64" s="21">
        <f t="shared" si="39"/>
        <v>0.51353469139040409</v>
      </c>
      <c r="AU64" s="170">
        <f>Sizing!JC78</f>
        <v>4.3725358123599019E-2</v>
      </c>
      <c r="AV64" s="272">
        <f>Sizing!JD78</f>
        <v>0.20910609298535282</v>
      </c>
      <c r="AW64" s="170">
        <f>Sizing!JC78</f>
        <v>4.3725358123599019E-2</v>
      </c>
      <c r="AX64" s="272">
        <f>Sizing!JD78</f>
        <v>0.20910609298535282</v>
      </c>
      <c r="AY64" s="216">
        <f>Sizing!IT78</f>
        <v>0.5</v>
      </c>
      <c r="AZ64" s="216">
        <f>Sizing!IU78</f>
        <v>1.5748031496062995E-2</v>
      </c>
      <c r="BA64" s="17">
        <f>Sizing!IV78</f>
        <v>1.5748031496062995E-2</v>
      </c>
      <c r="BB64" s="216">
        <f t="shared" si="13"/>
        <v>2.4179687736685367E-3</v>
      </c>
      <c r="BC64" s="138">
        <f t="shared" si="14"/>
        <v>1.4450919259101369E-3</v>
      </c>
      <c r="BD64" s="138">
        <f t="shared" si="15"/>
        <v>3.8630606995786734E-3</v>
      </c>
      <c r="BE64" s="311">
        <f t="shared" si="16"/>
        <v>3.6024959401186683E-2</v>
      </c>
      <c r="BF64" s="11">
        <f t="shared" si="17"/>
        <v>2.1530211030356274E-2</v>
      </c>
      <c r="BG64" s="21">
        <f t="shared" si="18"/>
        <v>5.7555170431542957E-2</v>
      </c>
      <c r="BH64" s="21">
        <f t="shared" si="19"/>
        <v>7.7603290594591857E-3</v>
      </c>
      <c r="BI64" s="21">
        <f t="shared" si="20"/>
        <v>7.7603290594591857E-3</v>
      </c>
      <c r="BJ64" s="561"/>
      <c r="BK64">
        <f t="shared" si="21"/>
        <v>2.3824639870000004</v>
      </c>
      <c r="BL64">
        <f t="shared" si="22"/>
        <v>2.3824639870000004</v>
      </c>
      <c r="BM64">
        <f>C64*'Inputs-Imperial'!$E$12</f>
        <v>1.1912319935000002</v>
      </c>
      <c r="BN64">
        <f>C64*'Inputs-Imperial'!$E$12</f>
        <v>1.1912319935000002</v>
      </c>
      <c r="BO64">
        <f>C64*'Inputs-Imperial'!$E$12</f>
        <v>1.1912319935000002</v>
      </c>
      <c r="BP64">
        <f>C64*'Weight '!$E$15</f>
        <v>2.3824639870000004</v>
      </c>
      <c r="BQ64">
        <f>C64*'Weight '!$E$15</f>
        <v>2.3824639870000004</v>
      </c>
      <c r="BR64">
        <f>C64*'Weight '!$E$15</f>
        <v>2.3824639870000004</v>
      </c>
      <c r="BS64">
        <f t="shared" si="23"/>
        <v>9.4136430884889002</v>
      </c>
      <c r="BT64" s="564">
        <f t="shared" si="24"/>
        <v>4.641151412731114</v>
      </c>
      <c r="BU64">
        <f t="shared" si="40"/>
        <v>2.0282990687755613</v>
      </c>
    </row>
    <row r="65" spans="1:73" x14ac:dyDescent="0.25">
      <c r="A65" s="186">
        <v>19</v>
      </c>
      <c r="B65" s="187">
        <f>A65/100*'Inputs-Imperial'!$E$5</f>
        <v>4.5754594639999997</v>
      </c>
      <c r="C65" s="188">
        <f>'Inputs-Imperial'!$E$10+('Inputs-Imperial'!$E$9-'Inputs-Imperial'!$E$10)*(100-A65)/100</f>
        <v>4.747129417</v>
      </c>
      <c r="D65" s="187">
        <f t="shared" si="25"/>
        <v>0.24081365600000026</v>
      </c>
      <c r="E65" s="188">
        <f t="shared" si="26"/>
        <v>1.1453166582042671</v>
      </c>
      <c r="F65" s="423">
        <f>Sizing!F79</f>
        <v>745.95380281547682</v>
      </c>
      <c r="G65" s="423">
        <f>Sizing!G79</f>
        <v>7459.5380281547677</v>
      </c>
      <c r="H65" s="423">
        <f>Sizing!H79</f>
        <v>65559.624601512478</v>
      </c>
      <c r="I65" s="423">
        <f>Sizing!I79</f>
        <v>-16901.837675688545</v>
      </c>
      <c r="J65" s="189">
        <f>Sizing!J79</f>
        <v>6555.9624601512514</v>
      </c>
      <c r="K65" s="128">
        <v>19</v>
      </c>
      <c r="L65" s="12">
        <f t="shared" si="5"/>
        <v>54.905513567999996</v>
      </c>
      <c r="M65" s="11">
        <f t="shared" si="5"/>
        <v>56.965553004</v>
      </c>
      <c r="N65" s="11">
        <f t="shared" si="5"/>
        <v>2.8897638720000032</v>
      </c>
      <c r="O65" s="152">
        <f t="shared" si="27"/>
        <v>164.92559878141446</v>
      </c>
      <c r="P65" s="8">
        <f t="shared" si="0"/>
        <v>10.253799540719999</v>
      </c>
      <c r="Q65" s="12">
        <f t="shared" si="28"/>
        <v>29.686607780654601</v>
      </c>
      <c r="R65" s="8">
        <f t="shared" si="1"/>
        <v>5.1268997703599997</v>
      </c>
      <c r="S65" s="12">
        <f t="shared" si="29"/>
        <v>14.8433038903273</v>
      </c>
      <c r="T65" s="17">
        <f>Sizing!CN79</f>
        <v>2</v>
      </c>
      <c r="U65" s="17">
        <f>Sizing!CO79</f>
        <v>2.3622047244094495E-2</v>
      </c>
      <c r="V65" s="17">
        <f>Sizing!CP79</f>
        <v>2.3622047244094495E-2</v>
      </c>
      <c r="W65" s="128">
        <f t="shared" si="6"/>
        <v>3.6269531605028051E-3</v>
      </c>
      <c r="X65" s="2">
        <f t="shared" si="7"/>
        <v>5.7803677036405475E-3</v>
      </c>
      <c r="Y65" s="2">
        <f t="shared" si="8"/>
        <v>9.4073208641433526E-3</v>
      </c>
      <c r="Z65" s="216">
        <f t="shared" si="30"/>
        <v>0.61763462140053349</v>
      </c>
      <c r="AA65" s="138">
        <f t="shared" si="31"/>
        <v>0.98434003975363427</v>
      </c>
      <c r="AB65" s="17">
        <f t="shared" si="32"/>
        <v>1.6019746611541679</v>
      </c>
      <c r="AC65" s="311">
        <f t="shared" si="33"/>
        <v>0.60698574861776566</v>
      </c>
      <c r="AD65" s="316">
        <f t="shared" si="34"/>
        <v>0.967368659757882</v>
      </c>
      <c r="AE65" s="21">
        <f t="shared" si="35"/>
        <v>1.5743544083756478</v>
      </c>
      <c r="AF65" s="170">
        <f>Sizing!DU79</f>
        <v>2.8934969275004128</v>
      </c>
      <c r="AG65" s="170">
        <f>Sizing!DV79</f>
        <v>1.7010281971503038</v>
      </c>
      <c r="AH65" s="170">
        <f>Sizing!DW79</f>
        <v>2.8934969275004128</v>
      </c>
      <c r="AI65" s="272">
        <f>Sizing!DX79</f>
        <v>1.7010281971503038</v>
      </c>
      <c r="AJ65" s="216">
        <f>Sizing!GJ79</f>
        <v>0.75</v>
      </c>
      <c r="AK65" s="216">
        <f>Sizing!GK79</f>
        <v>6.2992125984251982E-2</v>
      </c>
      <c r="AL65" s="17">
        <f>Sizing!GL79</f>
        <v>6.2992125984251982E-2</v>
      </c>
      <c r="AM65" s="216">
        <f t="shared" si="9"/>
        <v>9.6718750946741469E-3</v>
      </c>
      <c r="AN65" s="138">
        <f t="shared" si="10"/>
        <v>2.1676378888652054E-3</v>
      </c>
      <c r="AO65" s="138">
        <f t="shared" si="11"/>
        <v>1.1839512983539352E-2</v>
      </c>
      <c r="AP65" s="311">
        <f t="shared" si="36"/>
        <v>0.28712516243907299</v>
      </c>
      <c r="AQ65" s="11">
        <f t="shared" si="37"/>
        <v>6.4349815817227526E-2</v>
      </c>
      <c r="AR65" s="21">
        <f t="shared" si="38"/>
        <v>0.35147497825630053</v>
      </c>
      <c r="AS65" s="11">
        <f t="shared" si="12"/>
        <v>0.51353469139040597</v>
      </c>
      <c r="AT65" s="21">
        <f t="shared" si="39"/>
        <v>0.51353469139040597</v>
      </c>
      <c r="AU65" s="170">
        <f>Sizing!JC79</f>
        <v>4.3725358123599019E-2</v>
      </c>
      <c r="AV65" s="272">
        <f>Sizing!JD79</f>
        <v>0.20910609298535282</v>
      </c>
      <c r="AW65" s="170">
        <f>Sizing!JC79</f>
        <v>4.3725358123599019E-2</v>
      </c>
      <c r="AX65" s="272">
        <f>Sizing!JD79</f>
        <v>0.20910609298535282</v>
      </c>
      <c r="AY65" s="216">
        <f>Sizing!IT79</f>
        <v>0.5</v>
      </c>
      <c r="AZ65" s="216">
        <f>Sizing!IU79</f>
        <v>1.5748031496062995E-2</v>
      </c>
      <c r="BA65" s="17">
        <f>Sizing!IV79</f>
        <v>1.5748031496062995E-2</v>
      </c>
      <c r="BB65" s="216">
        <f t="shared" si="13"/>
        <v>2.4179687736685367E-3</v>
      </c>
      <c r="BC65" s="138">
        <f t="shared" si="14"/>
        <v>1.4450919259101369E-3</v>
      </c>
      <c r="BD65" s="138">
        <f t="shared" si="15"/>
        <v>3.8630606995786734E-3</v>
      </c>
      <c r="BE65" s="311">
        <f t="shared" si="16"/>
        <v>3.5890645304884124E-2</v>
      </c>
      <c r="BF65" s="11">
        <f t="shared" si="17"/>
        <v>2.1449938605742506E-2</v>
      </c>
      <c r="BG65" s="21">
        <f t="shared" si="18"/>
        <v>5.7340583910626623E-2</v>
      </c>
      <c r="BH65" s="21">
        <f t="shared" si="19"/>
        <v>7.7603290594592152E-3</v>
      </c>
      <c r="BI65" s="21">
        <f t="shared" si="20"/>
        <v>7.7603290594592152E-3</v>
      </c>
      <c r="BJ65" s="561"/>
      <c r="BK65">
        <f t="shared" si="21"/>
        <v>2.3735647085</v>
      </c>
      <c r="BL65">
        <f t="shared" si="22"/>
        <v>2.3735647085</v>
      </c>
      <c r="BM65">
        <f>C65*'Inputs-Imperial'!$E$12</f>
        <v>1.18678235425</v>
      </c>
      <c r="BN65">
        <f>C65*'Inputs-Imperial'!$E$12</f>
        <v>1.18678235425</v>
      </c>
      <c r="BO65">
        <f>C65*'Inputs-Imperial'!$E$12</f>
        <v>1.18678235425</v>
      </c>
      <c r="BP65">
        <f>C65*'Weight '!$E$15</f>
        <v>2.3735647085</v>
      </c>
      <c r="BQ65">
        <f>C65*'Weight '!$E$15</f>
        <v>2.3735647085</v>
      </c>
      <c r="BR65">
        <f>C65*'Weight '!$E$15</f>
        <v>2.3735647085</v>
      </c>
      <c r="BS65">
        <f t="shared" si="23"/>
        <v>9.3481955769471021</v>
      </c>
      <c r="BT65" s="564">
        <f t="shared" si="24"/>
        <v>4.627734672596473</v>
      </c>
      <c r="BU65">
        <f t="shared" si="40"/>
        <v>2.0200370674453838</v>
      </c>
    </row>
    <row r="66" spans="1:73" x14ac:dyDescent="0.25">
      <c r="A66" s="186">
        <v>20</v>
      </c>
      <c r="B66" s="187">
        <f>A66/100*'Inputs-Imperial'!$E$5</f>
        <v>4.81627312</v>
      </c>
      <c r="C66" s="188">
        <f>'Inputs-Imperial'!$E$10+('Inputs-Imperial'!$E$9-'Inputs-Imperial'!$E$10)*(100-A66)/100</f>
        <v>4.729330860000001</v>
      </c>
      <c r="D66" s="187">
        <f t="shared" si="25"/>
        <v>0.24081365600000026</v>
      </c>
      <c r="E66" s="188">
        <f t="shared" si="26"/>
        <v>1.1410305226215727</v>
      </c>
      <c r="F66" s="423">
        <f>Sizing!F80</f>
        <v>734.40825601471386</v>
      </c>
      <c r="G66" s="423">
        <f>Sizing!G80</f>
        <v>7344.0825601471379</v>
      </c>
      <c r="H66" s="423">
        <f>Sizing!H80</f>
        <v>63763.265976881499</v>
      </c>
      <c r="I66" s="423">
        <f>Sizing!I80</f>
        <v>-16585.506007137988</v>
      </c>
      <c r="J66" s="189">
        <f>Sizing!J80</f>
        <v>6376.326597688153</v>
      </c>
      <c r="K66" s="128">
        <v>20</v>
      </c>
      <c r="L66" s="12">
        <f t="shared" si="5"/>
        <v>57.79527744</v>
      </c>
      <c r="M66" s="11">
        <f t="shared" si="5"/>
        <v>56.751970320000012</v>
      </c>
      <c r="N66" s="11">
        <f t="shared" si="5"/>
        <v>2.8897638720000032</v>
      </c>
      <c r="O66" s="152">
        <f t="shared" si="27"/>
        <v>164.30839525750648</v>
      </c>
      <c r="P66" s="8">
        <f t="shared" si="0"/>
        <v>10.215354657600002</v>
      </c>
      <c r="Q66" s="12">
        <f t="shared" si="28"/>
        <v>29.575511146351165</v>
      </c>
      <c r="R66" s="8">
        <f t="shared" si="1"/>
        <v>5.1076773288000012</v>
      </c>
      <c r="S66" s="12">
        <f t="shared" si="29"/>
        <v>14.787755573175582</v>
      </c>
      <c r="T66" s="17">
        <f>Sizing!CN80</f>
        <v>2</v>
      </c>
      <c r="U66" s="17">
        <f>Sizing!CO80</f>
        <v>2.3622047244094495E-2</v>
      </c>
      <c r="V66" s="17">
        <f>Sizing!CP80</f>
        <v>2.3622047244094495E-2</v>
      </c>
      <c r="W66" s="128">
        <f t="shared" si="6"/>
        <v>3.6269531605028051E-3</v>
      </c>
      <c r="X66" s="2">
        <f t="shared" si="7"/>
        <v>5.7803677036405475E-3</v>
      </c>
      <c r="Y66" s="2">
        <f t="shared" si="8"/>
        <v>9.4073208641433526E-3</v>
      </c>
      <c r="Z66" s="216">
        <f t="shared" si="30"/>
        <v>0.61532323816086298</v>
      </c>
      <c r="AA66" s="138">
        <f t="shared" si="31"/>
        <v>0.98065632936695935</v>
      </c>
      <c r="AB66" s="17">
        <f t="shared" si="32"/>
        <v>1.5959795675278223</v>
      </c>
      <c r="AC66" s="311">
        <f t="shared" si="33"/>
        <v>0.60471421681326187</v>
      </c>
      <c r="AD66" s="316">
        <f t="shared" si="34"/>
        <v>0.9637484616192532</v>
      </c>
      <c r="AE66" s="21">
        <f t="shared" si="35"/>
        <v>1.5684626784325151</v>
      </c>
      <c r="AF66" s="170">
        <f>Sizing!DU80</f>
        <v>2.271823534607841</v>
      </c>
      <c r="AG66" s="170">
        <f>Sizing!DV80</f>
        <v>1.5072569570606869</v>
      </c>
      <c r="AH66" s="170">
        <f>Sizing!DW80</f>
        <v>2.271823534607841</v>
      </c>
      <c r="AI66" s="272">
        <f>Sizing!DX80</f>
        <v>1.5072569570606869</v>
      </c>
      <c r="AJ66" s="216">
        <f>Sizing!GJ80</f>
        <v>0.75</v>
      </c>
      <c r="AK66" s="216">
        <f>Sizing!GK80</f>
        <v>6.2992125984251982E-2</v>
      </c>
      <c r="AL66" s="17">
        <f>Sizing!GL80</f>
        <v>6.2992125984251982E-2</v>
      </c>
      <c r="AM66" s="216">
        <f t="shared" si="9"/>
        <v>9.6718750946741469E-3</v>
      </c>
      <c r="AN66" s="138">
        <f t="shared" si="10"/>
        <v>2.1676378888652054E-3</v>
      </c>
      <c r="AO66" s="138">
        <f t="shared" si="11"/>
        <v>1.1839512983539352E-2</v>
      </c>
      <c r="AP66" s="311">
        <f t="shared" si="36"/>
        <v>0.28605064966865146</v>
      </c>
      <c r="AQ66" s="11">
        <f t="shared" si="37"/>
        <v>6.4108998543385989E-2</v>
      </c>
      <c r="AR66" s="21">
        <f t="shared" si="38"/>
        <v>0.35015964821203743</v>
      </c>
      <c r="AS66" s="11">
        <f t="shared" si="12"/>
        <v>0.40320077296440554</v>
      </c>
      <c r="AT66" s="21">
        <f t="shared" si="39"/>
        <v>0.40320077296440554</v>
      </c>
      <c r="AU66" s="170">
        <f>Sizing!JC80</f>
        <v>3.485943317074526E-2</v>
      </c>
      <c r="AV66" s="272">
        <f>Sizing!JD80</f>
        <v>0.18670681072404741</v>
      </c>
      <c r="AW66" s="170">
        <f>Sizing!JC80</f>
        <v>3.485943317074526E-2</v>
      </c>
      <c r="AX66" s="272">
        <f>Sizing!JD80</f>
        <v>0.18670681072404741</v>
      </c>
      <c r="AY66" s="216">
        <f>Sizing!IT80</f>
        <v>0.5</v>
      </c>
      <c r="AZ66" s="216">
        <f>Sizing!IU80</f>
        <v>1.5748031496062995E-2</v>
      </c>
      <c r="BA66" s="17">
        <f>Sizing!IV80</f>
        <v>1.5748031496062995E-2</v>
      </c>
      <c r="BB66" s="216">
        <f t="shared" si="13"/>
        <v>2.4179687736685367E-3</v>
      </c>
      <c r="BC66" s="138">
        <f t="shared" si="14"/>
        <v>1.4450919259101369E-3</v>
      </c>
      <c r="BD66" s="138">
        <f t="shared" si="15"/>
        <v>3.8630606995786734E-3</v>
      </c>
      <c r="BE66" s="311">
        <f t="shared" si="16"/>
        <v>3.5756331208581432E-2</v>
      </c>
      <c r="BF66" s="11">
        <f t="shared" si="17"/>
        <v>2.1369666181128663E-2</v>
      </c>
      <c r="BG66" s="21">
        <f t="shared" si="18"/>
        <v>5.7125997389710088E-2</v>
      </c>
      <c r="BH66" s="21">
        <f t="shared" si="19"/>
        <v>6.1868143301771639E-3</v>
      </c>
      <c r="BI66" s="21">
        <f t="shared" si="20"/>
        <v>6.1868143301771639E-3</v>
      </c>
      <c r="BJ66" s="561"/>
      <c r="BK66">
        <f t="shared" si="21"/>
        <v>2.3646654300000005</v>
      </c>
      <c r="BL66">
        <f t="shared" si="22"/>
        <v>2.3646654300000005</v>
      </c>
      <c r="BM66">
        <f>C66*'Inputs-Imperial'!$E$12</f>
        <v>1.1823327150000003</v>
      </c>
      <c r="BN66">
        <f>C66*'Inputs-Imperial'!$E$12</f>
        <v>1.1823327150000003</v>
      </c>
      <c r="BO66">
        <f>C66*'Inputs-Imperial'!$E$12</f>
        <v>1.1823327150000003</v>
      </c>
      <c r="BP66">
        <f>C66*'Weight '!$E$15</f>
        <v>2.3646654300000005</v>
      </c>
      <c r="BQ66">
        <f>C66*'Weight '!$E$15</f>
        <v>2.3646654300000005</v>
      </c>
      <c r="BR66">
        <f>C66*'Weight '!$E$15</f>
        <v>2.3646654300000005</v>
      </c>
      <c r="BS66">
        <f t="shared" si="23"/>
        <v>9.0146306841046773</v>
      </c>
      <c r="BT66" s="564">
        <f t="shared" si="24"/>
        <v>4.3905030661512505</v>
      </c>
      <c r="BU66">
        <f t="shared" si="40"/>
        <v>2.0532113400861314</v>
      </c>
    </row>
    <row r="67" spans="1:73" x14ac:dyDescent="0.25">
      <c r="A67" s="186">
        <v>21</v>
      </c>
      <c r="B67" s="187">
        <f>A67/100*'Inputs-Imperial'!$E$5</f>
        <v>5.0570867759999993</v>
      </c>
      <c r="C67" s="188">
        <f>'Inputs-Imperial'!$E$10+('Inputs-Imperial'!$E$9-'Inputs-Imperial'!$E$10)*(100-A67)/100</f>
        <v>4.7115323030000003</v>
      </c>
      <c r="D67" s="187">
        <f t="shared" si="25"/>
        <v>0.24081365599999938</v>
      </c>
      <c r="E67" s="188">
        <f t="shared" si="26"/>
        <v>1.1367443870388743</v>
      </c>
      <c r="F67" s="423">
        <f>Sizing!F81</f>
        <v>722.89592355011621</v>
      </c>
      <c r="G67" s="423">
        <f>Sizing!G81</f>
        <v>7228.9592355011619</v>
      </c>
      <c r="H67" s="423">
        <f>Sizing!H81</f>
        <v>61994.710605606633</v>
      </c>
      <c r="I67" s="423">
        <f>Sizing!I81</f>
        <v>-16271.002056400292</v>
      </c>
      <c r="J67" s="189">
        <f>Sizing!J81</f>
        <v>6199.471060560666</v>
      </c>
      <c r="K67" s="128">
        <v>21</v>
      </c>
      <c r="L67" s="12">
        <f t="shared" si="5"/>
        <v>60.685041311999996</v>
      </c>
      <c r="M67" s="11">
        <f t="shared" si="5"/>
        <v>56.538387636000003</v>
      </c>
      <c r="N67" s="11">
        <f t="shared" si="5"/>
        <v>2.8897638719999925</v>
      </c>
      <c r="O67" s="152">
        <f t="shared" si="27"/>
        <v>163.69119173359792</v>
      </c>
      <c r="P67" s="8">
        <f t="shared" si="0"/>
        <v>10.17690977448</v>
      </c>
      <c r="Q67" s="12">
        <f t="shared" si="28"/>
        <v>29.464414512047622</v>
      </c>
      <c r="R67" s="8">
        <f t="shared" si="1"/>
        <v>5.0884548872400002</v>
      </c>
      <c r="S67" s="12">
        <f t="shared" si="29"/>
        <v>14.732207256023811</v>
      </c>
      <c r="T67" s="17">
        <f>Sizing!CN81</f>
        <v>2</v>
      </c>
      <c r="U67" s="17">
        <f>Sizing!CO81</f>
        <v>2.3622047244094495E-2</v>
      </c>
      <c r="V67" s="17">
        <f>Sizing!CP81</f>
        <v>2.3622047244094495E-2</v>
      </c>
      <c r="W67" s="128">
        <f t="shared" si="6"/>
        <v>3.6269531605028051E-3</v>
      </c>
      <c r="X67" s="2">
        <f t="shared" si="7"/>
        <v>5.7803677036405475E-3</v>
      </c>
      <c r="Y67" s="2">
        <f t="shared" si="8"/>
        <v>9.4073208641433526E-3</v>
      </c>
      <c r="Z67" s="216">
        <f t="shared" si="30"/>
        <v>0.61301185492119037</v>
      </c>
      <c r="AA67" s="138">
        <f t="shared" si="31"/>
        <v>0.9769726189802812</v>
      </c>
      <c r="AB67" s="17">
        <f t="shared" si="32"/>
        <v>1.5899844739014715</v>
      </c>
      <c r="AC67" s="311">
        <f t="shared" si="33"/>
        <v>0.60244268500875608</v>
      </c>
      <c r="AD67" s="316">
        <f t="shared" si="34"/>
        <v>0.96012826348062119</v>
      </c>
      <c r="AE67" s="21">
        <f t="shared" si="35"/>
        <v>1.5625709484893773</v>
      </c>
      <c r="AF67" s="170">
        <f>Sizing!DU81</f>
        <v>2.271823534607841</v>
      </c>
      <c r="AG67" s="170">
        <f>Sizing!DV81</f>
        <v>1.5072569570606869</v>
      </c>
      <c r="AH67" s="170">
        <f>Sizing!DW81</f>
        <v>2.271823534607841</v>
      </c>
      <c r="AI67" s="272">
        <f>Sizing!DX81</f>
        <v>1.5072569570606869</v>
      </c>
      <c r="AJ67" s="216">
        <f>Sizing!GJ81</f>
        <v>0.75</v>
      </c>
      <c r="AK67" s="216">
        <f>Sizing!GK81</f>
        <v>6.2992125984251982E-2</v>
      </c>
      <c r="AL67" s="17">
        <f>Sizing!GL81</f>
        <v>6.2992125984251982E-2</v>
      </c>
      <c r="AM67" s="216">
        <f t="shared" si="9"/>
        <v>9.6718750946741469E-3</v>
      </c>
      <c r="AN67" s="138">
        <f t="shared" si="10"/>
        <v>2.1676378888652054E-3</v>
      </c>
      <c r="AO67" s="138">
        <f t="shared" si="11"/>
        <v>1.1839512983539352E-2</v>
      </c>
      <c r="AP67" s="311">
        <f t="shared" si="36"/>
        <v>0.28497613689822893</v>
      </c>
      <c r="AQ67" s="11">
        <f t="shared" si="37"/>
        <v>6.386818126954423E-2</v>
      </c>
      <c r="AR67" s="21">
        <f t="shared" si="38"/>
        <v>0.34884431816777312</v>
      </c>
      <c r="AS67" s="11">
        <f t="shared" si="12"/>
        <v>0.4032007729644041</v>
      </c>
      <c r="AT67" s="21">
        <f t="shared" si="39"/>
        <v>0.4032007729644041</v>
      </c>
      <c r="AU67" s="170">
        <f>Sizing!JC81</f>
        <v>3.485943317074526E-2</v>
      </c>
      <c r="AV67" s="272">
        <f>Sizing!JD81</f>
        <v>0.18670681072404741</v>
      </c>
      <c r="AW67" s="170">
        <f>Sizing!JC81</f>
        <v>3.485943317074526E-2</v>
      </c>
      <c r="AX67" s="272">
        <f>Sizing!JD81</f>
        <v>0.18670681072404741</v>
      </c>
      <c r="AY67" s="216">
        <f>Sizing!IT81</f>
        <v>0.5</v>
      </c>
      <c r="AZ67" s="216">
        <f>Sizing!IU81</f>
        <v>1.5748031496062995E-2</v>
      </c>
      <c r="BA67" s="17">
        <f>Sizing!IV81</f>
        <v>1.5748031496062995E-2</v>
      </c>
      <c r="BB67" s="216">
        <f t="shared" si="13"/>
        <v>2.4179687736685367E-3</v>
      </c>
      <c r="BC67" s="138">
        <f t="shared" si="14"/>
        <v>1.4450919259101369E-3</v>
      </c>
      <c r="BD67" s="138">
        <f t="shared" si="15"/>
        <v>3.8630606995786734E-3</v>
      </c>
      <c r="BE67" s="311">
        <f t="shared" si="16"/>
        <v>3.5622017112278616E-2</v>
      </c>
      <c r="BF67" s="11">
        <f t="shared" si="17"/>
        <v>2.1289393756514743E-2</v>
      </c>
      <c r="BG67" s="21">
        <f t="shared" si="18"/>
        <v>5.6911410868793352E-2</v>
      </c>
      <c r="BH67" s="21">
        <f t="shared" si="19"/>
        <v>6.1868143301771414E-3</v>
      </c>
      <c r="BI67" s="21">
        <f t="shared" si="20"/>
        <v>6.1868143301771414E-3</v>
      </c>
      <c r="BJ67" s="561"/>
      <c r="BK67">
        <f t="shared" si="21"/>
        <v>2.3557661515000001</v>
      </c>
      <c r="BL67">
        <f t="shared" si="22"/>
        <v>2.3557661515000001</v>
      </c>
      <c r="BM67">
        <f>C67*'Inputs-Imperial'!$E$12</f>
        <v>1.1778830757500001</v>
      </c>
      <c r="BN67">
        <f>C67*'Inputs-Imperial'!$E$12</f>
        <v>1.1778830757500001</v>
      </c>
      <c r="BO67">
        <f>C67*'Inputs-Imperial'!$E$12</f>
        <v>1.1778830757500001</v>
      </c>
      <c r="BP67">
        <f>C67*'Weight '!$E$15</f>
        <v>2.3557661515000001</v>
      </c>
      <c r="BQ67">
        <f>C67*'Weight '!$E$15</f>
        <v>2.3557661515000001</v>
      </c>
      <c r="BR67">
        <f>C67*'Weight '!$E$15</f>
        <v>2.3557661515000001</v>
      </c>
      <c r="BS67">
        <f t="shared" si="23"/>
        <v>8.9506472573738005</v>
      </c>
      <c r="BT67" s="564">
        <f t="shared" si="24"/>
        <v>4.3770863260165784</v>
      </c>
      <c r="BU67">
        <f t="shared" si="40"/>
        <v>2.0448870757181177</v>
      </c>
    </row>
    <row r="68" spans="1:73" x14ac:dyDescent="0.25">
      <c r="A68" s="186">
        <v>22</v>
      </c>
      <c r="B68" s="187">
        <f>A68/100*'Inputs-Imperial'!$E$5</f>
        <v>5.2979004319999996</v>
      </c>
      <c r="C68" s="188">
        <f>'Inputs-Imperial'!$E$10+('Inputs-Imperial'!$E$9-'Inputs-Imperial'!$E$10)*(100-A68)/100</f>
        <v>4.6937337460000004</v>
      </c>
      <c r="D68" s="187">
        <f t="shared" si="25"/>
        <v>0.24081365600000026</v>
      </c>
      <c r="E68" s="188">
        <f t="shared" si="26"/>
        <v>1.1324582514561841</v>
      </c>
      <c r="F68" s="423">
        <f>Sizing!F82</f>
        <v>711.41746472337297</v>
      </c>
      <c r="G68" s="423">
        <f>Sizing!G82</f>
        <v>7114.174647233729</v>
      </c>
      <c r="H68" s="423">
        <f>Sizing!H82</f>
        <v>60253.878503030632</v>
      </c>
      <c r="I68" s="423">
        <f>Sizing!I82</f>
        <v>-15958.356529336235</v>
      </c>
      <c r="J68" s="189">
        <f>Sizing!J82</f>
        <v>6025.3878503030655</v>
      </c>
      <c r="K68" s="128">
        <v>22</v>
      </c>
      <c r="L68" s="12">
        <f t="shared" si="5"/>
        <v>63.574805183999999</v>
      </c>
      <c r="M68" s="11">
        <f t="shared" si="5"/>
        <v>56.324804952000008</v>
      </c>
      <c r="N68" s="11">
        <f t="shared" si="5"/>
        <v>2.8897638720000032</v>
      </c>
      <c r="O68" s="152">
        <f t="shared" si="27"/>
        <v>163.0739882096905</v>
      </c>
      <c r="P68" s="8">
        <f t="shared" si="0"/>
        <v>10.138464891360002</v>
      </c>
      <c r="Q68" s="12">
        <f t="shared" si="28"/>
        <v>29.353317877744288</v>
      </c>
      <c r="R68" s="8">
        <f t="shared" si="1"/>
        <v>5.0692324456800009</v>
      </c>
      <c r="S68" s="12">
        <f t="shared" si="29"/>
        <v>14.676658938872144</v>
      </c>
      <c r="T68" s="17">
        <f>Sizing!CN82</f>
        <v>2</v>
      </c>
      <c r="U68" s="17">
        <f>Sizing!CO82</f>
        <v>2.3622047244094495E-2</v>
      </c>
      <c r="V68" s="17">
        <f>Sizing!CP82</f>
        <v>2.3622047244094495E-2</v>
      </c>
      <c r="W68" s="128">
        <f t="shared" si="6"/>
        <v>3.6269531605028051E-3</v>
      </c>
      <c r="X68" s="2">
        <f t="shared" si="7"/>
        <v>5.7803677036405475E-3</v>
      </c>
      <c r="Y68" s="2">
        <f t="shared" si="8"/>
        <v>9.4073208641433526E-3</v>
      </c>
      <c r="Z68" s="216">
        <f t="shared" si="30"/>
        <v>0.61070047168152197</v>
      </c>
      <c r="AA68" s="138">
        <f t="shared" si="31"/>
        <v>0.97328890859360961</v>
      </c>
      <c r="AB68" s="17">
        <f t="shared" si="32"/>
        <v>1.5839893802751317</v>
      </c>
      <c r="AC68" s="311">
        <f t="shared" si="33"/>
        <v>0.60017115320425429</v>
      </c>
      <c r="AD68" s="316">
        <f t="shared" si="34"/>
        <v>0.95650806534199562</v>
      </c>
      <c r="AE68" s="21">
        <f t="shared" si="35"/>
        <v>1.5566792185462499</v>
      </c>
      <c r="AF68" s="170">
        <f>Sizing!DU82</f>
        <v>2.271823534607841</v>
      </c>
      <c r="AG68" s="170">
        <f>Sizing!DV82</f>
        <v>1.5072569570606869</v>
      </c>
      <c r="AH68" s="170">
        <f>Sizing!DW82</f>
        <v>2.271823534607841</v>
      </c>
      <c r="AI68" s="272">
        <f>Sizing!DX82</f>
        <v>1.5072569570606869</v>
      </c>
      <c r="AJ68" s="216">
        <f>Sizing!GJ82</f>
        <v>0.75</v>
      </c>
      <c r="AK68" s="216">
        <f>Sizing!GK82</f>
        <v>6.2992125984251982E-2</v>
      </c>
      <c r="AL68" s="17">
        <f>Sizing!GL82</f>
        <v>6.2992125984251982E-2</v>
      </c>
      <c r="AM68" s="216">
        <f t="shared" si="9"/>
        <v>9.6718750946741469E-3</v>
      </c>
      <c r="AN68" s="138">
        <f t="shared" si="10"/>
        <v>2.1676378888652054E-3</v>
      </c>
      <c r="AO68" s="138">
        <f t="shared" si="11"/>
        <v>1.1839512983539352E-2</v>
      </c>
      <c r="AP68" s="311">
        <f t="shared" si="36"/>
        <v>0.28390162412780839</v>
      </c>
      <c r="AQ68" s="11">
        <f t="shared" si="37"/>
        <v>6.3627363995702915E-2</v>
      </c>
      <c r="AR68" s="21">
        <f t="shared" si="38"/>
        <v>0.3475289881235113</v>
      </c>
      <c r="AS68" s="11">
        <f t="shared" si="12"/>
        <v>0.40320077296440554</v>
      </c>
      <c r="AT68" s="21">
        <f t="shared" si="39"/>
        <v>0.40320077296440554</v>
      </c>
      <c r="AU68" s="170">
        <f>Sizing!JC82</f>
        <v>3.485943317074526E-2</v>
      </c>
      <c r="AV68" s="272">
        <f>Sizing!JD82</f>
        <v>0.18670681072404741</v>
      </c>
      <c r="AW68" s="170">
        <f>Sizing!JC82</f>
        <v>3.485943317074526E-2</v>
      </c>
      <c r="AX68" s="272">
        <f>Sizing!JD82</f>
        <v>0.18670681072404741</v>
      </c>
      <c r="AY68" s="216">
        <f>Sizing!IT82</f>
        <v>0.5</v>
      </c>
      <c r="AZ68" s="216">
        <f>Sizing!IU82</f>
        <v>1.5748031496062995E-2</v>
      </c>
      <c r="BA68" s="17">
        <f>Sizing!IV82</f>
        <v>1.5748031496062995E-2</v>
      </c>
      <c r="BB68" s="216">
        <f t="shared" si="13"/>
        <v>2.4179687736685367E-3</v>
      </c>
      <c r="BC68" s="138">
        <f t="shared" si="14"/>
        <v>1.4450919259101369E-3</v>
      </c>
      <c r="BD68" s="138">
        <f t="shared" si="15"/>
        <v>3.8630606995786734E-3</v>
      </c>
      <c r="BE68" s="311">
        <f t="shared" si="16"/>
        <v>3.5487703015976049E-2</v>
      </c>
      <c r="BF68" s="11">
        <f t="shared" si="17"/>
        <v>2.1209121331900973E-2</v>
      </c>
      <c r="BG68" s="21">
        <f t="shared" si="18"/>
        <v>5.6696824347877019E-2</v>
      </c>
      <c r="BH68" s="21">
        <f t="shared" si="19"/>
        <v>6.1868143301771639E-3</v>
      </c>
      <c r="BI68" s="21">
        <f t="shared" si="20"/>
        <v>6.1868143301771639E-3</v>
      </c>
      <c r="BJ68" s="561"/>
      <c r="BK68">
        <f t="shared" si="21"/>
        <v>2.3468668730000002</v>
      </c>
      <c r="BL68">
        <f t="shared" si="22"/>
        <v>2.3468668730000002</v>
      </c>
      <c r="BM68">
        <f>C68*'Inputs-Imperial'!$E$12</f>
        <v>1.1734334365000001</v>
      </c>
      <c r="BN68">
        <f>C68*'Inputs-Imperial'!$E$12</f>
        <v>1.1734334365000001</v>
      </c>
      <c r="BO68">
        <f>C68*'Inputs-Imperial'!$E$12</f>
        <v>1.1734334365000001</v>
      </c>
      <c r="BP68">
        <f>C68*'Weight '!$E$15</f>
        <v>2.3468668730000002</v>
      </c>
      <c r="BQ68">
        <f>C68*'Weight '!$E$15</f>
        <v>2.3468668730000002</v>
      </c>
      <c r="BR68">
        <f>C68*'Weight '!$E$15</f>
        <v>2.3468668730000002</v>
      </c>
      <c r="BS68">
        <f t="shared" si="23"/>
        <v>8.8868909237686449</v>
      </c>
      <c r="BT68" s="564">
        <f t="shared" si="24"/>
        <v>4.3636695858819348</v>
      </c>
      <c r="BU68">
        <f t="shared" si="40"/>
        <v>2.036563664792812</v>
      </c>
    </row>
    <row r="69" spans="1:73" x14ac:dyDescent="0.25">
      <c r="A69" s="186">
        <v>23</v>
      </c>
      <c r="B69" s="187">
        <f>A69/100*'Inputs-Imperial'!$E$5</f>
        <v>5.5387140879999999</v>
      </c>
      <c r="C69" s="188">
        <f>'Inputs-Imperial'!$E$10+('Inputs-Imperial'!$E$9-'Inputs-Imperial'!$E$10)*(100-A69)/100</f>
        <v>4.6759351890000005</v>
      </c>
      <c r="D69" s="187">
        <f t="shared" si="25"/>
        <v>0.24081365600000026</v>
      </c>
      <c r="E69" s="188">
        <f t="shared" si="26"/>
        <v>1.1281721158734894</v>
      </c>
      <c r="F69" s="423">
        <f>Sizing!F83</f>
        <v>699.97354319710246</v>
      </c>
      <c r="G69" s="423">
        <f>Sizing!G83</f>
        <v>6999.7354319710239</v>
      </c>
      <c r="H69" s="423">
        <f>Sizing!H83</f>
        <v>58540.688096807768</v>
      </c>
      <c r="I69" s="423">
        <f>Sizing!I83</f>
        <v>-15647.600051794612</v>
      </c>
      <c r="J69" s="189">
        <f>Sizing!J83</f>
        <v>5854.0688096807789</v>
      </c>
      <c r="K69" s="128">
        <v>23</v>
      </c>
      <c r="L69" s="12">
        <f t="shared" si="5"/>
        <v>66.464569056000002</v>
      </c>
      <c r="M69" s="11">
        <f t="shared" si="5"/>
        <v>56.111222268000006</v>
      </c>
      <c r="N69" s="11">
        <f t="shared" si="5"/>
        <v>2.8897638720000032</v>
      </c>
      <c r="O69" s="152">
        <f t="shared" si="27"/>
        <v>162.45678468578245</v>
      </c>
      <c r="P69" s="8">
        <f t="shared" si="0"/>
        <v>10.100020008240001</v>
      </c>
      <c r="Q69" s="12">
        <f t="shared" si="28"/>
        <v>29.242221243440849</v>
      </c>
      <c r="R69" s="8">
        <f t="shared" si="1"/>
        <v>5.0500100041200007</v>
      </c>
      <c r="S69" s="12">
        <f t="shared" si="29"/>
        <v>14.621110621720424</v>
      </c>
      <c r="T69" s="17">
        <f>Sizing!CN83</f>
        <v>2</v>
      </c>
      <c r="U69" s="17">
        <f>Sizing!CO83</f>
        <v>2.3622047244094495E-2</v>
      </c>
      <c r="V69" s="17">
        <f>Sizing!CP83</f>
        <v>2.3622047244094495E-2</v>
      </c>
      <c r="W69" s="128">
        <f t="shared" si="6"/>
        <v>3.6269531605028051E-3</v>
      </c>
      <c r="X69" s="2">
        <f t="shared" si="7"/>
        <v>5.7803677036405475E-3</v>
      </c>
      <c r="Y69" s="2">
        <f t="shared" si="8"/>
        <v>9.4073208641433526E-3</v>
      </c>
      <c r="Z69" s="216">
        <f t="shared" si="30"/>
        <v>0.60838908844185124</v>
      </c>
      <c r="AA69" s="138">
        <f t="shared" si="31"/>
        <v>0.96960519820693436</v>
      </c>
      <c r="AB69" s="17">
        <f t="shared" si="32"/>
        <v>1.5779942866487855</v>
      </c>
      <c r="AC69" s="311">
        <f t="shared" si="33"/>
        <v>0.59789962139975039</v>
      </c>
      <c r="AD69" s="316">
        <f t="shared" si="34"/>
        <v>0.9528878672033666</v>
      </c>
      <c r="AE69" s="21">
        <f t="shared" si="35"/>
        <v>1.550787488603117</v>
      </c>
      <c r="AF69" s="170">
        <f>Sizing!DU83</f>
        <v>2.271823534607841</v>
      </c>
      <c r="AG69" s="170">
        <f>Sizing!DV83</f>
        <v>1.5072569570606869</v>
      </c>
      <c r="AH69" s="170">
        <f>Sizing!DW83</f>
        <v>2.271823534607841</v>
      </c>
      <c r="AI69" s="272">
        <f>Sizing!DX83</f>
        <v>1.5072569570606869</v>
      </c>
      <c r="AJ69" s="216">
        <f>Sizing!GJ83</f>
        <v>0.75</v>
      </c>
      <c r="AK69" s="216">
        <f>Sizing!GK83</f>
        <v>6.2992125984251982E-2</v>
      </c>
      <c r="AL69" s="17">
        <f>Sizing!GL83</f>
        <v>6.2992125984251982E-2</v>
      </c>
      <c r="AM69" s="216">
        <f t="shared" si="9"/>
        <v>9.6718750946741469E-3</v>
      </c>
      <c r="AN69" s="138">
        <f t="shared" si="10"/>
        <v>2.1676378888652054E-3</v>
      </c>
      <c r="AO69" s="138">
        <f t="shared" si="11"/>
        <v>1.1839512983539352E-2</v>
      </c>
      <c r="AP69" s="311">
        <f t="shared" si="36"/>
        <v>0.28282711135738681</v>
      </c>
      <c r="AQ69" s="11">
        <f t="shared" si="37"/>
        <v>6.3386546721861378E-2</v>
      </c>
      <c r="AR69" s="21">
        <f t="shared" si="38"/>
        <v>0.3462136580792482</v>
      </c>
      <c r="AS69" s="11">
        <f t="shared" si="12"/>
        <v>0.40320077296440554</v>
      </c>
      <c r="AT69" s="21">
        <f t="shared" si="39"/>
        <v>0.40320077296440554</v>
      </c>
      <c r="AU69" s="170">
        <f>Sizing!JC83</f>
        <v>3.485943317074526E-2</v>
      </c>
      <c r="AV69" s="272">
        <f>Sizing!JD83</f>
        <v>0.18670681072404741</v>
      </c>
      <c r="AW69" s="170">
        <f>Sizing!JC83</f>
        <v>3.485943317074526E-2</v>
      </c>
      <c r="AX69" s="272">
        <f>Sizing!JD83</f>
        <v>0.18670681072404741</v>
      </c>
      <c r="AY69" s="216">
        <f>Sizing!IT83</f>
        <v>0.5</v>
      </c>
      <c r="AZ69" s="216">
        <f>Sizing!IU83</f>
        <v>1.5748031496062995E-2</v>
      </c>
      <c r="BA69" s="17">
        <f>Sizing!IV83</f>
        <v>1.5748031496062995E-2</v>
      </c>
      <c r="BB69" s="216">
        <f t="shared" si="13"/>
        <v>2.4179687736685367E-3</v>
      </c>
      <c r="BC69" s="138">
        <f t="shared" si="14"/>
        <v>1.4450919259101369E-3</v>
      </c>
      <c r="BD69" s="138">
        <f t="shared" si="15"/>
        <v>3.8630606995786734E-3</v>
      </c>
      <c r="BE69" s="311">
        <f t="shared" si="16"/>
        <v>3.5353388919673351E-2</v>
      </c>
      <c r="BF69" s="11">
        <f t="shared" si="17"/>
        <v>2.1128848907287126E-2</v>
      </c>
      <c r="BG69" s="21">
        <f t="shared" si="18"/>
        <v>5.6482237826960477E-2</v>
      </c>
      <c r="BH69" s="21">
        <f t="shared" si="19"/>
        <v>6.1868143301771639E-3</v>
      </c>
      <c r="BI69" s="21">
        <f t="shared" si="20"/>
        <v>6.1868143301771639E-3</v>
      </c>
      <c r="BJ69" s="561"/>
      <c r="BK69">
        <f t="shared" si="21"/>
        <v>2.3379675945000002</v>
      </c>
      <c r="BL69">
        <f t="shared" si="22"/>
        <v>2.3379675945000002</v>
      </c>
      <c r="BM69">
        <f>C69*'Inputs-Imperial'!$E$12</f>
        <v>1.1689837972500001</v>
      </c>
      <c r="BN69">
        <f>C69*'Inputs-Imperial'!$E$12</f>
        <v>1.1689837972500001</v>
      </c>
      <c r="BO69">
        <f>C69*'Inputs-Imperial'!$E$12</f>
        <v>1.1689837972500001</v>
      </c>
      <c r="BP69">
        <f>C69*'Weight '!$E$15</f>
        <v>2.3379675945000002</v>
      </c>
      <c r="BQ69">
        <f>C69*'Weight '!$E$15</f>
        <v>2.3379675945000002</v>
      </c>
      <c r="BR69">
        <f>C69*'Weight '!$E$15</f>
        <v>2.3379675945000002</v>
      </c>
      <c r="BS69">
        <f t="shared" si="23"/>
        <v>8.8233616832891197</v>
      </c>
      <c r="BT69" s="564">
        <f t="shared" si="24"/>
        <v>4.3502528457472769</v>
      </c>
      <c r="BU69">
        <f t="shared" si="40"/>
        <v>2.0282411152065949</v>
      </c>
    </row>
    <row r="70" spans="1:73" x14ac:dyDescent="0.25">
      <c r="A70" s="186">
        <v>24</v>
      </c>
      <c r="B70" s="187">
        <f>A70/100*'Inputs-Imperial'!$E$5</f>
        <v>5.7795277439999992</v>
      </c>
      <c r="C70" s="188">
        <f>'Inputs-Imperial'!$E$10+('Inputs-Imperial'!$E$9-'Inputs-Imperial'!$E$10)*(100-A70)/100</f>
        <v>4.6581366320000006</v>
      </c>
      <c r="D70" s="187">
        <f t="shared" si="25"/>
        <v>0.24081365599999938</v>
      </c>
      <c r="E70" s="188">
        <f t="shared" si="26"/>
        <v>1.123885980290791</v>
      </c>
      <c r="F70" s="423">
        <f>Sizing!F84</f>
        <v>688.56482725433045</v>
      </c>
      <c r="G70" s="423">
        <f>Sizing!G84</f>
        <v>6885.6482725433034</v>
      </c>
      <c r="H70" s="423">
        <f>Sizing!H84</f>
        <v>56855.056216402088</v>
      </c>
      <c r="I70" s="423">
        <f>Sizing!I84</f>
        <v>-15338.763174585181</v>
      </c>
      <c r="J70" s="189">
        <f>Sizing!J84</f>
        <v>5685.5056216402108</v>
      </c>
      <c r="K70" s="128">
        <v>24</v>
      </c>
      <c r="L70" s="12">
        <f t="shared" si="5"/>
        <v>69.354332927999991</v>
      </c>
      <c r="M70" s="11">
        <f t="shared" si="5"/>
        <v>55.897639584000004</v>
      </c>
      <c r="N70" s="11">
        <f t="shared" si="5"/>
        <v>2.8897638719999925</v>
      </c>
      <c r="O70" s="152">
        <f t="shared" si="27"/>
        <v>161.83958116187389</v>
      </c>
      <c r="P70" s="8">
        <f t="shared" si="0"/>
        <v>10.061575125120001</v>
      </c>
      <c r="Q70" s="12">
        <f t="shared" si="28"/>
        <v>29.131124609137302</v>
      </c>
      <c r="R70" s="8">
        <f t="shared" si="1"/>
        <v>5.0307875625600005</v>
      </c>
      <c r="S70" s="12">
        <f t="shared" si="29"/>
        <v>14.565562304568651</v>
      </c>
      <c r="T70" s="17">
        <f>Sizing!CN84</f>
        <v>2</v>
      </c>
      <c r="U70" s="17">
        <f>Sizing!CO84</f>
        <v>2.3622047244094495E-2</v>
      </c>
      <c r="V70" s="17">
        <f>Sizing!CP84</f>
        <v>2.3622047244094495E-2</v>
      </c>
      <c r="W70" s="128">
        <f t="shared" si="6"/>
        <v>3.6269531605028051E-3</v>
      </c>
      <c r="X70" s="2">
        <f t="shared" si="7"/>
        <v>5.7803677036405475E-3</v>
      </c>
      <c r="Y70" s="2">
        <f t="shared" si="8"/>
        <v>9.4073208641433526E-3</v>
      </c>
      <c r="Z70" s="216">
        <f t="shared" si="30"/>
        <v>0.60607770520217863</v>
      </c>
      <c r="AA70" s="138">
        <f t="shared" si="31"/>
        <v>0.96592148782025622</v>
      </c>
      <c r="AB70" s="17">
        <f t="shared" si="32"/>
        <v>1.5719991930224348</v>
      </c>
      <c r="AC70" s="311">
        <f t="shared" si="33"/>
        <v>0.59562808959524449</v>
      </c>
      <c r="AD70" s="316">
        <f t="shared" si="34"/>
        <v>0.94926766906473448</v>
      </c>
      <c r="AE70" s="21">
        <f t="shared" si="35"/>
        <v>1.544895758659979</v>
      </c>
      <c r="AF70" s="170">
        <f>Sizing!DU84</f>
        <v>2.271823534607841</v>
      </c>
      <c r="AG70" s="170">
        <f>Sizing!DV84</f>
        <v>1.5072569570606869</v>
      </c>
      <c r="AH70" s="170">
        <f>Sizing!DW84</f>
        <v>2.271823534607841</v>
      </c>
      <c r="AI70" s="272">
        <f>Sizing!DX84</f>
        <v>1.5072569570606869</v>
      </c>
      <c r="AJ70" s="216">
        <f>Sizing!GJ84</f>
        <v>0.75</v>
      </c>
      <c r="AK70" s="216">
        <f>Sizing!GK84</f>
        <v>6.2992125984251982E-2</v>
      </c>
      <c r="AL70" s="17">
        <f>Sizing!GL84</f>
        <v>6.2992125984251982E-2</v>
      </c>
      <c r="AM70" s="216">
        <f t="shared" si="9"/>
        <v>9.6718750946741469E-3</v>
      </c>
      <c r="AN70" s="138">
        <f t="shared" si="10"/>
        <v>2.1676378888652054E-3</v>
      </c>
      <c r="AO70" s="138">
        <f t="shared" si="11"/>
        <v>1.1839512983539352E-2</v>
      </c>
      <c r="AP70" s="311">
        <f t="shared" si="36"/>
        <v>0.28175259858696422</v>
      </c>
      <c r="AQ70" s="11">
        <f t="shared" si="37"/>
        <v>6.3145729448019619E-2</v>
      </c>
      <c r="AR70" s="21">
        <f t="shared" si="38"/>
        <v>0.34489832803498383</v>
      </c>
      <c r="AS70" s="11">
        <f t="shared" si="12"/>
        <v>0.4032007729644041</v>
      </c>
      <c r="AT70" s="21">
        <f t="shared" si="39"/>
        <v>0.4032007729644041</v>
      </c>
      <c r="AU70" s="170">
        <f>Sizing!JC84</f>
        <v>3.485943317074526E-2</v>
      </c>
      <c r="AV70" s="272">
        <f>Sizing!JD84</f>
        <v>0.18670681072404741</v>
      </c>
      <c r="AW70" s="170">
        <f>Sizing!JC84</f>
        <v>3.485943317074526E-2</v>
      </c>
      <c r="AX70" s="272">
        <f>Sizing!JD84</f>
        <v>0.18670681072404741</v>
      </c>
      <c r="AY70" s="216">
        <f>Sizing!IT84</f>
        <v>0.5</v>
      </c>
      <c r="AZ70" s="216">
        <f>Sizing!IU84</f>
        <v>1.5748031496062995E-2</v>
      </c>
      <c r="BA70" s="17">
        <f>Sizing!IV84</f>
        <v>1.5748031496062995E-2</v>
      </c>
      <c r="BB70" s="216">
        <f t="shared" si="13"/>
        <v>2.4179687736685367E-3</v>
      </c>
      <c r="BC70" s="138">
        <f t="shared" si="14"/>
        <v>1.4450919259101369E-3</v>
      </c>
      <c r="BD70" s="138">
        <f t="shared" si="15"/>
        <v>3.8630606995786734E-3</v>
      </c>
      <c r="BE70" s="311">
        <f t="shared" si="16"/>
        <v>3.5219074823370528E-2</v>
      </c>
      <c r="BF70" s="11">
        <f t="shared" si="17"/>
        <v>2.1048576482673203E-2</v>
      </c>
      <c r="BG70" s="21">
        <f t="shared" si="18"/>
        <v>5.6267651306043727E-2</v>
      </c>
      <c r="BH70" s="21">
        <f t="shared" si="19"/>
        <v>6.1868143301771414E-3</v>
      </c>
      <c r="BI70" s="21">
        <f t="shared" si="20"/>
        <v>6.1868143301771414E-3</v>
      </c>
      <c r="BJ70" s="561"/>
      <c r="BK70">
        <f t="shared" si="21"/>
        <v>2.3290683160000003</v>
      </c>
      <c r="BL70">
        <f t="shared" si="22"/>
        <v>2.3290683160000003</v>
      </c>
      <c r="BM70">
        <f>C70*'Inputs-Imperial'!$E$12</f>
        <v>1.1645341580000002</v>
      </c>
      <c r="BN70">
        <f>C70*'Inputs-Imperial'!$E$12</f>
        <v>1.1645341580000002</v>
      </c>
      <c r="BO70">
        <f>C70*'Inputs-Imperial'!$E$12</f>
        <v>1.1645341580000002</v>
      </c>
      <c r="BP70">
        <f>C70*'Weight '!$E$15</f>
        <v>2.3290683160000003</v>
      </c>
      <c r="BQ70">
        <f>C70*'Weight '!$E$15</f>
        <v>2.3290683160000003</v>
      </c>
      <c r="BR70">
        <f>C70*'Weight '!$E$15</f>
        <v>2.3290683160000003</v>
      </c>
      <c r="BS70">
        <f t="shared" si="23"/>
        <v>8.7600595359352145</v>
      </c>
      <c r="BT70" s="564">
        <f t="shared" si="24"/>
        <v>4.3368361056126039</v>
      </c>
      <c r="BU70">
        <f t="shared" si="40"/>
        <v>2.0199194349535614</v>
      </c>
    </row>
    <row r="71" spans="1:73" x14ac:dyDescent="0.25">
      <c r="A71" s="186">
        <v>25</v>
      </c>
      <c r="B71" s="187">
        <f>A71/100*'Inputs-Imperial'!$E$5</f>
        <v>6.0203413999999995</v>
      </c>
      <c r="C71" s="188">
        <f>'Inputs-Imperial'!$E$10+('Inputs-Imperial'!$E$9-'Inputs-Imperial'!$E$10)*(100-A71)/100</f>
        <v>4.6403380750000007</v>
      </c>
      <c r="D71" s="187">
        <f t="shared" si="25"/>
        <v>0.24081365600000026</v>
      </c>
      <c r="E71" s="188">
        <f t="shared" si="26"/>
        <v>1.1195998447081006</v>
      </c>
      <c r="F71" s="423">
        <f>Sizing!F85</f>
        <v>677.19199006612291</v>
      </c>
      <c r="G71" s="423">
        <f>Sizing!G85</f>
        <v>6771.919900661228</v>
      </c>
      <c r="H71" s="423">
        <f>Sizing!H85</f>
        <v>55196.898081960848</v>
      </c>
      <c r="I71" s="423">
        <f>Sizing!I85</f>
        <v>-15031.876378535813</v>
      </c>
      <c r="J71" s="189">
        <f>Sizing!J85</f>
        <v>5519.6898081960871</v>
      </c>
      <c r="K71" s="128">
        <v>25</v>
      </c>
      <c r="L71" s="12">
        <f t="shared" si="5"/>
        <v>72.244096799999994</v>
      </c>
      <c r="M71" s="11">
        <f t="shared" si="5"/>
        <v>55.684056900000009</v>
      </c>
      <c r="N71" s="11">
        <f t="shared" si="5"/>
        <v>2.8897638720000032</v>
      </c>
      <c r="O71" s="152">
        <f t="shared" si="27"/>
        <v>161.22237763796647</v>
      </c>
      <c r="P71" s="8">
        <f t="shared" si="0"/>
        <v>10.023130242000001</v>
      </c>
      <c r="Q71" s="12">
        <f t="shared" si="28"/>
        <v>29.020027974833969</v>
      </c>
      <c r="R71" s="8">
        <f t="shared" si="1"/>
        <v>5.0115651210000003</v>
      </c>
      <c r="S71" s="12">
        <f t="shared" si="29"/>
        <v>14.510013987416984</v>
      </c>
      <c r="T71" s="17">
        <f>Sizing!CN85</f>
        <v>2.5</v>
      </c>
      <c r="U71" s="17">
        <f>Sizing!CO85</f>
        <v>2.3622047244094495E-2</v>
      </c>
      <c r="V71" s="17">
        <f>Sizing!CP85</f>
        <v>1.5748031496062995E-2</v>
      </c>
      <c r="W71" s="128">
        <f t="shared" si="6"/>
        <v>3.0224609670856709E-3</v>
      </c>
      <c r="X71" s="2">
        <f t="shared" si="7"/>
        <v>7.2254596295506842E-3</v>
      </c>
      <c r="Y71" s="2">
        <f t="shared" si="8"/>
        <v>1.0247920596636356E-2</v>
      </c>
      <c r="Z71" s="216">
        <f t="shared" si="30"/>
        <v>0.50313860163542523</v>
      </c>
      <c r="AA71" s="138">
        <f t="shared" si="31"/>
        <v>1.2027972217919809</v>
      </c>
      <c r="AB71" s="17">
        <f t="shared" si="32"/>
        <v>1.705935823427406</v>
      </c>
      <c r="AC71" s="311">
        <f t="shared" si="33"/>
        <v>0.49446379815895231</v>
      </c>
      <c r="AD71" s="316">
        <f t="shared" si="34"/>
        <v>1.1820593386576363</v>
      </c>
      <c r="AE71" s="21">
        <f t="shared" si="35"/>
        <v>1.6765231368165887</v>
      </c>
      <c r="AF71" s="170">
        <f>Sizing!DU85</f>
        <v>2.271823534607841</v>
      </c>
      <c r="AG71" s="170">
        <f>Sizing!DV85</f>
        <v>1.5072569570606869</v>
      </c>
      <c r="AH71" s="170">
        <f>Sizing!DW85</f>
        <v>2.271823534607841</v>
      </c>
      <c r="AI71" s="272">
        <f>Sizing!DX85</f>
        <v>1.5072569570606869</v>
      </c>
      <c r="AJ71" s="216">
        <f>Sizing!GJ85</f>
        <v>0.5</v>
      </c>
      <c r="AK71" s="216">
        <f>Sizing!GK85</f>
        <v>5.5118110236220486E-2</v>
      </c>
      <c r="AL71" s="17">
        <f>Sizing!GL85</f>
        <v>5.5118110236220486E-2</v>
      </c>
      <c r="AM71" s="216">
        <f t="shared" si="9"/>
        <v>8.4628907078398794E-3</v>
      </c>
      <c r="AN71" s="138">
        <f t="shared" si="10"/>
        <v>1.4450919259101369E-3</v>
      </c>
      <c r="AO71" s="138">
        <f t="shared" si="11"/>
        <v>9.9079826337500169E-3</v>
      </c>
      <c r="AP71" s="311">
        <f t="shared" si="36"/>
        <v>0.24559332508947576</v>
      </c>
      <c r="AQ71" s="11">
        <f t="shared" si="37"/>
        <v>4.1936608116118872E-2</v>
      </c>
      <c r="AR71" s="21">
        <f t="shared" si="38"/>
        <v>0.28752993320559461</v>
      </c>
      <c r="AS71" s="11">
        <f t="shared" si="12"/>
        <v>0.40320077296440554</v>
      </c>
      <c r="AT71" s="21">
        <f t="shared" si="39"/>
        <v>0.40320077296440554</v>
      </c>
      <c r="AU71" s="170">
        <f>Sizing!JC85</f>
        <v>3.485943317074526E-2</v>
      </c>
      <c r="AV71" s="272">
        <f>Sizing!JD85</f>
        <v>0.18670681072404741</v>
      </c>
      <c r="AW71" s="170">
        <f>Sizing!JC85</f>
        <v>3.485943317074526E-2</v>
      </c>
      <c r="AX71" s="272">
        <f>Sizing!JD85</f>
        <v>0.18670681072404741</v>
      </c>
      <c r="AY71" s="216">
        <f>Sizing!IT85</f>
        <v>0.5</v>
      </c>
      <c r="AZ71" s="216">
        <f>Sizing!IU85</f>
        <v>1.5748031496062995E-2</v>
      </c>
      <c r="BA71" s="17">
        <f>Sizing!IV85</f>
        <v>1.5748031496062995E-2</v>
      </c>
      <c r="BB71" s="216">
        <f t="shared" si="13"/>
        <v>2.4179687736685367E-3</v>
      </c>
      <c r="BC71" s="138">
        <f t="shared" si="14"/>
        <v>1.4450919259101369E-3</v>
      </c>
      <c r="BD71" s="138">
        <f t="shared" si="15"/>
        <v>3.8630606995786734E-3</v>
      </c>
      <c r="BE71" s="311">
        <f t="shared" si="16"/>
        <v>3.5084760727067961E-2</v>
      </c>
      <c r="BF71" s="11">
        <f t="shared" si="17"/>
        <v>2.0968304058059436E-2</v>
      </c>
      <c r="BG71" s="21">
        <f t="shared" si="18"/>
        <v>5.6053064785127393E-2</v>
      </c>
      <c r="BH71" s="21">
        <f t="shared" si="19"/>
        <v>6.1868143301771639E-3</v>
      </c>
      <c r="BI71" s="21">
        <f t="shared" si="20"/>
        <v>6.1868143301771639E-3</v>
      </c>
      <c r="BJ71" s="561"/>
      <c r="BK71">
        <f t="shared" si="21"/>
        <v>2.3201690375000004</v>
      </c>
      <c r="BL71">
        <f t="shared" si="22"/>
        <v>2.3201690375000004</v>
      </c>
      <c r="BM71">
        <f>C71*'Inputs-Imperial'!$E$12</f>
        <v>1.1600845187500002</v>
      </c>
      <c r="BN71">
        <f>C71*'Inputs-Imperial'!$E$12</f>
        <v>1.1600845187500002</v>
      </c>
      <c r="BO71">
        <f>C71*'Inputs-Imperial'!$E$12</f>
        <v>1.1600845187500002</v>
      </c>
      <c r="BP71">
        <f>C71*'Weight '!$E$15</f>
        <v>2.3201690375000004</v>
      </c>
      <c r="BQ71">
        <f>C71*'Weight '!$E$15</f>
        <v>2.3201690375000004</v>
      </c>
      <c r="BR71">
        <f>C71*'Weight '!$E$15</f>
        <v>2.3201690375000004</v>
      </c>
      <c r="BS71">
        <f t="shared" si="23"/>
        <v>9.2756910191603836</v>
      </c>
      <c r="BT71" s="564">
        <f t="shared" si="24"/>
        <v>4.5448171328238818</v>
      </c>
      <c r="BU71">
        <f t="shared" si="40"/>
        <v>2.0409382265721692</v>
      </c>
    </row>
    <row r="72" spans="1:73" x14ac:dyDescent="0.25">
      <c r="A72" s="186">
        <v>26</v>
      </c>
      <c r="B72" s="187">
        <f>A72/100*'Inputs-Imperial'!$E$5</f>
        <v>6.2611550559999998</v>
      </c>
      <c r="C72" s="188">
        <f>'Inputs-Imperial'!$E$10+('Inputs-Imperial'!$E$9-'Inputs-Imperial'!$E$10)*(100-A72)/100</f>
        <v>4.622539518</v>
      </c>
      <c r="D72" s="187">
        <f t="shared" si="25"/>
        <v>0.24081365600000026</v>
      </c>
      <c r="E72" s="188">
        <f t="shared" si="26"/>
        <v>1.1153137091254064</v>
      </c>
      <c r="F72" s="423">
        <f>Sizing!F86</f>
        <v>665.85570996797981</v>
      </c>
      <c r="G72" s="423">
        <f>Sizing!G86</f>
        <v>6658.5570996797978</v>
      </c>
      <c r="H72" s="423">
        <f>Sizing!H86</f>
        <v>53566.12729254346</v>
      </c>
      <c r="I72" s="423">
        <f>Sizing!I86</f>
        <v>-14726.970079644552</v>
      </c>
      <c r="J72" s="189">
        <f>Sizing!J86</f>
        <v>5356.6127292543479</v>
      </c>
      <c r="K72" s="128">
        <v>26</v>
      </c>
      <c r="L72" s="12">
        <f t="shared" si="5"/>
        <v>75.133860671999997</v>
      </c>
      <c r="M72" s="11">
        <f t="shared" si="5"/>
        <v>55.470474216</v>
      </c>
      <c r="N72" s="11">
        <f t="shared" si="5"/>
        <v>2.8897638720000032</v>
      </c>
      <c r="O72" s="152">
        <f t="shared" si="27"/>
        <v>160.60517411405851</v>
      </c>
      <c r="P72" s="8">
        <f t="shared" si="0"/>
        <v>9.9846853588800002</v>
      </c>
      <c r="Q72" s="12">
        <f t="shared" si="28"/>
        <v>28.908931340530529</v>
      </c>
      <c r="R72" s="8">
        <f t="shared" si="1"/>
        <v>4.9923426794400001</v>
      </c>
      <c r="S72" s="12">
        <f t="shared" si="29"/>
        <v>14.454465670265265</v>
      </c>
      <c r="T72" s="17">
        <f>Sizing!CN86</f>
        <v>2.5</v>
      </c>
      <c r="U72" s="17">
        <f>Sizing!CO86</f>
        <v>2.3622047244094495E-2</v>
      </c>
      <c r="V72" s="17">
        <f>Sizing!CP86</f>
        <v>1.5748031496062995E-2</v>
      </c>
      <c r="W72" s="128">
        <f t="shared" si="6"/>
        <v>3.0224609670856709E-3</v>
      </c>
      <c r="X72" s="2">
        <f t="shared" si="7"/>
        <v>7.2254596295506842E-3</v>
      </c>
      <c r="Y72" s="2">
        <f t="shared" si="8"/>
        <v>1.0247920596636356E-2</v>
      </c>
      <c r="Z72" s="216">
        <f t="shared" si="30"/>
        <v>0.50121244893569983</v>
      </c>
      <c r="AA72" s="138">
        <f t="shared" si="31"/>
        <v>1.1981925838086374</v>
      </c>
      <c r="AB72" s="17">
        <f t="shared" si="32"/>
        <v>1.6994050327443373</v>
      </c>
      <c r="AC72" s="311">
        <f t="shared" si="33"/>
        <v>0.49257085498853254</v>
      </c>
      <c r="AD72" s="316">
        <f t="shared" si="34"/>
        <v>1.1775340909843504</v>
      </c>
      <c r="AE72" s="21">
        <f t="shared" si="35"/>
        <v>1.6701049459728829</v>
      </c>
      <c r="AF72" s="170">
        <f>Sizing!DU86</f>
        <v>2.271823534607841</v>
      </c>
      <c r="AG72" s="170">
        <f>Sizing!DV86</f>
        <v>1.5072569570606869</v>
      </c>
      <c r="AH72" s="170">
        <f>Sizing!DW86</f>
        <v>2.271823534607841</v>
      </c>
      <c r="AI72" s="272">
        <f>Sizing!DX86</f>
        <v>1.5072569570606869</v>
      </c>
      <c r="AJ72" s="216">
        <f>Sizing!GJ86</f>
        <v>0.5</v>
      </c>
      <c r="AK72" s="216">
        <f>Sizing!GK86</f>
        <v>5.5118110236220486E-2</v>
      </c>
      <c r="AL72" s="17">
        <f>Sizing!GL86</f>
        <v>5.5118110236220486E-2</v>
      </c>
      <c r="AM72" s="216">
        <f t="shared" si="9"/>
        <v>8.4628907078398794E-3</v>
      </c>
      <c r="AN72" s="138">
        <f t="shared" si="10"/>
        <v>1.4450919259101369E-3</v>
      </c>
      <c r="AO72" s="138">
        <f t="shared" si="11"/>
        <v>9.9079826337500169E-3</v>
      </c>
      <c r="AP72" s="311">
        <f t="shared" si="36"/>
        <v>0.24465312641535689</v>
      </c>
      <c r="AQ72" s="11">
        <f t="shared" si="37"/>
        <v>4.1776063266891178E-2</v>
      </c>
      <c r="AR72" s="21">
        <f t="shared" si="38"/>
        <v>0.28642918968224806</v>
      </c>
      <c r="AS72" s="11">
        <f t="shared" si="12"/>
        <v>0.40320077296440554</v>
      </c>
      <c r="AT72" s="21">
        <f t="shared" si="39"/>
        <v>0.40320077296440554</v>
      </c>
      <c r="AU72" s="170">
        <f>Sizing!JC86</f>
        <v>3.485943317074526E-2</v>
      </c>
      <c r="AV72" s="272">
        <f>Sizing!JD86</f>
        <v>0.18670681072404741</v>
      </c>
      <c r="AW72" s="170">
        <f>Sizing!JC86</f>
        <v>3.485943317074526E-2</v>
      </c>
      <c r="AX72" s="272">
        <f>Sizing!JD86</f>
        <v>0.18670681072404741</v>
      </c>
      <c r="AY72" s="216">
        <f>Sizing!IT86</f>
        <v>0.5</v>
      </c>
      <c r="AZ72" s="216">
        <f>Sizing!IU86</f>
        <v>1.5748031496062995E-2</v>
      </c>
      <c r="BA72" s="17">
        <f>Sizing!IV86</f>
        <v>1.5748031496062995E-2</v>
      </c>
      <c r="BB72" s="216">
        <f t="shared" si="13"/>
        <v>2.4179687736685367E-3</v>
      </c>
      <c r="BC72" s="138">
        <f t="shared" si="14"/>
        <v>1.4450919259101369E-3</v>
      </c>
      <c r="BD72" s="138">
        <f t="shared" si="15"/>
        <v>3.8630606995786734E-3</v>
      </c>
      <c r="BE72" s="311">
        <f t="shared" si="16"/>
        <v>3.4950446630765263E-2</v>
      </c>
      <c r="BF72" s="11">
        <f t="shared" si="17"/>
        <v>2.0888031633445589E-2</v>
      </c>
      <c r="BG72" s="21">
        <f t="shared" si="18"/>
        <v>5.5838478264210852E-2</v>
      </c>
      <c r="BH72" s="21">
        <f t="shared" si="19"/>
        <v>6.1868143301771639E-3</v>
      </c>
      <c r="BI72" s="21">
        <f t="shared" si="20"/>
        <v>6.1868143301771639E-3</v>
      </c>
      <c r="BJ72" s="561"/>
      <c r="BK72">
        <f t="shared" si="21"/>
        <v>2.311269759</v>
      </c>
      <c r="BL72">
        <f t="shared" si="22"/>
        <v>2.311269759</v>
      </c>
      <c r="BM72">
        <f>C72*'Inputs-Imperial'!$E$12</f>
        <v>1.1556348795</v>
      </c>
      <c r="BN72">
        <f>C72*'Inputs-Imperial'!$E$12</f>
        <v>1.1556348795</v>
      </c>
      <c r="BO72">
        <f>C72*'Inputs-Imperial'!$E$12</f>
        <v>1.1556348795</v>
      </c>
      <c r="BP72">
        <f>C72*'Weight '!$E$15</f>
        <v>2.311269759</v>
      </c>
      <c r="BQ72">
        <f>C72*'Weight '!$E$15</f>
        <v>2.311269759</v>
      </c>
      <c r="BR72">
        <f>C72*'Weight '!$E$15</f>
        <v>2.311269759</v>
      </c>
      <c r="BS72">
        <f t="shared" si="23"/>
        <v>9.2084164118520508</v>
      </c>
      <c r="BT72" s="564">
        <f t="shared" si="24"/>
        <v>4.5305528212528445</v>
      </c>
      <c r="BU72">
        <f t="shared" si="40"/>
        <v>2.0325149656473105</v>
      </c>
    </row>
    <row r="73" spans="1:73" x14ac:dyDescent="0.25">
      <c r="A73" s="186">
        <v>27</v>
      </c>
      <c r="B73" s="187">
        <f>A73/100*'Inputs-Imperial'!$E$5</f>
        <v>6.501968712</v>
      </c>
      <c r="C73" s="188">
        <f>'Inputs-Imperial'!$E$10+('Inputs-Imperial'!$E$9-'Inputs-Imperial'!$E$10)*(100-A73)/100</f>
        <v>4.604740961000001</v>
      </c>
      <c r="D73" s="187">
        <f t="shared" si="25"/>
        <v>0.24081365600000026</v>
      </c>
      <c r="E73" s="188">
        <f t="shared" si="26"/>
        <v>1.111027573542712</v>
      </c>
      <c r="F73" s="423">
        <f>Sizing!F87</f>
        <v>654.55667074563019</v>
      </c>
      <c r="G73" s="423">
        <f>Sizing!G87</f>
        <v>6545.5667074563016</v>
      </c>
      <c r="H73" s="423">
        <f>Sizing!H87</f>
        <v>51962.655813684811</v>
      </c>
      <c r="I73" s="423">
        <f>Sizing!I87</f>
        <v>-14424.074634337911</v>
      </c>
      <c r="J73" s="189">
        <f>Sizing!J87</f>
        <v>5196.2655813684833</v>
      </c>
      <c r="K73" s="128">
        <v>27</v>
      </c>
      <c r="L73" s="12">
        <f t="shared" si="5"/>
        <v>78.023624544</v>
      </c>
      <c r="M73" s="11">
        <f t="shared" si="5"/>
        <v>55.256891532000012</v>
      </c>
      <c r="N73" s="11">
        <f t="shared" si="5"/>
        <v>2.8897638720000032</v>
      </c>
      <c r="O73" s="152">
        <f t="shared" si="27"/>
        <v>159.98797059015052</v>
      </c>
      <c r="P73" s="8">
        <f t="shared" si="0"/>
        <v>9.9462404757600016</v>
      </c>
      <c r="Q73" s="12">
        <f t="shared" si="28"/>
        <v>28.797834706227089</v>
      </c>
      <c r="R73" s="8">
        <f t="shared" si="1"/>
        <v>4.9731202378800008</v>
      </c>
      <c r="S73" s="12">
        <f t="shared" si="29"/>
        <v>14.398917353113545</v>
      </c>
      <c r="T73" s="17">
        <f>Sizing!CN87</f>
        <v>2.5</v>
      </c>
      <c r="U73" s="17">
        <f>Sizing!CO87</f>
        <v>2.3622047244094495E-2</v>
      </c>
      <c r="V73" s="17">
        <f>Sizing!CP87</f>
        <v>1.5748031496062995E-2</v>
      </c>
      <c r="W73" s="128">
        <f t="shared" si="6"/>
        <v>3.0224609670856709E-3</v>
      </c>
      <c r="X73" s="2">
        <f t="shared" si="7"/>
        <v>7.2254596295506842E-3</v>
      </c>
      <c r="Y73" s="2">
        <f t="shared" si="8"/>
        <v>1.0247920596636356E-2</v>
      </c>
      <c r="Z73" s="216">
        <f t="shared" si="30"/>
        <v>0.49928629623597437</v>
      </c>
      <c r="AA73" s="138">
        <f t="shared" si="31"/>
        <v>1.1935879458252936</v>
      </c>
      <c r="AB73" s="17">
        <f t="shared" si="32"/>
        <v>1.6928742420612681</v>
      </c>
      <c r="AC73" s="311">
        <f t="shared" si="33"/>
        <v>0.49067791181811277</v>
      </c>
      <c r="AD73" s="316">
        <f t="shared" si="34"/>
        <v>1.1730088433110646</v>
      </c>
      <c r="AE73" s="21">
        <f t="shared" si="35"/>
        <v>1.6636867551291774</v>
      </c>
      <c r="AF73" s="170">
        <f>Sizing!DU87</f>
        <v>2.271823534607841</v>
      </c>
      <c r="AG73" s="170">
        <f>Sizing!DV87</f>
        <v>1.5072569570606869</v>
      </c>
      <c r="AH73" s="170">
        <f>Sizing!DW87</f>
        <v>2.271823534607841</v>
      </c>
      <c r="AI73" s="272">
        <f>Sizing!DX87</f>
        <v>1.5072569570606869</v>
      </c>
      <c r="AJ73" s="216">
        <f>Sizing!GJ87</f>
        <v>0.5</v>
      </c>
      <c r="AK73" s="216">
        <f>Sizing!GK87</f>
        <v>5.5118110236220486E-2</v>
      </c>
      <c r="AL73" s="17">
        <f>Sizing!GL87</f>
        <v>5.5118110236220486E-2</v>
      </c>
      <c r="AM73" s="216">
        <f t="shared" si="9"/>
        <v>8.4628907078398794E-3</v>
      </c>
      <c r="AN73" s="138">
        <f t="shared" si="10"/>
        <v>1.4450919259101369E-3</v>
      </c>
      <c r="AO73" s="138">
        <f t="shared" si="11"/>
        <v>9.9079826337500169E-3</v>
      </c>
      <c r="AP73" s="311">
        <f t="shared" si="36"/>
        <v>0.24371292774123801</v>
      </c>
      <c r="AQ73" s="11">
        <f t="shared" si="37"/>
        <v>4.1615518417663484E-2</v>
      </c>
      <c r="AR73" s="21">
        <f t="shared" si="38"/>
        <v>0.28532844615890152</v>
      </c>
      <c r="AS73" s="11">
        <f t="shared" si="12"/>
        <v>0.40320077296440554</v>
      </c>
      <c r="AT73" s="21">
        <f t="shared" si="39"/>
        <v>0.40320077296440554</v>
      </c>
      <c r="AU73" s="170">
        <f>Sizing!JC87</f>
        <v>3.485943317074526E-2</v>
      </c>
      <c r="AV73" s="272">
        <f>Sizing!JD87</f>
        <v>0.18670681072404741</v>
      </c>
      <c r="AW73" s="170">
        <f>Sizing!JC87</f>
        <v>3.485943317074526E-2</v>
      </c>
      <c r="AX73" s="272">
        <f>Sizing!JD87</f>
        <v>0.18670681072404741</v>
      </c>
      <c r="AY73" s="216">
        <f>Sizing!IT87</f>
        <v>0.5</v>
      </c>
      <c r="AZ73" s="216">
        <f>Sizing!IU87</f>
        <v>1.5748031496062995E-2</v>
      </c>
      <c r="BA73" s="17">
        <f>Sizing!IV87</f>
        <v>1.5748031496062995E-2</v>
      </c>
      <c r="BB73" s="216">
        <f t="shared" si="13"/>
        <v>2.4179687736685367E-3</v>
      </c>
      <c r="BC73" s="138">
        <f t="shared" si="14"/>
        <v>1.4450919259101369E-3</v>
      </c>
      <c r="BD73" s="138">
        <f t="shared" si="15"/>
        <v>3.8630606995786734E-3</v>
      </c>
      <c r="BE73" s="311">
        <f t="shared" si="16"/>
        <v>3.4816132534462571E-2</v>
      </c>
      <c r="BF73" s="11">
        <f t="shared" si="17"/>
        <v>2.0807759208831742E-2</v>
      </c>
      <c r="BG73" s="21">
        <f t="shared" si="18"/>
        <v>5.562389174329431E-2</v>
      </c>
      <c r="BH73" s="21">
        <f t="shared" si="19"/>
        <v>6.1868143301771639E-3</v>
      </c>
      <c r="BI73" s="21">
        <f t="shared" si="20"/>
        <v>6.1868143301771639E-3</v>
      </c>
      <c r="BJ73" s="561"/>
      <c r="BK73">
        <f t="shared" si="21"/>
        <v>2.3023704805000005</v>
      </c>
      <c r="BL73">
        <f t="shared" si="22"/>
        <v>2.3023704805000005</v>
      </c>
      <c r="BM73">
        <f>C73*'Inputs-Imperial'!$E$12</f>
        <v>1.1511852402500002</v>
      </c>
      <c r="BN73">
        <f>C73*'Inputs-Imperial'!$E$12</f>
        <v>1.1511852402500002</v>
      </c>
      <c r="BO73">
        <f>C73*'Inputs-Imperial'!$E$12</f>
        <v>1.1511852402500002</v>
      </c>
      <c r="BP73">
        <f>C73*'Weight '!$E$15</f>
        <v>2.3023704805000005</v>
      </c>
      <c r="BQ73">
        <f>C73*'Weight '!$E$15</f>
        <v>2.3023704805000005</v>
      </c>
      <c r="BR73">
        <f>C73*'Weight '!$E$15</f>
        <v>2.3023704805000005</v>
      </c>
      <c r="BS73">
        <f t="shared" si="23"/>
        <v>9.1413858928831111</v>
      </c>
      <c r="BT73" s="564">
        <f t="shared" si="24"/>
        <v>4.5162885096818064</v>
      </c>
      <c r="BU73">
        <f t="shared" si="40"/>
        <v>2.0240925426456347</v>
      </c>
    </row>
    <row r="74" spans="1:73" x14ac:dyDescent="0.25">
      <c r="A74" s="186">
        <v>28</v>
      </c>
      <c r="B74" s="187">
        <f>A74/100*'Inputs-Imperial'!$E$5</f>
        <v>6.7427823680000003</v>
      </c>
      <c r="C74" s="188">
        <f>'Inputs-Imperial'!$E$10+('Inputs-Imperial'!$E$9-'Inputs-Imperial'!$E$10)*(100-A74)/100</f>
        <v>4.5869424040000002</v>
      </c>
      <c r="D74" s="187">
        <f t="shared" si="25"/>
        <v>0.24081365600000026</v>
      </c>
      <c r="E74" s="188">
        <f t="shared" si="26"/>
        <v>1.1067414379600176</v>
      </c>
      <c r="F74" s="423">
        <f>Sizing!F88</f>
        <v>643.29556193091526</v>
      </c>
      <c r="G74" s="423">
        <f>Sizing!G88</f>
        <v>6432.9556193091521</v>
      </c>
      <c r="H74" s="423">
        <f>Sizing!H88</f>
        <v>50386.393964270377</v>
      </c>
      <c r="I74" s="423">
        <f>Sizing!I88</f>
        <v>-14123.220344847368</v>
      </c>
      <c r="J74" s="189">
        <f>Sizing!J88</f>
        <v>5038.6393964270401</v>
      </c>
      <c r="K74" s="128">
        <v>28</v>
      </c>
      <c r="L74" s="12">
        <f t="shared" si="5"/>
        <v>80.913388416000004</v>
      </c>
      <c r="M74" s="11">
        <f t="shared" si="5"/>
        <v>55.043308848000002</v>
      </c>
      <c r="N74" s="11">
        <f t="shared" si="5"/>
        <v>2.8897638720000032</v>
      </c>
      <c r="O74" s="152">
        <f t="shared" si="27"/>
        <v>159.37076706624254</v>
      </c>
      <c r="P74" s="8">
        <f t="shared" si="0"/>
        <v>9.9077955926399994</v>
      </c>
      <c r="Q74" s="12">
        <f t="shared" si="28"/>
        <v>28.686738071923649</v>
      </c>
      <c r="R74" s="8">
        <f t="shared" si="1"/>
        <v>4.9538977963199997</v>
      </c>
      <c r="S74" s="12">
        <f t="shared" si="29"/>
        <v>14.343369035961825</v>
      </c>
      <c r="T74" s="17">
        <f>Sizing!CN88</f>
        <v>2.5</v>
      </c>
      <c r="U74" s="17">
        <f>Sizing!CO88</f>
        <v>2.3622047244094495E-2</v>
      </c>
      <c r="V74" s="17">
        <f>Sizing!CP88</f>
        <v>1.5748031496062995E-2</v>
      </c>
      <c r="W74" s="128">
        <f t="shared" si="6"/>
        <v>3.0224609670856709E-3</v>
      </c>
      <c r="X74" s="2">
        <f t="shared" si="7"/>
        <v>7.2254596295506842E-3</v>
      </c>
      <c r="Y74" s="2">
        <f t="shared" si="8"/>
        <v>1.0247920596636356E-2</v>
      </c>
      <c r="Z74" s="216">
        <f t="shared" si="30"/>
        <v>0.49736014353624897</v>
      </c>
      <c r="AA74" s="138">
        <f t="shared" si="31"/>
        <v>1.1889833078419503</v>
      </c>
      <c r="AB74" s="17">
        <f t="shared" si="32"/>
        <v>1.6863434513781992</v>
      </c>
      <c r="AC74" s="311">
        <f t="shared" si="33"/>
        <v>0.48878496864769289</v>
      </c>
      <c r="AD74" s="316">
        <f t="shared" si="34"/>
        <v>1.1684835956377784</v>
      </c>
      <c r="AE74" s="21">
        <f t="shared" si="35"/>
        <v>1.6572685642854714</v>
      </c>
      <c r="AF74" s="170">
        <f>Sizing!DU88</f>
        <v>2.271823534607841</v>
      </c>
      <c r="AG74" s="170">
        <f>Sizing!DV88</f>
        <v>1.5072569570606869</v>
      </c>
      <c r="AH74" s="170">
        <f>Sizing!DW88</f>
        <v>2.271823534607841</v>
      </c>
      <c r="AI74" s="272">
        <f>Sizing!DX88</f>
        <v>1.5072569570606869</v>
      </c>
      <c r="AJ74" s="216">
        <f>Sizing!GJ88</f>
        <v>0.5</v>
      </c>
      <c r="AK74" s="216">
        <f>Sizing!GK88</f>
        <v>5.5118110236220486E-2</v>
      </c>
      <c r="AL74" s="17">
        <f>Sizing!GL88</f>
        <v>5.5118110236220486E-2</v>
      </c>
      <c r="AM74" s="216">
        <f t="shared" si="9"/>
        <v>8.4628907078398794E-3</v>
      </c>
      <c r="AN74" s="138">
        <f t="shared" si="10"/>
        <v>1.4450919259101369E-3</v>
      </c>
      <c r="AO74" s="138">
        <f t="shared" si="11"/>
        <v>9.9079826337500169E-3</v>
      </c>
      <c r="AP74" s="311">
        <f t="shared" si="36"/>
        <v>0.24277272906711916</v>
      </c>
      <c r="AQ74" s="11">
        <f t="shared" si="37"/>
        <v>4.1454973568435791E-2</v>
      </c>
      <c r="AR74" s="21">
        <f t="shared" si="38"/>
        <v>0.28422770263555497</v>
      </c>
      <c r="AS74" s="11">
        <f t="shared" si="12"/>
        <v>0.40320077296440554</v>
      </c>
      <c r="AT74" s="21">
        <f t="shared" si="39"/>
        <v>0.40320077296440554</v>
      </c>
      <c r="AU74" s="170">
        <f>Sizing!JC88</f>
        <v>3.485943317074526E-2</v>
      </c>
      <c r="AV74" s="272">
        <f>Sizing!JD88</f>
        <v>0.18670681072404741</v>
      </c>
      <c r="AW74" s="170">
        <f>Sizing!JC88</f>
        <v>3.485943317074526E-2</v>
      </c>
      <c r="AX74" s="272">
        <f>Sizing!JD88</f>
        <v>0.18670681072404741</v>
      </c>
      <c r="AY74" s="216">
        <f>Sizing!IT88</f>
        <v>0.5</v>
      </c>
      <c r="AZ74" s="216">
        <f>Sizing!IU88</f>
        <v>1.5748031496062995E-2</v>
      </c>
      <c r="BA74" s="17">
        <f>Sizing!IV88</f>
        <v>1.5748031496062995E-2</v>
      </c>
      <c r="BB74" s="216">
        <f t="shared" si="13"/>
        <v>2.4179687736685367E-3</v>
      </c>
      <c r="BC74" s="138">
        <f t="shared" si="14"/>
        <v>1.4450919259101369E-3</v>
      </c>
      <c r="BD74" s="138">
        <f t="shared" si="15"/>
        <v>3.8630606995786734E-3</v>
      </c>
      <c r="BE74" s="311">
        <f t="shared" si="16"/>
        <v>3.4681818438159873E-2</v>
      </c>
      <c r="BF74" s="11">
        <f t="shared" si="17"/>
        <v>2.0727486784217895E-2</v>
      </c>
      <c r="BG74" s="21">
        <f t="shared" si="18"/>
        <v>5.5409305222377768E-2</v>
      </c>
      <c r="BH74" s="21">
        <f t="shared" si="19"/>
        <v>6.1868143301771639E-3</v>
      </c>
      <c r="BI74" s="21">
        <f t="shared" si="20"/>
        <v>6.1868143301771639E-3</v>
      </c>
      <c r="BJ74" s="561"/>
      <c r="BK74">
        <f t="shared" si="21"/>
        <v>2.2934712020000001</v>
      </c>
      <c r="BL74">
        <f t="shared" si="22"/>
        <v>2.2934712020000001</v>
      </c>
      <c r="BM74">
        <f>C74*'Inputs-Imperial'!$E$12</f>
        <v>1.146735601</v>
      </c>
      <c r="BN74">
        <f>C74*'Inputs-Imperial'!$E$12</f>
        <v>1.146735601</v>
      </c>
      <c r="BO74">
        <f>C74*'Inputs-Imperial'!$E$12</f>
        <v>1.146735601</v>
      </c>
      <c r="BP74">
        <f>C74*'Weight '!$E$15</f>
        <v>2.2934712020000001</v>
      </c>
      <c r="BQ74">
        <f>C74*'Weight '!$E$15</f>
        <v>2.2934712020000001</v>
      </c>
      <c r="BR74">
        <f>C74*'Weight '!$E$15</f>
        <v>2.2934712020000001</v>
      </c>
      <c r="BS74">
        <f t="shared" si="23"/>
        <v>9.0745994622535537</v>
      </c>
      <c r="BT74" s="564">
        <f t="shared" si="24"/>
        <v>4.5020241981107691</v>
      </c>
      <c r="BU74">
        <f t="shared" si="40"/>
        <v>2.0156709655318203</v>
      </c>
    </row>
    <row r="75" spans="1:73" x14ac:dyDescent="0.25">
      <c r="A75" s="186">
        <v>29</v>
      </c>
      <c r="B75" s="187">
        <f>A75/100*'Inputs-Imperial'!$E$5</f>
        <v>6.9835960239999988</v>
      </c>
      <c r="C75" s="188">
        <f>'Inputs-Imperial'!$E$10+('Inputs-Imperial'!$E$9-'Inputs-Imperial'!$E$10)*(100-A75)/100</f>
        <v>4.5691438470000003</v>
      </c>
      <c r="D75" s="187">
        <f t="shared" si="25"/>
        <v>0.24081365599999849</v>
      </c>
      <c r="E75" s="188">
        <f t="shared" si="26"/>
        <v>1.1024553023773151</v>
      </c>
      <c r="F75" s="423">
        <f>Sizing!F89</f>
        <v>632.07307910849147</v>
      </c>
      <c r="G75" s="423">
        <f>Sizing!G89</f>
        <v>6320.730791084914</v>
      </c>
      <c r="H75" s="423">
        <f>Sizing!H89</f>
        <v>48837.250402698803</v>
      </c>
      <c r="I75" s="423">
        <f>Sizing!I89</f>
        <v>-13824.437464716792</v>
      </c>
      <c r="J75" s="189">
        <f>Sizing!J89</f>
        <v>4883.7250402698828</v>
      </c>
      <c r="K75" s="128">
        <v>29</v>
      </c>
      <c r="L75" s="12">
        <f t="shared" si="5"/>
        <v>83.803152287999978</v>
      </c>
      <c r="M75" s="11">
        <f t="shared" si="5"/>
        <v>54.829726164000007</v>
      </c>
      <c r="N75" s="11">
        <f t="shared" si="5"/>
        <v>2.8897638719999819</v>
      </c>
      <c r="O75" s="152">
        <f t="shared" si="27"/>
        <v>158.75356354233338</v>
      </c>
      <c r="P75" s="8">
        <f t="shared" si="0"/>
        <v>9.8693507095200008</v>
      </c>
      <c r="Q75" s="12">
        <f t="shared" si="28"/>
        <v>28.57564143762</v>
      </c>
      <c r="R75" s="8">
        <f t="shared" si="1"/>
        <v>4.9346753547600004</v>
      </c>
      <c r="S75" s="12">
        <f t="shared" si="29"/>
        <v>14.28782071881</v>
      </c>
      <c r="T75" s="17">
        <f>Sizing!CN89</f>
        <v>2.5</v>
      </c>
      <c r="U75" s="17">
        <f>Sizing!CO89</f>
        <v>2.3622047244094495E-2</v>
      </c>
      <c r="V75" s="17">
        <f>Sizing!CP89</f>
        <v>1.5748031496062995E-2</v>
      </c>
      <c r="W75" s="128">
        <f t="shared" si="6"/>
        <v>3.0224609670856709E-3</v>
      </c>
      <c r="X75" s="2">
        <f t="shared" si="7"/>
        <v>7.2254596295506842E-3</v>
      </c>
      <c r="Y75" s="2">
        <f t="shared" si="8"/>
        <v>1.0247920596636356E-2</v>
      </c>
      <c r="Z75" s="216">
        <f t="shared" si="30"/>
        <v>0.4954339908365199</v>
      </c>
      <c r="AA75" s="138">
        <f t="shared" si="31"/>
        <v>1.1843786698585979</v>
      </c>
      <c r="AB75" s="17">
        <f t="shared" si="32"/>
        <v>1.6798126606951178</v>
      </c>
      <c r="AC75" s="311">
        <f t="shared" si="33"/>
        <v>0.48689202547726951</v>
      </c>
      <c r="AD75" s="316">
        <f t="shared" si="34"/>
        <v>1.1639583479644839</v>
      </c>
      <c r="AE75" s="21">
        <f t="shared" si="35"/>
        <v>1.6508503734417534</v>
      </c>
      <c r="AF75" s="170">
        <f>Sizing!DU89</f>
        <v>2.271823534607841</v>
      </c>
      <c r="AG75" s="170">
        <f>Sizing!DV89</f>
        <v>1.5072569570606869</v>
      </c>
      <c r="AH75" s="170">
        <f>Sizing!DW89</f>
        <v>2.271823534607841</v>
      </c>
      <c r="AI75" s="272">
        <f>Sizing!DX89</f>
        <v>1.5072569570606869</v>
      </c>
      <c r="AJ75" s="216">
        <f>Sizing!GJ89</f>
        <v>0.5</v>
      </c>
      <c r="AK75" s="216">
        <f>Sizing!GK89</f>
        <v>5.5118110236220486E-2</v>
      </c>
      <c r="AL75" s="17">
        <f>Sizing!GL89</f>
        <v>5.5118110236220486E-2</v>
      </c>
      <c r="AM75" s="216">
        <f t="shared" si="9"/>
        <v>8.4628907078398794E-3</v>
      </c>
      <c r="AN75" s="138">
        <f t="shared" si="10"/>
        <v>1.4450919259101369E-3</v>
      </c>
      <c r="AO75" s="138">
        <f t="shared" si="11"/>
        <v>9.9079826337500169E-3</v>
      </c>
      <c r="AP75" s="311">
        <f t="shared" si="36"/>
        <v>0.24183253039299851</v>
      </c>
      <c r="AQ75" s="11">
        <f t="shared" si="37"/>
        <v>4.1294428719207799E-2</v>
      </c>
      <c r="AR75" s="21">
        <f t="shared" si="38"/>
        <v>0.28312695911220631</v>
      </c>
      <c r="AS75" s="11">
        <f t="shared" si="12"/>
        <v>0.40320077296440254</v>
      </c>
      <c r="AT75" s="21">
        <f t="shared" si="39"/>
        <v>0.40320077296440254</v>
      </c>
      <c r="AU75" s="170">
        <f>Sizing!JC89</f>
        <v>3.485943317074526E-2</v>
      </c>
      <c r="AV75" s="272">
        <f>Sizing!JD89</f>
        <v>0.18670681072404741</v>
      </c>
      <c r="AW75" s="170">
        <f>Sizing!JC89</f>
        <v>3.485943317074526E-2</v>
      </c>
      <c r="AX75" s="272">
        <f>Sizing!JD89</f>
        <v>0.18670681072404741</v>
      </c>
      <c r="AY75" s="216">
        <f>Sizing!IT89</f>
        <v>0.5</v>
      </c>
      <c r="AZ75" s="216">
        <f>Sizing!IU89</f>
        <v>1.5748031496062995E-2</v>
      </c>
      <c r="BA75" s="17">
        <f>Sizing!IV89</f>
        <v>1.5748031496062995E-2</v>
      </c>
      <c r="BB75" s="216">
        <f t="shared" si="13"/>
        <v>2.4179687736685367E-3</v>
      </c>
      <c r="BC75" s="138">
        <f t="shared" si="14"/>
        <v>1.4450919259101369E-3</v>
      </c>
      <c r="BD75" s="138">
        <f t="shared" si="15"/>
        <v>3.8630606995786734E-3</v>
      </c>
      <c r="BE75" s="311">
        <f t="shared" si="16"/>
        <v>3.4547504341856924E-2</v>
      </c>
      <c r="BF75" s="11">
        <f t="shared" si="17"/>
        <v>2.0647214359603899E-2</v>
      </c>
      <c r="BG75" s="21">
        <f t="shared" si="18"/>
        <v>5.5194718701460824E-2</v>
      </c>
      <c r="BH75" s="21">
        <f t="shared" si="19"/>
        <v>6.1868143301771188E-3</v>
      </c>
      <c r="BI75" s="21">
        <f t="shared" si="20"/>
        <v>6.1868143301771188E-3</v>
      </c>
      <c r="BJ75" s="561"/>
      <c r="BK75">
        <f t="shared" si="21"/>
        <v>2.2845719235000002</v>
      </c>
      <c r="BL75">
        <f t="shared" si="22"/>
        <v>2.2845719235000002</v>
      </c>
      <c r="BM75">
        <f>C75*'Inputs-Imperial'!$E$12</f>
        <v>1.1422859617500001</v>
      </c>
      <c r="BN75">
        <f>C75*'Inputs-Imperial'!$E$12</f>
        <v>1.1422859617500001</v>
      </c>
      <c r="BO75">
        <f>C75*'Inputs-Imperial'!$E$12</f>
        <v>1.1422859617500001</v>
      </c>
      <c r="BP75">
        <f>C75*'Weight '!$E$15</f>
        <v>2.2845719235000002</v>
      </c>
      <c r="BQ75">
        <f>C75*'Weight '!$E$15</f>
        <v>2.2845719235000002</v>
      </c>
      <c r="BR75">
        <f>C75*'Weight '!$E$15</f>
        <v>2.2845719235000002</v>
      </c>
      <c r="BS75">
        <f t="shared" si="23"/>
        <v>9.0080571199633255</v>
      </c>
      <c r="BT75" s="564">
        <f t="shared" si="24"/>
        <v>4.4877598865396982</v>
      </c>
      <c r="BU75">
        <f t="shared" si="40"/>
        <v>2.0072502423718168</v>
      </c>
    </row>
    <row r="76" spans="1:73" x14ac:dyDescent="0.25">
      <c r="A76" s="186">
        <v>30</v>
      </c>
      <c r="B76" s="187">
        <f>A76/100*'Inputs-Imperial'!$E$5</f>
        <v>7.2244096799999991</v>
      </c>
      <c r="C76" s="188">
        <f>'Inputs-Imperial'!$E$10+('Inputs-Imperial'!$E$9-'Inputs-Imperial'!$E$10)*(100-A76)/100</f>
        <v>4.5513452900000004</v>
      </c>
      <c r="D76" s="187">
        <f t="shared" si="25"/>
        <v>0.24081365600000026</v>
      </c>
      <c r="E76" s="188">
        <f t="shared" si="26"/>
        <v>1.0981691667946287</v>
      </c>
      <c r="F76" s="423">
        <f>Sizing!F90</f>
        <v>620.88992423413617</v>
      </c>
      <c r="G76" s="423">
        <f>Sizing!G90</f>
        <v>6208.8992423413611</v>
      </c>
      <c r="H76" s="423">
        <f>Sizing!H90</f>
        <v>47315.132112305873</v>
      </c>
      <c r="I76" s="423">
        <f>Sizing!I90</f>
        <v>-13527.756204454248</v>
      </c>
      <c r="J76" s="189">
        <f>Sizing!J90</f>
        <v>4731.5132112305891</v>
      </c>
      <c r="K76" s="128">
        <v>30</v>
      </c>
      <c r="L76" s="12">
        <f t="shared" si="5"/>
        <v>86.692916159999982</v>
      </c>
      <c r="M76" s="11">
        <f t="shared" si="5"/>
        <v>54.616143480000005</v>
      </c>
      <c r="N76" s="11">
        <f t="shared" si="5"/>
        <v>2.8897638720000032</v>
      </c>
      <c r="O76" s="152">
        <f t="shared" si="27"/>
        <v>158.13636001842653</v>
      </c>
      <c r="P76" s="8">
        <f t="shared" si="0"/>
        <v>9.8309058264000004</v>
      </c>
      <c r="Q76" s="12">
        <f t="shared" si="28"/>
        <v>28.464544803316777</v>
      </c>
      <c r="R76" s="8">
        <f t="shared" si="1"/>
        <v>4.9154529132000002</v>
      </c>
      <c r="S76" s="12">
        <f t="shared" si="29"/>
        <v>14.232272401658388</v>
      </c>
      <c r="T76" s="17">
        <f>Sizing!CN90</f>
        <v>2.5</v>
      </c>
      <c r="U76" s="17">
        <f>Sizing!CO90</f>
        <v>2.3622047244094495E-2</v>
      </c>
      <c r="V76" s="17">
        <f>Sizing!CP90</f>
        <v>1.5748031496062995E-2</v>
      </c>
      <c r="W76" s="128">
        <f t="shared" si="6"/>
        <v>3.0224609670856709E-3</v>
      </c>
      <c r="X76" s="2">
        <f t="shared" si="7"/>
        <v>7.2254596295506842E-3</v>
      </c>
      <c r="Y76" s="2">
        <f t="shared" si="8"/>
        <v>1.0247920596636356E-2</v>
      </c>
      <c r="Z76" s="216">
        <f t="shared" si="30"/>
        <v>0.49350783813679799</v>
      </c>
      <c r="AA76" s="138">
        <f t="shared" si="31"/>
        <v>1.1797740318752625</v>
      </c>
      <c r="AB76" s="17">
        <f t="shared" si="32"/>
        <v>1.6732818700120606</v>
      </c>
      <c r="AC76" s="311">
        <f t="shared" si="33"/>
        <v>0.48499908230685318</v>
      </c>
      <c r="AD76" s="316">
        <f t="shared" si="34"/>
        <v>1.1594331002912064</v>
      </c>
      <c r="AE76" s="21">
        <f t="shared" si="35"/>
        <v>1.6444321825980595</v>
      </c>
      <c r="AF76" s="170">
        <f>Sizing!DU90</f>
        <v>1.7233950944186762</v>
      </c>
      <c r="AG76" s="170">
        <f>Sizing!DV90</f>
        <v>1.3127814343669995</v>
      </c>
      <c r="AH76" s="170">
        <f>Sizing!DW90</f>
        <v>1.7233950944186762</v>
      </c>
      <c r="AI76" s="272">
        <f>Sizing!DX90</f>
        <v>1.3127814343669995</v>
      </c>
      <c r="AJ76" s="216">
        <f>Sizing!GJ90</f>
        <v>0.5</v>
      </c>
      <c r="AK76" s="216">
        <f>Sizing!GK90</f>
        <v>5.5118110236220486E-2</v>
      </c>
      <c r="AL76" s="17">
        <f>Sizing!GL90</f>
        <v>5.5118110236220486E-2</v>
      </c>
      <c r="AM76" s="216">
        <f t="shared" si="9"/>
        <v>8.4628907078398794E-3</v>
      </c>
      <c r="AN76" s="138">
        <f t="shared" si="10"/>
        <v>1.4450919259101369E-3</v>
      </c>
      <c r="AO76" s="138">
        <f t="shared" si="11"/>
        <v>9.9079826337500169E-3</v>
      </c>
      <c r="AP76" s="311">
        <f t="shared" si="36"/>
        <v>0.24089233171888147</v>
      </c>
      <c r="AQ76" s="11">
        <f t="shared" si="37"/>
        <v>4.1133883869980417E-2</v>
      </c>
      <c r="AR76" s="21">
        <f t="shared" si="38"/>
        <v>0.28202621558886193</v>
      </c>
      <c r="AS76" s="11">
        <f t="shared" si="12"/>
        <v>0.30586628917576697</v>
      </c>
      <c r="AT76" s="21">
        <f t="shared" si="39"/>
        <v>0.30586628917576697</v>
      </c>
      <c r="AU76" s="170">
        <f>Sizing!JC90</f>
        <v>2.6878791448952534E-2</v>
      </c>
      <c r="AV76" s="272">
        <f>Sizing!JD90</f>
        <v>0.16394752651062636</v>
      </c>
      <c r="AW76" s="170">
        <f>Sizing!JC90</f>
        <v>2.6878791448952534E-2</v>
      </c>
      <c r="AX76" s="272">
        <f>Sizing!JD90</f>
        <v>0.16394752651062636</v>
      </c>
      <c r="AY76" s="216">
        <f>Sizing!IT90</f>
        <v>0.5</v>
      </c>
      <c r="AZ76" s="216">
        <f>Sizing!IU90</f>
        <v>1.5748031496062995E-2</v>
      </c>
      <c r="BA76" s="17">
        <f>Sizing!IV90</f>
        <v>1.5748031496062995E-2</v>
      </c>
      <c r="BB76" s="216">
        <f t="shared" si="13"/>
        <v>2.4179687736685367E-3</v>
      </c>
      <c r="BC76" s="138">
        <f t="shared" si="14"/>
        <v>1.4450919259101369E-3</v>
      </c>
      <c r="BD76" s="138">
        <f t="shared" si="15"/>
        <v>3.8630606995786734E-3</v>
      </c>
      <c r="BE76" s="311">
        <f t="shared" si="16"/>
        <v>3.4413190245554497E-2</v>
      </c>
      <c r="BF76" s="11">
        <f t="shared" si="17"/>
        <v>2.0566941934990209E-2</v>
      </c>
      <c r="BG76" s="21">
        <f t="shared" si="18"/>
        <v>5.4980132180544698E-2</v>
      </c>
      <c r="BH76" s="21">
        <f t="shared" si="19"/>
        <v>4.7704187070310797E-3</v>
      </c>
      <c r="BI76" s="21">
        <f t="shared" si="20"/>
        <v>4.7704187070310797E-3</v>
      </c>
      <c r="BJ76" s="561"/>
      <c r="BK76">
        <f t="shared" si="21"/>
        <v>2.2756726450000002</v>
      </c>
      <c r="BL76">
        <f t="shared" si="22"/>
        <v>2.2756726450000002</v>
      </c>
      <c r="BM76">
        <f>C76*'Inputs-Imperial'!$E$12</f>
        <v>1.1378363225000001</v>
      </c>
      <c r="BN76">
        <f>C76*'Inputs-Imperial'!$E$12</f>
        <v>1.1378363225000001</v>
      </c>
      <c r="BO76">
        <f>C76*'Inputs-Imperial'!$E$12</f>
        <v>1.1378363225000001</v>
      </c>
      <c r="BP76">
        <f>C76*'Weight '!$E$15</f>
        <v>2.2756726450000002</v>
      </c>
      <c r="BQ76">
        <f>C76*'Weight '!$E$15</f>
        <v>2.2756726450000002</v>
      </c>
      <c r="BR76">
        <f>C76*'Weight '!$E$15</f>
        <v>2.2756726450000002</v>
      </c>
      <c r="BS76">
        <f t="shared" si="23"/>
        <v>8.7138109382914415</v>
      </c>
      <c r="BT76" s="564">
        <f t="shared" si="24"/>
        <v>4.2759938161451236</v>
      </c>
      <c r="BU76">
        <f t="shared" si="40"/>
        <v>2.0378446071157046</v>
      </c>
    </row>
    <row r="77" spans="1:73" x14ac:dyDescent="0.25">
      <c r="A77" s="186">
        <v>31</v>
      </c>
      <c r="B77" s="187">
        <f>A77/100*'Inputs-Imperial'!$E$5</f>
        <v>7.4652233359999993</v>
      </c>
      <c r="C77" s="188">
        <f>'Inputs-Imperial'!$E$10+('Inputs-Imperial'!$E$9-'Inputs-Imperial'!$E$10)*(100-A77)/100</f>
        <v>4.5335467330000006</v>
      </c>
      <c r="D77" s="187">
        <f t="shared" si="25"/>
        <v>0.24081365600000026</v>
      </c>
      <c r="E77" s="188">
        <f t="shared" si="26"/>
        <v>1.0938830312119345</v>
      </c>
      <c r="F77" s="423">
        <f>Sizing!F91</f>
        <v>609.74680596549661</v>
      </c>
      <c r="G77" s="423">
        <f>Sizing!G91</f>
        <v>6097.4680596549661</v>
      </c>
      <c r="H77" s="423">
        <f>Sizing!H91</f>
        <v>45819.94438602202</v>
      </c>
      <c r="I77" s="423">
        <f>Sizing!I91</f>
        <v>-13233.20673734266</v>
      </c>
      <c r="J77" s="189">
        <f>Sizing!J91</f>
        <v>4581.9944386022034</v>
      </c>
      <c r="K77" s="128">
        <v>31</v>
      </c>
      <c r="L77" s="12">
        <f t="shared" si="5"/>
        <v>89.582680031999985</v>
      </c>
      <c r="M77" s="11">
        <f t="shared" si="5"/>
        <v>54.402560796000003</v>
      </c>
      <c r="N77" s="11">
        <f t="shared" si="5"/>
        <v>2.8897638720000032</v>
      </c>
      <c r="O77" s="152">
        <f t="shared" si="27"/>
        <v>157.5191564945186</v>
      </c>
      <c r="P77" s="8">
        <f t="shared" si="0"/>
        <v>9.7924609432800001</v>
      </c>
      <c r="Q77" s="12">
        <f t="shared" si="28"/>
        <v>28.353448169013337</v>
      </c>
      <c r="R77" s="8">
        <f t="shared" si="1"/>
        <v>4.89623047164</v>
      </c>
      <c r="S77" s="12">
        <f t="shared" si="29"/>
        <v>14.176724084506668</v>
      </c>
      <c r="T77" s="17">
        <f>Sizing!CN91</f>
        <v>2.5</v>
      </c>
      <c r="U77" s="17">
        <f>Sizing!CO91</f>
        <v>2.3622047244094495E-2</v>
      </c>
      <c r="V77" s="17">
        <f>Sizing!CP91</f>
        <v>1.5748031496062995E-2</v>
      </c>
      <c r="W77" s="128">
        <f t="shared" si="6"/>
        <v>3.0224609670856709E-3</v>
      </c>
      <c r="X77" s="2">
        <f t="shared" si="7"/>
        <v>7.2254596295506842E-3</v>
      </c>
      <c r="Y77" s="2">
        <f t="shared" si="8"/>
        <v>1.0247920596636356E-2</v>
      </c>
      <c r="Z77" s="216">
        <f t="shared" si="30"/>
        <v>0.4915816854370727</v>
      </c>
      <c r="AA77" s="138">
        <f t="shared" si="31"/>
        <v>1.1751693938919194</v>
      </c>
      <c r="AB77" s="17">
        <f t="shared" si="32"/>
        <v>1.6667510793289921</v>
      </c>
      <c r="AC77" s="311">
        <f t="shared" si="33"/>
        <v>0.48310613913643358</v>
      </c>
      <c r="AD77" s="316">
        <f t="shared" si="34"/>
        <v>1.1549078526179208</v>
      </c>
      <c r="AE77" s="21">
        <f t="shared" si="35"/>
        <v>1.6380139917543546</v>
      </c>
      <c r="AF77" s="170">
        <f>Sizing!DU91</f>
        <v>1.7233950944186762</v>
      </c>
      <c r="AG77" s="170">
        <f>Sizing!DV91</f>
        <v>1.3127814343669995</v>
      </c>
      <c r="AH77" s="170">
        <f>Sizing!DW91</f>
        <v>1.7233950944186762</v>
      </c>
      <c r="AI77" s="272">
        <f>Sizing!DX91</f>
        <v>1.3127814343669995</v>
      </c>
      <c r="AJ77" s="216">
        <f>Sizing!GJ91</f>
        <v>0.5</v>
      </c>
      <c r="AK77" s="216">
        <f>Sizing!GK91</f>
        <v>5.5118110236220486E-2</v>
      </c>
      <c r="AL77" s="17">
        <f>Sizing!GL91</f>
        <v>5.5118110236220486E-2</v>
      </c>
      <c r="AM77" s="216">
        <f t="shared" si="9"/>
        <v>8.4628907078398794E-3</v>
      </c>
      <c r="AN77" s="138">
        <f t="shared" si="10"/>
        <v>1.4450919259101369E-3</v>
      </c>
      <c r="AO77" s="138">
        <f t="shared" si="11"/>
        <v>9.9079826337500169E-3</v>
      </c>
      <c r="AP77" s="311">
        <f t="shared" si="36"/>
        <v>0.23995213304476262</v>
      </c>
      <c r="AQ77" s="11">
        <f t="shared" si="37"/>
        <v>4.097333902075273E-2</v>
      </c>
      <c r="AR77" s="21">
        <f t="shared" si="38"/>
        <v>0.28092547206551538</v>
      </c>
      <c r="AS77" s="11">
        <f t="shared" si="12"/>
        <v>0.30586628917576697</v>
      </c>
      <c r="AT77" s="21">
        <f t="shared" si="39"/>
        <v>0.30586628917576697</v>
      </c>
      <c r="AU77" s="170">
        <f>Sizing!JC91</f>
        <v>2.6878791448952534E-2</v>
      </c>
      <c r="AV77" s="272">
        <f>Sizing!JD91</f>
        <v>0.16394752651062636</v>
      </c>
      <c r="AW77" s="170">
        <f>Sizing!JC91</f>
        <v>2.6878791448952534E-2</v>
      </c>
      <c r="AX77" s="272">
        <f>Sizing!JD91</f>
        <v>0.16394752651062636</v>
      </c>
      <c r="AY77" s="216">
        <f>Sizing!IT91</f>
        <v>0.5</v>
      </c>
      <c r="AZ77" s="216">
        <f>Sizing!IU91</f>
        <v>1.5748031496062995E-2</v>
      </c>
      <c r="BA77" s="17">
        <f>Sizing!IV91</f>
        <v>1.5748031496062995E-2</v>
      </c>
      <c r="BB77" s="216">
        <f t="shared" si="13"/>
        <v>2.4179687736685367E-3</v>
      </c>
      <c r="BC77" s="138">
        <f t="shared" si="14"/>
        <v>1.4450919259101369E-3</v>
      </c>
      <c r="BD77" s="138">
        <f t="shared" si="15"/>
        <v>3.8630606995786734E-3</v>
      </c>
      <c r="BE77" s="311">
        <f t="shared" si="16"/>
        <v>3.4278876149251798E-2</v>
      </c>
      <c r="BF77" s="11">
        <f t="shared" si="17"/>
        <v>2.0486669510376365E-2</v>
      </c>
      <c r="BG77" s="21">
        <f t="shared" si="18"/>
        <v>5.4765545659628156E-2</v>
      </c>
      <c r="BH77" s="21">
        <f t="shared" si="19"/>
        <v>4.7704187070310797E-3</v>
      </c>
      <c r="BI77" s="21">
        <f t="shared" si="20"/>
        <v>4.7704187070310797E-3</v>
      </c>
      <c r="BJ77" s="561"/>
      <c r="BK77">
        <f t="shared" si="21"/>
        <v>2.2667733665000003</v>
      </c>
      <c r="BL77">
        <f t="shared" si="22"/>
        <v>2.2667733665000003</v>
      </c>
      <c r="BM77">
        <f>C77*'Inputs-Imperial'!$E$12</f>
        <v>1.1333866832500001</v>
      </c>
      <c r="BN77">
        <f>C77*'Inputs-Imperial'!$E$12</f>
        <v>1.1333866832500001</v>
      </c>
      <c r="BO77">
        <f>C77*'Inputs-Imperial'!$E$12</f>
        <v>1.1333866832500001</v>
      </c>
      <c r="BP77">
        <f>C77*'Weight '!$E$15</f>
        <v>2.2667733665000003</v>
      </c>
      <c r="BQ77">
        <f>C77*'Weight '!$E$15</f>
        <v>2.2667733665000003</v>
      </c>
      <c r="BR77">
        <f>C77*'Weight '!$E$15</f>
        <v>2.2667733665000003</v>
      </c>
      <c r="BS77">
        <f t="shared" si="23"/>
        <v>8.6486481891571891</v>
      </c>
      <c r="BT77" s="564">
        <f t="shared" si="24"/>
        <v>4.2617295045740873</v>
      </c>
      <c r="BU77">
        <f t="shared" si="40"/>
        <v>2.0293752055062737</v>
      </c>
    </row>
    <row r="78" spans="1:73" x14ac:dyDescent="0.25">
      <c r="A78" s="186">
        <v>32</v>
      </c>
      <c r="B78" s="187">
        <f>A78/100*'Inputs-Imperial'!$E$5</f>
        <v>7.7060369919999996</v>
      </c>
      <c r="C78" s="188">
        <f>'Inputs-Imperial'!$E$10+('Inputs-Imperial'!$E$9-'Inputs-Imperial'!$E$10)*(100-A78)/100</f>
        <v>4.5157481760000007</v>
      </c>
      <c r="D78" s="187">
        <f t="shared" si="25"/>
        <v>0.24081365600000026</v>
      </c>
      <c r="E78" s="188">
        <f t="shared" si="26"/>
        <v>1.0895968956292399</v>
      </c>
      <c r="F78" s="423">
        <f>Sizing!F92</f>
        <v>598.64444000618118</v>
      </c>
      <c r="G78" s="423">
        <f>Sizing!G92</f>
        <v>5986.4444000618123</v>
      </c>
      <c r="H78" s="423">
        <f>Sizing!H92</f>
        <v>44351.590810233283</v>
      </c>
      <c r="I78" s="423">
        <f>Sizing!I92</f>
        <v>-12940.819205424586</v>
      </c>
      <c r="J78" s="189">
        <f>Sizing!J92</f>
        <v>4435.1590810233292</v>
      </c>
      <c r="K78" s="128">
        <v>32</v>
      </c>
      <c r="L78" s="12">
        <f t="shared" si="5"/>
        <v>92.472443903999988</v>
      </c>
      <c r="M78" s="11">
        <f t="shared" si="5"/>
        <v>54.188978112000008</v>
      </c>
      <c r="N78" s="11">
        <f t="shared" si="5"/>
        <v>2.8897638720000032</v>
      </c>
      <c r="O78" s="152">
        <f t="shared" si="27"/>
        <v>156.90195297061055</v>
      </c>
      <c r="P78" s="8">
        <f t="shared" ref="P78:P109" si="41">M78*$E$17</f>
        <v>9.7540160601600014</v>
      </c>
      <c r="Q78" s="12">
        <f t="shared" si="28"/>
        <v>28.242351534709901</v>
      </c>
      <c r="R78" s="8">
        <f t="shared" ref="R78:R109" si="42">M78*$E$21</f>
        <v>4.8770080300800007</v>
      </c>
      <c r="S78" s="12">
        <f t="shared" si="29"/>
        <v>14.12117576735495</v>
      </c>
      <c r="T78" s="17">
        <f>Sizing!CN92</f>
        <v>2.5</v>
      </c>
      <c r="U78" s="17">
        <f>Sizing!CO92</f>
        <v>2.3622047244094495E-2</v>
      </c>
      <c r="V78" s="17">
        <f>Sizing!CP92</f>
        <v>1.5748031496062995E-2</v>
      </c>
      <c r="W78" s="128">
        <f t="shared" si="6"/>
        <v>3.0224609670856709E-3</v>
      </c>
      <c r="X78" s="2">
        <f t="shared" si="7"/>
        <v>7.2254596295506842E-3</v>
      </c>
      <c r="Y78" s="2">
        <f t="shared" si="8"/>
        <v>1.0247920596636356E-2</v>
      </c>
      <c r="Z78" s="216">
        <f t="shared" si="30"/>
        <v>0.48965553273734719</v>
      </c>
      <c r="AA78" s="138">
        <f t="shared" si="31"/>
        <v>1.1705647559085754</v>
      </c>
      <c r="AB78" s="17">
        <f t="shared" si="32"/>
        <v>1.6602202886459227</v>
      </c>
      <c r="AC78" s="311">
        <f t="shared" si="33"/>
        <v>0.48121319596601353</v>
      </c>
      <c r="AD78" s="316">
        <f t="shared" si="34"/>
        <v>1.1503826049446344</v>
      </c>
      <c r="AE78" s="21">
        <f t="shared" si="35"/>
        <v>1.6315958009106479</v>
      </c>
      <c r="AF78" s="170">
        <f>Sizing!DU92</f>
        <v>1.7233950944186762</v>
      </c>
      <c r="AG78" s="170">
        <f>Sizing!DV92</f>
        <v>1.3127814343669995</v>
      </c>
      <c r="AH78" s="170">
        <f>Sizing!DW92</f>
        <v>1.7233950944186762</v>
      </c>
      <c r="AI78" s="272">
        <f>Sizing!DX92</f>
        <v>1.3127814343669995</v>
      </c>
      <c r="AJ78" s="216">
        <f>Sizing!GJ92</f>
        <v>0.5</v>
      </c>
      <c r="AK78" s="216">
        <f>Sizing!GK92</f>
        <v>5.5118110236220486E-2</v>
      </c>
      <c r="AL78" s="17">
        <f>Sizing!GL92</f>
        <v>5.5118110236220486E-2</v>
      </c>
      <c r="AM78" s="216">
        <f t="shared" si="9"/>
        <v>8.4628907078398794E-3</v>
      </c>
      <c r="AN78" s="138">
        <f t="shared" si="10"/>
        <v>1.4450919259101369E-3</v>
      </c>
      <c r="AO78" s="138">
        <f t="shared" si="11"/>
        <v>9.9079826337500169E-3</v>
      </c>
      <c r="AP78" s="311">
        <f t="shared" si="36"/>
        <v>0.23901193437064377</v>
      </c>
      <c r="AQ78" s="11">
        <f t="shared" si="37"/>
        <v>4.0812794171525044E-2</v>
      </c>
      <c r="AR78" s="21">
        <f t="shared" si="38"/>
        <v>0.27982472854216883</v>
      </c>
      <c r="AS78" s="11">
        <f t="shared" si="12"/>
        <v>0.30586628917576697</v>
      </c>
      <c r="AT78" s="21">
        <f t="shared" si="39"/>
        <v>0.30586628917576697</v>
      </c>
      <c r="AU78" s="170">
        <f>Sizing!JC92</f>
        <v>2.6878791448952534E-2</v>
      </c>
      <c r="AV78" s="272">
        <f>Sizing!JD92</f>
        <v>0.16394752651062636</v>
      </c>
      <c r="AW78" s="170">
        <f>Sizing!JC92</f>
        <v>2.6878791448952534E-2</v>
      </c>
      <c r="AX78" s="272">
        <f>Sizing!JD92</f>
        <v>0.16394752651062636</v>
      </c>
      <c r="AY78" s="216">
        <f>Sizing!IT92</f>
        <v>0.5</v>
      </c>
      <c r="AZ78" s="216">
        <f>Sizing!IU92</f>
        <v>1.5748031496062995E-2</v>
      </c>
      <c r="BA78" s="17">
        <f>Sizing!IV92</f>
        <v>1.5748031496062995E-2</v>
      </c>
      <c r="BB78" s="216">
        <f t="shared" si="13"/>
        <v>2.4179687736685367E-3</v>
      </c>
      <c r="BC78" s="138">
        <f t="shared" si="14"/>
        <v>1.4450919259101369E-3</v>
      </c>
      <c r="BD78" s="138">
        <f t="shared" si="15"/>
        <v>3.8630606995786734E-3</v>
      </c>
      <c r="BE78" s="311">
        <f t="shared" si="16"/>
        <v>3.4144562052949107E-2</v>
      </c>
      <c r="BF78" s="11">
        <f t="shared" si="17"/>
        <v>2.0406397085762522E-2</v>
      </c>
      <c r="BG78" s="21">
        <f t="shared" si="18"/>
        <v>5.4550959138711622E-2</v>
      </c>
      <c r="BH78" s="21">
        <f t="shared" si="19"/>
        <v>4.7704187070310797E-3</v>
      </c>
      <c r="BI78" s="21">
        <f t="shared" si="20"/>
        <v>4.7704187070310797E-3</v>
      </c>
      <c r="BJ78" s="561"/>
      <c r="BK78">
        <f t="shared" si="21"/>
        <v>2.2578740880000003</v>
      </c>
      <c r="BL78">
        <f t="shared" si="22"/>
        <v>2.2578740880000003</v>
      </c>
      <c r="BM78">
        <f>C78*'Inputs-Imperial'!$E$12</f>
        <v>1.1289370440000002</v>
      </c>
      <c r="BN78">
        <f>C78*'Inputs-Imperial'!$E$12</f>
        <v>1.1289370440000002</v>
      </c>
      <c r="BO78">
        <f>C78*'Inputs-Imperial'!$E$12</f>
        <v>1.1289370440000002</v>
      </c>
      <c r="BP78">
        <f>C78*'Weight '!$E$15</f>
        <v>2.2578740880000003</v>
      </c>
      <c r="BQ78">
        <f>C78*'Weight '!$E$15</f>
        <v>2.2578740880000003</v>
      </c>
      <c r="BR78">
        <f>C78*'Weight '!$E$15</f>
        <v>2.2578740880000003</v>
      </c>
      <c r="BS78">
        <f t="shared" si="23"/>
        <v>8.5837295283623227</v>
      </c>
      <c r="BT78" s="564">
        <f t="shared" si="24"/>
        <v>4.2474651930030483</v>
      </c>
      <c r="BU78">
        <f t="shared" si="40"/>
        <v>2.0209063849428377</v>
      </c>
    </row>
    <row r="79" spans="1:73" x14ac:dyDescent="0.25">
      <c r="A79" s="186">
        <v>33</v>
      </c>
      <c r="B79" s="187">
        <f>A79/100*'Inputs-Imperial'!$E$5</f>
        <v>7.9468506479999999</v>
      </c>
      <c r="C79" s="188">
        <f>'Inputs-Imperial'!$E$10+('Inputs-Imperial'!$E$9-'Inputs-Imperial'!$E$10)*(100-A79)/100</f>
        <v>4.4979496189999999</v>
      </c>
      <c r="D79" s="187">
        <f t="shared" si="25"/>
        <v>0.24081365600000026</v>
      </c>
      <c r="E79" s="188">
        <f t="shared" si="26"/>
        <v>1.0853107600465455</v>
      </c>
      <c r="F79" s="423">
        <f>Sizing!F93</f>
        <v>587.58354946416318</v>
      </c>
      <c r="G79" s="423">
        <f>Sizing!G93</f>
        <v>5875.8354946416321</v>
      </c>
      <c r="H79" s="423">
        <f>Sizing!H93</f>
        <v>42909.973247813672</v>
      </c>
      <c r="I79" s="423">
        <f>Sizing!I93</f>
        <v>-12650.623725677677</v>
      </c>
      <c r="J79" s="189">
        <f>Sizing!J93</f>
        <v>4290.9973247813678</v>
      </c>
      <c r="K79" s="128">
        <v>33</v>
      </c>
      <c r="L79" s="12">
        <f t="shared" si="5"/>
        <v>95.362207775999991</v>
      </c>
      <c r="M79" s="11">
        <f t="shared" si="5"/>
        <v>53.975395427999999</v>
      </c>
      <c r="N79" s="11">
        <f t="shared" si="5"/>
        <v>2.8897638720000032</v>
      </c>
      <c r="O79" s="152">
        <f t="shared" si="27"/>
        <v>156.28474944670256</v>
      </c>
      <c r="P79" s="8">
        <f t="shared" si="41"/>
        <v>9.7155711770399993</v>
      </c>
      <c r="Q79" s="12">
        <f t="shared" si="28"/>
        <v>28.131254900406461</v>
      </c>
      <c r="R79" s="8">
        <f t="shared" si="42"/>
        <v>4.8577855885199996</v>
      </c>
      <c r="S79" s="12">
        <f t="shared" si="29"/>
        <v>14.06562745020323</v>
      </c>
      <c r="T79" s="17">
        <f>Sizing!CN93</f>
        <v>2.5</v>
      </c>
      <c r="U79" s="17">
        <f>Sizing!CO93</f>
        <v>2.3622047244094495E-2</v>
      </c>
      <c r="V79" s="17">
        <f>Sizing!CP93</f>
        <v>1.5748031496062995E-2</v>
      </c>
      <c r="W79" s="128">
        <f t="shared" si="6"/>
        <v>3.0224609670856709E-3</v>
      </c>
      <c r="X79" s="2">
        <f t="shared" si="7"/>
        <v>7.2254596295506842E-3</v>
      </c>
      <c r="Y79" s="2">
        <f t="shared" si="8"/>
        <v>1.0247920596636356E-2</v>
      </c>
      <c r="Z79" s="216">
        <f t="shared" si="30"/>
        <v>0.48772938003762173</v>
      </c>
      <c r="AA79" s="138">
        <f t="shared" si="31"/>
        <v>1.1659601179252319</v>
      </c>
      <c r="AB79" s="17">
        <f t="shared" si="32"/>
        <v>1.6536894979628536</v>
      </c>
      <c r="AC79" s="311">
        <f t="shared" si="33"/>
        <v>0.47932025279559376</v>
      </c>
      <c r="AD79" s="316">
        <f t="shared" si="34"/>
        <v>1.1458573572713484</v>
      </c>
      <c r="AE79" s="21">
        <f t="shared" si="35"/>
        <v>1.6251776100669424</v>
      </c>
      <c r="AF79" s="170">
        <f>Sizing!DU93</f>
        <v>1.7233950944186762</v>
      </c>
      <c r="AG79" s="170">
        <f>Sizing!DV93</f>
        <v>1.3127814343669995</v>
      </c>
      <c r="AH79" s="170">
        <f>Sizing!DW93</f>
        <v>1.7233950944186762</v>
      </c>
      <c r="AI79" s="272">
        <f>Sizing!DX93</f>
        <v>1.3127814343669995</v>
      </c>
      <c r="AJ79" s="216">
        <f>Sizing!GJ93</f>
        <v>0.5</v>
      </c>
      <c r="AK79" s="216">
        <f>Sizing!GK93</f>
        <v>5.5118110236220486E-2</v>
      </c>
      <c r="AL79" s="17">
        <f>Sizing!GL93</f>
        <v>5.5118110236220486E-2</v>
      </c>
      <c r="AM79" s="216">
        <f t="shared" si="9"/>
        <v>8.4628907078398794E-3</v>
      </c>
      <c r="AN79" s="138">
        <f t="shared" si="10"/>
        <v>1.4450919259101369E-3</v>
      </c>
      <c r="AO79" s="138">
        <f t="shared" si="11"/>
        <v>9.9079826337500169E-3</v>
      </c>
      <c r="AP79" s="311">
        <f t="shared" si="36"/>
        <v>0.2380717356965249</v>
      </c>
      <c r="AQ79" s="11">
        <f t="shared" si="37"/>
        <v>4.065224932229735E-2</v>
      </c>
      <c r="AR79" s="21">
        <f t="shared" si="38"/>
        <v>0.27872398501882228</v>
      </c>
      <c r="AS79" s="11">
        <f t="shared" si="12"/>
        <v>0.30586628917576697</v>
      </c>
      <c r="AT79" s="21">
        <f t="shared" si="39"/>
        <v>0.30586628917576697</v>
      </c>
      <c r="AU79" s="170">
        <f>Sizing!JC93</f>
        <v>2.6878791448952534E-2</v>
      </c>
      <c r="AV79" s="272">
        <f>Sizing!JD93</f>
        <v>0.16394752651062636</v>
      </c>
      <c r="AW79" s="170">
        <f>Sizing!JC93</f>
        <v>2.6878791448952534E-2</v>
      </c>
      <c r="AX79" s="272">
        <f>Sizing!JD93</f>
        <v>0.16394752651062636</v>
      </c>
      <c r="AY79" s="216">
        <f>Sizing!IT93</f>
        <v>0.5</v>
      </c>
      <c r="AZ79" s="216">
        <f>Sizing!IU93</f>
        <v>1.5748031496062995E-2</v>
      </c>
      <c r="BA79" s="17">
        <f>Sizing!IV93</f>
        <v>1.5748031496062995E-2</v>
      </c>
      <c r="BB79" s="216">
        <f t="shared" si="13"/>
        <v>2.4179687736685367E-3</v>
      </c>
      <c r="BC79" s="138">
        <f t="shared" si="14"/>
        <v>1.4450919259101369E-3</v>
      </c>
      <c r="BD79" s="138">
        <f t="shared" si="15"/>
        <v>3.8630606995786734E-3</v>
      </c>
      <c r="BE79" s="311">
        <f t="shared" si="16"/>
        <v>3.4010247956646415E-2</v>
      </c>
      <c r="BF79" s="11">
        <f t="shared" si="17"/>
        <v>2.0326124661148675E-2</v>
      </c>
      <c r="BG79" s="21">
        <f t="shared" si="18"/>
        <v>5.433637261779508E-2</v>
      </c>
      <c r="BH79" s="21">
        <f t="shared" si="19"/>
        <v>4.7704187070310797E-3</v>
      </c>
      <c r="BI79" s="21">
        <f t="shared" si="20"/>
        <v>4.7704187070310797E-3</v>
      </c>
      <c r="BJ79" s="561"/>
      <c r="BK79">
        <f t="shared" si="21"/>
        <v>2.2489748094999999</v>
      </c>
      <c r="BL79">
        <f t="shared" si="22"/>
        <v>2.2489748094999999</v>
      </c>
      <c r="BM79">
        <f>C79*'Inputs-Imperial'!$E$12</f>
        <v>1.12448740475</v>
      </c>
      <c r="BN79">
        <f>C79*'Inputs-Imperial'!$E$12</f>
        <v>1.12448740475</v>
      </c>
      <c r="BO79">
        <f>C79*'Inputs-Imperial'!$E$12</f>
        <v>1.12448740475</v>
      </c>
      <c r="BP79">
        <f>C79*'Weight '!$E$15</f>
        <v>2.2489748094999999</v>
      </c>
      <c r="BQ79">
        <f>C79*'Weight '!$E$15</f>
        <v>2.2489748094999999</v>
      </c>
      <c r="BR79">
        <f>C79*'Weight '!$E$15</f>
        <v>2.2489748094999999</v>
      </c>
      <c r="BS79">
        <f t="shared" si="23"/>
        <v>8.5190549559068511</v>
      </c>
      <c r="BT79" s="564">
        <f t="shared" si="24"/>
        <v>4.2332008814320101</v>
      </c>
      <c r="BU79">
        <f t="shared" si="40"/>
        <v>2.0124381512991225</v>
      </c>
    </row>
    <row r="80" spans="1:73" x14ac:dyDescent="0.25">
      <c r="A80" s="186">
        <v>34</v>
      </c>
      <c r="B80" s="187">
        <f>A80/100*'Inputs-Imperial'!$E$5</f>
        <v>8.1876643040000001</v>
      </c>
      <c r="C80" s="188">
        <f>'Inputs-Imperial'!$E$10+('Inputs-Imperial'!$E$9-'Inputs-Imperial'!$E$10)*(100-A80)/100</f>
        <v>4.4801510620000009</v>
      </c>
      <c r="D80" s="187">
        <f t="shared" si="25"/>
        <v>0.24081365600000026</v>
      </c>
      <c r="E80" s="188">
        <f t="shared" si="26"/>
        <v>1.0810246244638511</v>
      </c>
      <c r="F80" s="423">
        <f>Sizing!F94</f>
        <v>576.56486522553928</v>
      </c>
      <c r="G80" s="423">
        <f>Sizing!G94</f>
        <v>5765.6486522553932</v>
      </c>
      <c r="H80" s="423">
        <f>Sizing!H94</f>
        <v>41494.991820294454</v>
      </c>
      <c r="I80" s="423">
        <f>Sizing!I94</f>
        <v>-12362.650396398396</v>
      </c>
      <c r="J80" s="189">
        <f>Sizing!J94</f>
        <v>4149.4991820294454</v>
      </c>
      <c r="K80" s="128">
        <v>34</v>
      </c>
      <c r="L80" s="12">
        <f t="shared" si="5"/>
        <v>98.251971647999994</v>
      </c>
      <c r="M80" s="11">
        <f t="shared" si="5"/>
        <v>53.761812744000011</v>
      </c>
      <c r="N80" s="11">
        <f t="shared" si="5"/>
        <v>2.8897638720000032</v>
      </c>
      <c r="O80" s="152">
        <f t="shared" si="27"/>
        <v>155.66754592279455</v>
      </c>
      <c r="P80" s="8">
        <f t="shared" si="41"/>
        <v>9.6771262939200025</v>
      </c>
      <c r="Q80" s="12">
        <f t="shared" si="28"/>
        <v>28.020158266103021</v>
      </c>
      <c r="R80" s="8">
        <f t="shared" si="42"/>
        <v>4.8385631469600012</v>
      </c>
      <c r="S80" s="12">
        <f t="shared" si="29"/>
        <v>14.01007913305151</v>
      </c>
      <c r="T80" s="17">
        <f>Sizing!CN94</f>
        <v>2.5</v>
      </c>
      <c r="U80" s="17">
        <f>Sizing!CO94</f>
        <v>2.3622047244094495E-2</v>
      </c>
      <c r="V80" s="17">
        <f>Sizing!CP94</f>
        <v>1.5748031496062995E-2</v>
      </c>
      <c r="W80" s="128">
        <f t="shared" si="6"/>
        <v>3.0224609670856709E-3</v>
      </c>
      <c r="X80" s="2">
        <f t="shared" si="7"/>
        <v>7.2254596295506842E-3</v>
      </c>
      <c r="Y80" s="2">
        <f t="shared" si="8"/>
        <v>1.0247920596636356E-2</v>
      </c>
      <c r="Z80" s="216">
        <f t="shared" si="30"/>
        <v>0.48580322733789616</v>
      </c>
      <c r="AA80" s="138">
        <f t="shared" si="31"/>
        <v>1.1613554799418879</v>
      </c>
      <c r="AB80" s="17">
        <f t="shared" si="32"/>
        <v>1.6471587072797842</v>
      </c>
      <c r="AC80" s="311">
        <f t="shared" si="33"/>
        <v>0.47742730962517377</v>
      </c>
      <c r="AD80" s="316">
        <f t="shared" si="34"/>
        <v>1.1413321095980622</v>
      </c>
      <c r="AE80" s="21">
        <f t="shared" si="35"/>
        <v>1.6187594192232362</v>
      </c>
      <c r="AF80" s="170">
        <f>Sizing!DU94</f>
        <v>1.7233950944186762</v>
      </c>
      <c r="AG80" s="170">
        <f>Sizing!DV94</f>
        <v>1.3127814343669995</v>
      </c>
      <c r="AH80" s="170">
        <f>Sizing!DW94</f>
        <v>1.7233950944186762</v>
      </c>
      <c r="AI80" s="272">
        <f>Sizing!DX94</f>
        <v>1.3127814343669995</v>
      </c>
      <c r="AJ80" s="216">
        <f>Sizing!GJ94</f>
        <v>0.5</v>
      </c>
      <c r="AK80" s="216">
        <f>Sizing!GK94</f>
        <v>5.5118110236220486E-2</v>
      </c>
      <c r="AL80" s="17">
        <f>Sizing!GL94</f>
        <v>5.5118110236220486E-2</v>
      </c>
      <c r="AM80" s="216">
        <f t="shared" si="9"/>
        <v>8.4628907078398794E-3</v>
      </c>
      <c r="AN80" s="138">
        <f t="shared" si="10"/>
        <v>1.4450919259101369E-3</v>
      </c>
      <c r="AO80" s="138">
        <f t="shared" si="11"/>
        <v>9.9079826337500169E-3</v>
      </c>
      <c r="AP80" s="311">
        <f t="shared" si="36"/>
        <v>0.23713153702240605</v>
      </c>
      <c r="AQ80" s="11">
        <f t="shared" si="37"/>
        <v>4.0491704473069656E-2</v>
      </c>
      <c r="AR80" s="21">
        <f t="shared" si="38"/>
        <v>0.27762324149547574</v>
      </c>
      <c r="AS80" s="11">
        <f t="shared" si="12"/>
        <v>0.30586628917576697</v>
      </c>
      <c r="AT80" s="21">
        <f t="shared" si="39"/>
        <v>0.30586628917576697</v>
      </c>
      <c r="AU80" s="170">
        <f>Sizing!JC94</f>
        <v>2.6878791448952534E-2</v>
      </c>
      <c r="AV80" s="272">
        <f>Sizing!JD94</f>
        <v>0.16394752651062636</v>
      </c>
      <c r="AW80" s="170">
        <f>Sizing!JC94</f>
        <v>2.6878791448952534E-2</v>
      </c>
      <c r="AX80" s="272">
        <f>Sizing!JD94</f>
        <v>0.16394752651062636</v>
      </c>
      <c r="AY80" s="216">
        <f>Sizing!IT94</f>
        <v>0.5</v>
      </c>
      <c r="AZ80" s="216">
        <f>Sizing!IU94</f>
        <v>1.5748031496062995E-2</v>
      </c>
      <c r="BA80" s="17">
        <f>Sizing!IV94</f>
        <v>1.5748031496062995E-2</v>
      </c>
      <c r="BB80" s="216">
        <f t="shared" si="13"/>
        <v>2.4179687736685367E-3</v>
      </c>
      <c r="BC80" s="138">
        <f t="shared" si="14"/>
        <v>1.4450919259101369E-3</v>
      </c>
      <c r="BD80" s="138">
        <f t="shared" si="15"/>
        <v>3.8630606995786734E-3</v>
      </c>
      <c r="BE80" s="311">
        <f t="shared" si="16"/>
        <v>3.3875933860343717E-2</v>
      </c>
      <c r="BF80" s="11">
        <f t="shared" si="17"/>
        <v>2.0245852236534828E-2</v>
      </c>
      <c r="BG80" s="21">
        <f t="shared" si="18"/>
        <v>5.4121786096878545E-2</v>
      </c>
      <c r="BH80" s="21">
        <f t="shared" si="19"/>
        <v>4.7704187070310797E-3</v>
      </c>
      <c r="BI80" s="21">
        <f t="shared" si="20"/>
        <v>4.7704187070310797E-3</v>
      </c>
      <c r="BJ80" s="561"/>
      <c r="BK80">
        <f t="shared" si="21"/>
        <v>2.2400755310000005</v>
      </c>
      <c r="BL80">
        <f t="shared" si="22"/>
        <v>2.2400755310000005</v>
      </c>
      <c r="BM80">
        <f>C80*'Inputs-Imperial'!$E$12</f>
        <v>1.1200377655000002</v>
      </c>
      <c r="BN80">
        <f>C80*'Inputs-Imperial'!$E$12</f>
        <v>1.1200377655000002</v>
      </c>
      <c r="BO80">
        <f>C80*'Inputs-Imperial'!$E$12</f>
        <v>1.1200377655000002</v>
      </c>
      <c r="BP80">
        <f>C80*'Weight '!$E$15</f>
        <v>2.2400755310000005</v>
      </c>
      <c r="BQ80">
        <f>C80*'Weight '!$E$15</f>
        <v>2.2400755310000005</v>
      </c>
      <c r="BR80">
        <f>C80*'Weight '!$E$15</f>
        <v>2.2400755310000005</v>
      </c>
      <c r="BS80">
        <f t="shared" si="23"/>
        <v>8.454624471790769</v>
      </c>
      <c r="BT80" s="564">
        <f t="shared" si="24"/>
        <v>4.218936569860972</v>
      </c>
      <c r="BU80">
        <f t="shared" si="40"/>
        <v>2.003970510528291</v>
      </c>
    </row>
    <row r="81" spans="1:73" x14ac:dyDescent="0.25">
      <c r="A81" s="186">
        <v>35</v>
      </c>
      <c r="B81" s="187">
        <f>A81/100*'Inputs-Imperial'!$E$5</f>
        <v>8.4284779599999986</v>
      </c>
      <c r="C81" s="188">
        <f>'Inputs-Imperial'!$E$10+('Inputs-Imperial'!$E$9-'Inputs-Imperial'!$E$10)*(100-A81)/100</f>
        <v>4.4623525050000001</v>
      </c>
      <c r="D81" s="187">
        <f t="shared" si="25"/>
        <v>0.24081365599999849</v>
      </c>
      <c r="E81" s="188">
        <f t="shared" si="26"/>
        <v>1.0767384888811489</v>
      </c>
      <c r="F81" s="423">
        <f>Sizing!F95</f>
        <v>565.58912634476724</v>
      </c>
      <c r="G81" s="423">
        <f>Sizing!G95</f>
        <v>5655.8912634476728</v>
      </c>
      <c r="H81" s="423">
        <f>Sizing!H95</f>
        <v>40106.544889133365</v>
      </c>
      <c r="I81" s="423">
        <f>Sizing!I95</f>
        <v>-12076.929303813051</v>
      </c>
      <c r="J81" s="189">
        <f>Sizing!J95</f>
        <v>4010.6544889133365</v>
      </c>
      <c r="K81" s="128">
        <v>35</v>
      </c>
      <c r="L81" s="12">
        <f t="shared" si="5"/>
        <v>101.14173551999998</v>
      </c>
      <c r="M81" s="11">
        <f t="shared" si="5"/>
        <v>53.548230060000002</v>
      </c>
      <c r="N81" s="11">
        <f t="shared" si="5"/>
        <v>2.8897638719999819</v>
      </c>
      <c r="O81" s="152">
        <f t="shared" si="27"/>
        <v>155.05034239888545</v>
      </c>
      <c r="P81" s="8">
        <f t="shared" si="41"/>
        <v>9.6386814108000003</v>
      </c>
      <c r="Q81" s="12">
        <f t="shared" si="28"/>
        <v>27.909061631799375</v>
      </c>
      <c r="R81" s="8">
        <f t="shared" si="42"/>
        <v>4.8193407054000001</v>
      </c>
      <c r="S81" s="12">
        <f t="shared" si="29"/>
        <v>13.954530815899687</v>
      </c>
      <c r="T81" s="17">
        <f>Sizing!CN95</f>
        <v>2.5</v>
      </c>
      <c r="U81" s="17">
        <f>Sizing!CO95</f>
        <v>2.3622047244094495E-2</v>
      </c>
      <c r="V81" s="17">
        <f>Sizing!CP95</f>
        <v>1.5748031496062995E-2</v>
      </c>
      <c r="W81" s="128">
        <f t="shared" si="6"/>
        <v>3.0224609670856709E-3</v>
      </c>
      <c r="X81" s="2">
        <f t="shared" si="7"/>
        <v>7.2254596295506842E-3</v>
      </c>
      <c r="Y81" s="2">
        <f t="shared" si="8"/>
        <v>1.0247920596636356E-2</v>
      </c>
      <c r="Z81" s="216">
        <f t="shared" si="30"/>
        <v>0.48387707463816726</v>
      </c>
      <c r="AA81" s="138">
        <f t="shared" si="31"/>
        <v>1.1567508419585359</v>
      </c>
      <c r="AB81" s="17">
        <f t="shared" si="32"/>
        <v>1.6406279165967035</v>
      </c>
      <c r="AC81" s="311">
        <f t="shared" si="33"/>
        <v>0.47553436645475056</v>
      </c>
      <c r="AD81" s="316">
        <f t="shared" si="34"/>
        <v>1.1368068619247682</v>
      </c>
      <c r="AE81" s="21">
        <f t="shared" si="35"/>
        <v>1.6123412283795189</v>
      </c>
      <c r="AF81" s="170">
        <f>Sizing!DU95</f>
        <v>1.7233950944186762</v>
      </c>
      <c r="AG81" s="170">
        <f>Sizing!DV95</f>
        <v>1.3127814343669995</v>
      </c>
      <c r="AH81" s="170">
        <f>Sizing!DW95</f>
        <v>1.7233950944186762</v>
      </c>
      <c r="AI81" s="272">
        <f>Sizing!DX95</f>
        <v>1.3127814343669995</v>
      </c>
      <c r="AJ81" s="216">
        <f>Sizing!GJ95</f>
        <v>0.5</v>
      </c>
      <c r="AK81" s="216">
        <f>Sizing!GK95</f>
        <v>5.5118110236220486E-2</v>
      </c>
      <c r="AL81" s="17">
        <f>Sizing!GL95</f>
        <v>5.5118110236220486E-2</v>
      </c>
      <c r="AM81" s="216">
        <f t="shared" si="9"/>
        <v>8.4628907078398794E-3</v>
      </c>
      <c r="AN81" s="138">
        <f t="shared" si="10"/>
        <v>1.4450919259101369E-3</v>
      </c>
      <c r="AO81" s="138">
        <f t="shared" si="11"/>
        <v>9.9079826337500169E-3</v>
      </c>
      <c r="AP81" s="311">
        <f t="shared" si="36"/>
        <v>0.23619133834828543</v>
      </c>
      <c r="AQ81" s="11">
        <f t="shared" si="37"/>
        <v>4.0331159623841664E-2</v>
      </c>
      <c r="AR81" s="21">
        <f t="shared" si="38"/>
        <v>0.27652249797212713</v>
      </c>
      <c r="AS81" s="11">
        <f t="shared" si="12"/>
        <v>0.30586628917576469</v>
      </c>
      <c r="AT81" s="21">
        <f t="shared" si="39"/>
        <v>0.30586628917576469</v>
      </c>
      <c r="AU81" s="170">
        <f>Sizing!JC95</f>
        <v>2.6878791448952534E-2</v>
      </c>
      <c r="AV81" s="272">
        <f>Sizing!JD95</f>
        <v>0.16394752651062636</v>
      </c>
      <c r="AW81" s="170">
        <f>Sizing!JC95</f>
        <v>2.6878791448952534E-2</v>
      </c>
      <c r="AX81" s="272">
        <f>Sizing!JD95</f>
        <v>0.16394752651062636</v>
      </c>
      <c r="AY81" s="216">
        <f>Sizing!IT95</f>
        <v>0.5</v>
      </c>
      <c r="AZ81" s="216">
        <f>Sizing!IU95</f>
        <v>1.5748031496062995E-2</v>
      </c>
      <c r="BA81" s="17">
        <f>Sizing!IV95</f>
        <v>1.5748031496062995E-2</v>
      </c>
      <c r="BB81" s="216">
        <f t="shared" si="13"/>
        <v>2.4179687736685367E-3</v>
      </c>
      <c r="BC81" s="138">
        <f t="shared" si="14"/>
        <v>1.4450919259101369E-3</v>
      </c>
      <c r="BD81" s="138">
        <f t="shared" si="15"/>
        <v>3.8630606995786734E-3</v>
      </c>
      <c r="BE81" s="311">
        <f t="shared" si="16"/>
        <v>3.3741619764040776E-2</v>
      </c>
      <c r="BF81" s="11">
        <f t="shared" si="17"/>
        <v>2.0165579811920832E-2</v>
      </c>
      <c r="BG81" s="21">
        <f t="shared" si="18"/>
        <v>5.3907199575961601E-2</v>
      </c>
      <c r="BH81" s="21">
        <f t="shared" si="19"/>
        <v>4.770418707031045E-3</v>
      </c>
      <c r="BI81" s="21">
        <f t="shared" si="20"/>
        <v>4.770418707031045E-3</v>
      </c>
      <c r="BJ81" s="561"/>
      <c r="BK81">
        <f t="shared" si="21"/>
        <v>2.2311762525000001</v>
      </c>
      <c r="BL81">
        <f t="shared" si="22"/>
        <v>2.2311762525000001</v>
      </c>
      <c r="BM81">
        <f>C81*'Inputs-Imperial'!$E$12</f>
        <v>1.11558812625</v>
      </c>
      <c r="BN81">
        <f>C81*'Inputs-Imperial'!$E$12</f>
        <v>1.11558812625</v>
      </c>
      <c r="BO81">
        <f>C81*'Inputs-Imperial'!$E$12</f>
        <v>1.11558812625</v>
      </c>
      <c r="BP81">
        <f>C81*'Weight '!$E$15</f>
        <v>2.2311762525000001</v>
      </c>
      <c r="BQ81">
        <f>C81*'Weight '!$E$15</f>
        <v>2.2311762525000001</v>
      </c>
      <c r="BR81">
        <f>C81*'Weight '!$E$15</f>
        <v>2.2311762525000001</v>
      </c>
      <c r="BS81">
        <f t="shared" si="23"/>
        <v>8.390438076014016</v>
      </c>
      <c r="BT81" s="564">
        <f t="shared" si="24"/>
        <v>4.2046722582899037</v>
      </c>
      <c r="BU81">
        <f t="shared" si="40"/>
        <v>1.9955034686642898</v>
      </c>
    </row>
    <row r="82" spans="1:73" x14ac:dyDescent="0.25">
      <c r="A82" s="186">
        <v>36</v>
      </c>
      <c r="B82" s="187">
        <f>A82/100*'Inputs-Imperial'!$E$5</f>
        <v>8.6692916159999989</v>
      </c>
      <c r="C82" s="188">
        <f>'Inputs-Imperial'!$E$10+('Inputs-Imperial'!$E$9-'Inputs-Imperial'!$E$10)*(100-A82)/100</f>
        <v>4.4445539480000003</v>
      </c>
      <c r="D82" s="187">
        <f t="shared" si="25"/>
        <v>0.24081365600000026</v>
      </c>
      <c r="E82" s="188">
        <f t="shared" si="26"/>
        <v>1.0724523532984624</v>
      </c>
      <c r="F82" s="423">
        <f>Sizing!F96</f>
        <v>554.65708045259794</v>
      </c>
      <c r="G82" s="423">
        <f>Sizing!G96</f>
        <v>5546.5708045259798</v>
      </c>
      <c r="H82" s="423">
        <f>Sizing!H96</f>
        <v>38744.52903604407</v>
      </c>
      <c r="I82" s="423">
        <f>Sizing!I96</f>
        <v>-11793.490528936545</v>
      </c>
      <c r="J82" s="189">
        <f>Sizing!J96</f>
        <v>3874.4529036044069</v>
      </c>
      <c r="K82" s="128">
        <v>36</v>
      </c>
      <c r="L82" s="12">
        <f t="shared" si="5"/>
        <v>104.03149939199999</v>
      </c>
      <c r="M82" s="11">
        <f t="shared" si="5"/>
        <v>53.334647376000007</v>
      </c>
      <c r="N82" s="11">
        <f t="shared" si="5"/>
        <v>2.8897638720000032</v>
      </c>
      <c r="O82" s="152">
        <f t="shared" si="27"/>
        <v>154.43313887497857</v>
      </c>
      <c r="P82" s="8">
        <f t="shared" si="41"/>
        <v>9.6002365276800017</v>
      </c>
      <c r="Q82" s="12">
        <f t="shared" si="28"/>
        <v>27.797964997496141</v>
      </c>
      <c r="R82" s="8">
        <f t="shared" si="42"/>
        <v>4.8001182638400008</v>
      </c>
      <c r="S82" s="12">
        <f t="shared" si="29"/>
        <v>13.898982498748071</v>
      </c>
      <c r="T82" s="17">
        <f>Sizing!CN96</f>
        <v>2.5</v>
      </c>
      <c r="U82" s="17">
        <f>Sizing!CO96</f>
        <v>2.3622047244094495E-2</v>
      </c>
      <c r="V82" s="17">
        <f>Sizing!CP96</f>
        <v>1.5748031496062995E-2</v>
      </c>
      <c r="W82" s="128">
        <f t="shared" si="6"/>
        <v>3.0224609670856709E-3</v>
      </c>
      <c r="X82" s="2">
        <f t="shared" si="7"/>
        <v>7.2254596295506842E-3</v>
      </c>
      <c r="Y82" s="2">
        <f t="shared" si="8"/>
        <v>1.0247920596636356E-2</v>
      </c>
      <c r="Z82" s="216">
        <f t="shared" si="30"/>
        <v>0.48195092193844535</v>
      </c>
      <c r="AA82" s="138">
        <f t="shared" si="31"/>
        <v>1.1521462039752008</v>
      </c>
      <c r="AB82" s="17">
        <f t="shared" si="32"/>
        <v>1.6340971259136463</v>
      </c>
      <c r="AC82" s="311">
        <f t="shared" si="33"/>
        <v>0.47364142328433417</v>
      </c>
      <c r="AD82" s="316">
        <f t="shared" si="34"/>
        <v>1.1322816142514902</v>
      </c>
      <c r="AE82" s="21">
        <f t="shared" si="35"/>
        <v>1.6059230375358244</v>
      </c>
      <c r="AF82" s="170">
        <f>Sizing!DU96</f>
        <v>1.7233950944186762</v>
      </c>
      <c r="AG82" s="170">
        <f>Sizing!DV96</f>
        <v>1.3127814343669995</v>
      </c>
      <c r="AH82" s="170">
        <f>Sizing!DW96</f>
        <v>1.7233950944186762</v>
      </c>
      <c r="AI82" s="272">
        <f>Sizing!DX96</f>
        <v>1.3127814343669995</v>
      </c>
      <c r="AJ82" s="216">
        <f>Sizing!GJ96</f>
        <v>0.5</v>
      </c>
      <c r="AK82" s="216">
        <f>Sizing!GK96</f>
        <v>5.5118110236220486E-2</v>
      </c>
      <c r="AL82" s="17">
        <f>Sizing!GL96</f>
        <v>5.5118110236220486E-2</v>
      </c>
      <c r="AM82" s="216">
        <f t="shared" si="9"/>
        <v>8.4628907078398794E-3</v>
      </c>
      <c r="AN82" s="138">
        <f t="shared" si="10"/>
        <v>1.4450919259101369E-3</v>
      </c>
      <c r="AO82" s="138">
        <f t="shared" si="11"/>
        <v>9.9079826337500169E-3</v>
      </c>
      <c r="AP82" s="311">
        <f t="shared" si="36"/>
        <v>0.2352511396741683</v>
      </c>
      <c r="AQ82" s="11">
        <f t="shared" si="37"/>
        <v>4.0170614774614269E-2</v>
      </c>
      <c r="AR82" s="21">
        <f t="shared" si="38"/>
        <v>0.27542175444878259</v>
      </c>
      <c r="AS82" s="11">
        <f t="shared" si="12"/>
        <v>0.30586628917576697</v>
      </c>
      <c r="AT82" s="21">
        <f t="shared" si="39"/>
        <v>0.30586628917576697</v>
      </c>
      <c r="AU82" s="170">
        <f>Sizing!JC96</f>
        <v>2.6878791448952534E-2</v>
      </c>
      <c r="AV82" s="272">
        <f>Sizing!JD96</f>
        <v>0.16394752651062636</v>
      </c>
      <c r="AW82" s="170">
        <f>Sizing!JC96</f>
        <v>2.6878791448952534E-2</v>
      </c>
      <c r="AX82" s="272">
        <f>Sizing!JD96</f>
        <v>0.16394752651062636</v>
      </c>
      <c r="AY82" s="216">
        <f>Sizing!IT96</f>
        <v>0.5</v>
      </c>
      <c r="AZ82" s="216">
        <f>Sizing!IU96</f>
        <v>1.5748031496062995E-2</v>
      </c>
      <c r="BA82" s="17">
        <f>Sizing!IV96</f>
        <v>1.5748031496062995E-2</v>
      </c>
      <c r="BB82" s="216">
        <f t="shared" si="13"/>
        <v>2.4179687736685367E-3</v>
      </c>
      <c r="BC82" s="138">
        <f t="shared" si="14"/>
        <v>1.4450919259101369E-3</v>
      </c>
      <c r="BD82" s="138">
        <f t="shared" si="15"/>
        <v>3.8630606995786734E-3</v>
      </c>
      <c r="BE82" s="311">
        <f t="shared" si="16"/>
        <v>3.3607305667738327E-2</v>
      </c>
      <c r="BF82" s="11">
        <f t="shared" si="17"/>
        <v>2.0085307387307134E-2</v>
      </c>
      <c r="BG82" s="21">
        <f t="shared" si="18"/>
        <v>5.3692613055045461E-2</v>
      </c>
      <c r="BH82" s="21">
        <f t="shared" si="19"/>
        <v>4.7704187070310797E-3</v>
      </c>
      <c r="BI82" s="21">
        <f t="shared" si="20"/>
        <v>4.7704187070310797E-3</v>
      </c>
      <c r="BJ82" s="561"/>
      <c r="BK82">
        <f t="shared" si="21"/>
        <v>2.2222769740000001</v>
      </c>
      <c r="BL82">
        <f t="shared" si="22"/>
        <v>2.2222769740000001</v>
      </c>
      <c r="BM82">
        <f>C82*'Inputs-Imperial'!$E$12</f>
        <v>1.1111384870000001</v>
      </c>
      <c r="BN82">
        <f>C82*'Inputs-Imperial'!$E$12</f>
        <v>1.1111384870000001</v>
      </c>
      <c r="BO82">
        <f>C82*'Inputs-Imperial'!$E$12</f>
        <v>1.1111384870000001</v>
      </c>
      <c r="BP82">
        <f>C82*'Weight '!$E$15</f>
        <v>2.2222769740000001</v>
      </c>
      <c r="BQ82">
        <f>C82*'Weight '!$E$15</f>
        <v>2.2222769740000001</v>
      </c>
      <c r="BR82">
        <f>C82*'Weight '!$E$15</f>
        <v>2.2222769740000001</v>
      </c>
      <c r="BS82">
        <f t="shared" si="23"/>
        <v>8.3264957685767786</v>
      </c>
      <c r="BT82" s="564">
        <f t="shared" si="24"/>
        <v>4.1904079467188957</v>
      </c>
      <c r="BU82">
        <f t="shared" si="40"/>
        <v>1.9870370318232273</v>
      </c>
    </row>
    <row r="83" spans="1:73" x14ac:dyDescent="0.25">
      <c r="A83" s="186">
        <v>37</v>
      </c>
      <c r="B83" s="187">
        <f>A83/100*'Inputs-Imperial'!$E$5</f>
        <v>8.9101052719999991</v>
      </c>
      <c r="C83" s="188">
        <f>'Inputs-Imperial'!$E$10+('Inputs-Imperial'!$E$9-'Inputs-Imperial'!$E$10)*(100-A83)/100</f>
        <v>4.4267553910000004</v>
      </c>
      <c r="D83" s="187">
        <f t="shared" si="25"/>
        <v>0.24081365600000026</v>
      </c>
      <c r="E83" s="188">
        <f t="shared" si="26"/>
        <v>1.0681662177157678</v>
      </c>
      <c r="F83" s="423">
        <f>Sizing!F97</f>
        <v>543.76948418301583</v>
      </c>
      <c r="G83" s="423">
        <f>Sizing!G97</f>
        <v>5437.694841830159</v>
      </c>
      <c r="H83" s="423">
        <f>Sizing!H97</f>
        <v>37408.839042343308</v>
      </c>
      <c r="I83" s="423">
        <f>Sizing!I97</f>
        <v>-11512.364154701014</v>
      </c>
      <c r="J83" s="189">
        <f>Sizing!J97</f>
        <v>3740.8839042343307</v>
      </c>
      <c r="K83" s="128">
        <v>37</v>
      </c>
      <c r="L83" s="12">
        <f t="shared" si="5"/>
        <v>106.92126326399999</v>
      </c>
      <c r="M83" s="11">
        <f t="shared" si="5"/>
        <v>53.121064692000004</v>
      </c>
      <c r="N83" s="11">
        <f t="shared" si="5"/>
        <v>2.8897638720000032</v>
      </c>
      <c r="O83" s="152">
        <f t="shared" si="27"/>
        <v>153.81593535107055</v>
      </c>
      <c r="P83" s="8">
        <f t="shared" si="41"/>
        <v>9.5617916445600013</v>
      </c>
      <c r="Q83" s="12">
        <f t="shared" si="28"/>
        <v>27.686868363192708</v>
      </c>
      <c r="R83" s="8">
        <f t="shared" si="42"/>
        <v>4.7808958222800007</v>
      </c>
      <c r="S83" s="12">
        <f t="shared" si="29"/>
        <v>13.843434181596354</v>
      </c>
      <c r="T83" s="17">
        <f>Sizing!CN97</f>
        <v>2.5</v>
      </c>
      <c r="U83" s="17">
        <f>Sizing!CO97</f>
        <v>2.3622047244094495E-2</v>
      </c>
      <c r="V83" s="17">
        <f>Sizing!CP97</f>
        <v>1.5748031496062995E-2</v>
      </c>
      <c r="W83" s="128">
        <f t="shared" si="6"/>
        <v>3.0224609670856709E-3</v>
      </c>
      <c r="X83" s="2">
        <f t="shared" si="7"/>
        <v>7.2254596295506842E-3</v>
      </c>
      <c r="Y83" s="2">
        <f t="shared" si="8"/>
        <v>1.0247920596636356E-2</v>
      </c>
      <c r="Z83" s="216">
        <f t="shared" si="30"/>
        <v>0.48002476923871978</v>
      </c>
      <c r="AA83" s="138">
        <f t="shared" si="31"/>
        <v>1.1475415659918569</v>
      </c>
      <c r="AB83" s="17">
        <f t="shared" si="32"/>
        <v>1.6275663352305767</v>
      </c>
      <c r="AC83" s="311">
        <f t="shared" si="33"/>
        <v>0.47174848011391429</v>
      </c>
      <c r="AD83" s="316">
        <f t="shared" si="34"/>
        <v>1.1277563665782042</v>
      </c>
      <c r="AE83" s="21">
        <f t="shared" si="35"/>
        <v>1.5995048466921185</v>
      </c>
      <c r="AF83" s="170">
        <f>Sizing!DU97</f>
        <v>1.7233950944186762</v>
      </c>
      <c r="AG83" s="170">
        <f>Sizing!DV97</f>
        <v>1.3127814343669995</v>
      </c>
      <c r="AH83" s="170">
        <f>Sizing!DW97</f>
        <v>1.7233950944186762</v>
      </c>
      <c r="AI83" s="272">
        <f>Sizing!DX97</f>
        <v>1.3127814343669995</v>
      </c>
      <c r="AJ83" s="216">
        <f>Sizing!GJ97</f>
        <v>0.5</v>
      </c>
      <c r="AK83" s="216">
        <f>Sizing!GK97</f>
        <v>5.5118110236220486E-2</v>
      </c>
      <c r="AL83" s="17">
        <f>Sizing!GL97</f>
        <v>5.5118110236220486E-2</v>
      </c>
      <c r="AM83" s="216">
        <f t="shared" si="9"/>
        <v>8.4628907078398794E-3</v>
      </c>
      <c r="AN83" s="138">
        <f t="shared" si="10"/>
        <v>1.4450919259101369E-3</v>
      </c>
      <c r="AO83" s="138">
        <f t="shared" si="11"/>
        <v>9.9079826337500169E-3</v>
      </c>
      <c r="AP83" s="311">
        <f t="shared" si="36"/>
        <v>0.23431094100004951</v>
      </c>
      <c r="AQ83" s="11">
        <f t="shared" si="37"/>
        <v>4.0010069925386589E-2</v>
      </c>
      <c r="AR83" s="21">
        <f t="shared" si="38"/>
        <v>0.27432101092543609</v>
      </c>
      <c r="AS83" s="11">
        <f t="shared" si="12"/>
        <v>0.30586628917576697</v>
      </c>
      <c r="AT83" s="21">
        <f t="shared" si="39"/>
        <v>0.30586628917576697</v>
      </c>
      <c r="AU83" s="170">
        <f>Sizing!JC97</f>
        <v>2.6878791448952534E-2</v>
      </c>
      <c r="AV83" s="272">
        <f>Sizing!JD97</f>
        <v>0.16394752651062636</v>
      </c>
      <c r="AW83" s="170">
        <f>Sizing!JC97</f>
        <v>2.6878791448952534E-2</v>
      </c>
      <c r="AX83" s="272">
        <f>Sizing!JD97</f>
        <v>0.16394752651062636</v>
      </c>
      <c r="AY83" s="216">
        <f>Sizing!IT97</f>
        <v>0.5</v>
      </c>
      <c r="AZ83" s="216">
        <f>Sizing!IU97</f>
        <v>1.5748031496062995E-2</v>
      </c>
      <c r="BA83" s="17">
        <f>Sizing!IV97</f>
        <v>1.5748031496062995E-2</v>
      </c>
      <c r="BB83" s="216">
        <f t="shared" si="13"/>
        <v>2.4179687736685367E-3</v>
      </c>
      <c r="BC83" s="138">
        <f t="shared" si="14"/>
        <v>1.4450919259101369E-3</v>
      </c>
      <c r="BD83" s="138">
        <f t="shared" si="15"/>
        <v>3.8630606995786734E-3</v>
      </c>
      <c r="BE83" s="311">
        <f t="shared" si="16"/>
        <v>3.3472991571435642E-2</v>
      </c>
      <c r="BF83" s="11">
        <f t="shared" si="17"/>
        <v>2.0005034962693295E-2</v>
      </c>
      <c r="BG83" s="21">
        <f t="shared" si="18"/>
        <v>5.3478026534128933E-2</v>
      </c>
      <c r="BH83" s="21">
        <f t="shared" si="19"/>
        <v>4.7704187070310797E-3</v>
      </c>
      <c r="BI83" s="21">
        <f t="shared" si="20"/>
        <v>4.7704187070310797E-3</v>
      </c>
      <c r="BJ83" s="561"/>
      <c r="BK83">
        <f t="shared" si="21"/>
        <v>2.2133776955000002</v>
      </c>
      <c r="BL83">
        <f t="shared" si="22"/>
        <v>2.2133776955000002</v>
      </c>
      <c r="BM83">
        <f>C83*'Inputs-Imperial'!$E$12</f>
        <v>1.1066888477500001</v>
      </c>
      <c r="BN83">
        <f>C83*'Inputs-Imperial'!$E$12</f>
        <v>1.1066888477500001</v>
      </c>
      <c r="BO83">
        <f>C83*'Inputs-Imperial'!$E$12</f>
        <v>1.1066888477500001</v>
      </c>
      <c r="BP83">
        <f>C83*'Weight '!$E$15</f>
        <v>2.2133776955000002</v>
      </c>
      <c r="BQ83">
        <f>C83*'Weight '!$E$15</f>
        <v>2.2133776955000002</v>
      </c>
      <c r="BR83">
        <f>C83*'Weight '!$E$15</f>
        <v>2.2133776955000002</v>
      </c>
      <c r="BS83">
        <f t="shared" si="23"/>
        <v>8.2627975494788739</v>
      </c>
      <c r="BT83" s="564">
        <f t="shared" si="24"/>
        <v>4.1761436351478567</v>
      </c>
      <c r="BU83">
        <f t="shared" si="40"/>
        <v>1.9785712062047716</v>
      </c>
    </row>
    <row r="84" spans="1:73" x14ac:dyDescent="0.25">
      <c r="A84" s="186">
        <v>38</v>
      </c>
      <c r="B84" s="187">
        <f>A84/100*'Inputs-Imperial'!$E$5</f>
        <v>9.1509189279999994</v>
      </c>
      <c r="C84" s="188">
        <f>'Inputs-Imperial'!$E$10+('Inputs-Imperial'!$E$9-'Inputs-Imperial'!$E$10)*(100-A84)/100</f>
        <v>4.4089568340000005</v>
      </c>
      <c r="D84" s="187">
        <f t="shared" si="25"/>
        <v>0.24081365600000026</v>
      </c>
      <c r="E84" s="188">
        <f t="shared" si="26"/>
        <v>1.0638800821330736</v>
      </c>
      <c r="F84" s="423">
        <f>Sizing!F98</f>
        <v>532.92710362061098</v>
      </c>
      <c r="G84" s="423">
        <f>Sizing!G98</f>
        <v>5329.2710362061107</v>
      </c>
      <c r="H84" s="423">
        <f>Sizing!H98</f>
        <v>36099.367867269844</v>
      </c>
      <c r="I84" s="423">
        <f>Sizing!I98</f>
        <v>-11233.580273378191</v>
      </c>
      <c r="J84" s="189">
        <f>Sizing!J98</f>
        <v>3609.9367867269843</v>
      </c>
      <c r="K84" s="128">
        <v>38</v>
      </c>
      <c r="L84" s="12">
        <f t="shared" si="5"/>
        <v>109.81102713599999</v>
      </c>
      <c r="M84" s="11">
        <f t="shared" si="5"/>
        <v>52.907482008000002</v>
      </c>
      <c r="N84" s="11">
        <f t="shared" si="5"/>
        <v>2.8897638720000032</v>
      </c>
      <c r="O84" s="152">
        <f t="shared" si="27"/>
        <v>153.19873182716259</v>
      </c>
      <c r="P84" s="8">
        <f t="shared" si="41"/>
        <v>9.5233467614400009</v>
      </c>
      <c r="Q84" s="12">
        <f t="shared" si="28"/>
        <v>27.575771728889269</v>
      </c>
      <c r="R84" s="8">
        <f t="shared" si="42"/>
        <v>4.7616733807200005</v>
      </c>
      <c r="S84" s="12">
        <f t="shared" si="29"/>
        <v>13.787885864444634</v>
      </c>
      <c r="T84" s="17">
        <f>Sizing!CN98</f>
        <v>2.5</v>
      </c>
      <c r="U84" s="17">
        <f>Sizing!CO98</f>
        <v>2.3622047244094495E-2</v>
      </c>
      <c r="V84" s="17">
        <f>Sizing!CP98</f>
        <v>1.5748031496062995E-2</v>
      </c>
      <c r="W84" s="128">
        <f t="shared" si="6"/>
        <v>3.0224609670856709E-3</v>
      </c>
      <c r="X84" s="2">
        <f t="shared" si="7"/>
        <v>7.2254596295506842E-3</v>
      </c>
      <c r="Y84" s="2">
        <f t="shared" si="8"/>
        <v>1.0247920596636356E-2</v>
      </c>
      <c r="Z84" s="216">
        <f t="shared" si="30"/>
        <v>0.47809861653899444</v>
      </c>
      <c r="AA84" s="138">
        <f t="shared" si="31"/>
        <v>1.1429369280085135</v>
      </c>
      <c r="AB84" s="17">
        <f t="shared" si="32"/>
        <v>1.621035544547508</v>
      </c>
      <c r="AC84" s="311">
        <f t="shared" si="33"/>
        <v>0.46985553694349452</v>
      </c>
      <c r="AD84" s="316">
        <f t="shared" si="34"/>
        <v>1.1232311189049182</v>
      </c>
      <c r="AE84" s="21">
        <f t="shared" si="35"/>
        <v>1.5930866558484129</v>
      </c>
      <c r="AF84" s="170">
        <f>Sizing!DU98</f>
        <v>1.7233950944186762</v>
      </c>
      <c r="AG84" s="170">
        <f>Sizing!DV98</f>
        <v>1.3127814343669995</v>
      </c>
      <c r="AH84" s="170">
        <f>Sizing!DW98</f>
        <v>1.7233950944186762</v>
      </c>
      <c r="AI84" s="272">
        <f>Sizing!DX98</f>
        <v>1.3127814343669995</v>
      </c>
      <c r="AJ84" s="216">
        <f>Sizing!GJ98</f>
        <v>0.5</v>
      </c>
      <c r="AK84" s="216">
        <f>Sizing!GK98</f>
        <v>5.5118110236220486E-2</v>
      </c>
      <c r="AL84" s="17">
        <f>Sizing!GL98</f>
        <v>5.5118110236220486E-2</v>
      </c>
      <c r="AM84" s="216">
        <f t="shared" si="9"/>
        <v>8.4628907078398794E-3</v>
      </c>
      <c r="AN84" s="138">
        <f t="shared" si="10"/>
        <v>1.4450919259101369E-3</v>
      </c>
      <c r="AO84" s="138">
        <f t="shared" si="11"/>
        <v>9.9079826337500169E-3</v>
      </c>
      <c r="AP84" s="311">
        <f t="shared" si="36"/>
        <v>0.23337074232593064</v>
      </c>
      <c r="AQ84" s="11">
        <f t="shared" si="37"/>
        <v>3.9849525076158895E-2</v>
      </c>
      <c r="AR84" s="21">
        <f t="shared" si="38"/>
        <v>0.27322026740208954</v>
      </c>
      <c r="AS84" s="11">
        <f t="shared" si="12"/>
        <v>0.30586628917576697</v>
      </c>
      <c r="AT84" s="21">
        <f t="shared" si="39"/>
        <v>0.30586628917576697</v>
      </c>
      <c r="AU84" s="170">
        <f>Sizing!JC98</f>
        <v>2.6878791448952534E-2</v>
      </c>
      <c r="AV84" s="272">
        <f>Sizing!JD98</f>
        <v>0.16394752651062636</v>
      </c>
      <c r="AW84" s="170">
        <f>Sizing!JC98</f>
        <v>2.6878791448952534E-2</v>
      </c>
      <c r="AX84" s="272">
        <f>Sizing!JD98</f>
        <v>0.16394752651062636</v>
      </c>
      <c r="AY84" s="216">
        <f>Sizing!IT98</f>
        <v>0.5</v>
      </c>
      <c r="AZ84" s="216">
        <f>Sizing!IU98</f>
        <v>1.5748031496062995E-2</v>
      </c>
      <c r="BA84" s="17">
        <f>Sizing!IV98</f>
        <v>1.5748031496062995E-2</v>
      </c>
      <c r="BB84" s="216">
        <f t="shared" si="13"/>
        <v>2.4179687736685367E-3</v>
      </c>
      <c r="BC84" s="138">
        <f t="shared" si="14"/>
        <v>1.4450919259101369E-3</v>
      </c>
      <c r="BD84" s="138">
        <f t="shared" si="15"/>
        <v>3.8630606995786734E-3</v>
      </c>
      <c r="BE84" s="311">
        <f t="shared" si="16"/>
        <v>3.3338677475132944E-2</v>
      </c>
      <c r="BF84" s="11">
        <f t="shared" si="17"/>
        <v>1.9924762538079448E-2</v>
      </c>
      <c r="BG84" s="21">
        <f t="shared" si="18"/>
        <v>5.3263440013212392E-2</v>
      </c>
      <c r="BH84" s="21">
        <f t="shared" si="19"/>
        <v>4.7704187070310797E-3</v>
      </c>
      <c r="BI84" s="21">
        <f t="shared" si="20"/>
        <v>4.7704187070310797E-3</v>
      </c>
      <c r="BJ84" s="561"/>
      <c r="BK84">
        <f t="shared" si="21"/>
        <v>2.2044784170000002</v>
      </c>
      <c r="BL84">
        <f t="shared" si="22"/>
        <v>2.2044784170000002</v>
      </c>
      <c r="BM84">
        <f>C84*'Inputs-Imperial'!$E$12</f>
        <v>1.1022392085000001</v>
      </c>
      <c r="BN84">
        <f>C84*'Inputs-Imperial'!$E$12</f>
        <v>1.1022392085000001</v>
      </c>
      <c r="BO84">
        <f>C84*'Inputs-Imperial'!$E$12</f>
        <v>1.1022392085000001</v>
      </c>
      <c r="BP84">
        <f>C84*'Weight '!$E$15</f>
        <v>2.2044784170000002</v>
      </c>
      <c r="BQ84">
        <f>C84*'Weight '!$E$15</f>
        <v>2.2044784170000002</v>
      </c>
      <c r="BR84">
        <f>C84*'Weight '!$E$15</f>
        <v>2.2044784170000002</v>
      </c>
      <c r="BS84">
        <f t="shared" si="23"/>
        <v>8.1993434187203604</v>
      </c>
      <c r="BT84" s="564">
        <f t="shared" si="24"/>
        <v>4.1618793235768203</v>
      </c>
      <c r="BU84">
        <f t="shared" si="40"/>
        <v>1.9701059980935836</v>
      </c>
    </row>
    <row r="85" spans="1:73" x14ac:dyDescent="0.25">
      <c r="A85" s="186">
        <v>39</v>
      </c>
      <c r="B85" s="187">
        <f>A85/100*'Inputs-Imperial'!$E$5</f>
        <v>9.3917325839999997</v>
      </c>
      <c r="C85" s="188">
        <f>'Inputs-Imperial'!$E$10+('Inputs-Imperial'!$E$9-'Inputs-Imperial'!$E$10)*(100-A85)/100</f>
        <v>4.3911582770000006</v>
      </c>
      <c r="D85" s="187">
        <f t="shared" si="25"/>
        <v>0.24081365600000026</v>
      </c>
      <c r="E85" s="188">
        <f t="shared" si="26"/>
        <v>1.0595939465503792</v>
      </c>
      <c r="F85" s="423">
        <f>Sizing!F99</f>
        <v>522.13071476992855</v>
      </c>
      <c r="G85" s="423">
        <f>Sizing!G99</f>
        <v>5221.3071476992864</v>
      </c>
      <c r="H85" s="423">
        <f>Sizing!H99</f>
        <v>34816.006625226139</v>
      </c>
      <c r="I85" s="423">
        <f>Sizing!I99</f>
        <v>-10957.168994321464</v>
      </c>
      <c r="J85" s="189">
        <f>Sizing!J99</f>
        <v>3481.6006625226141</v>
      </c>
      <c r="K85" s="128">
        <v>39</v>
      </c>
      <c r="L85" s="12">
        <f t="shared" si="5"/>
        <v>112.700791008</v>
      </c>
      <c r="M85" s="11">
        <f t="shared" si="5"/>
        <v>52.693899324000007</v>
      </c>
      <c r="N85" s="11">
        <f t="shared" si="5"/>
        <v>2.8897638720000032</v>
      </c>
      <c r="O85" s="152">
        <f t="shared" si="27"/>
        <v>152.58152830325463</v>
      </c>
      <c r="P85" s="8">
        <f t="shared" si="41"/>
        <v>9.4849018783200005</v>
      </c>
      <c r="Q85" s="12">
        <f t="shared" si="28"/>
        <v>27.464675094585829</v>
      </c>
      <c r="R85" s="8">
        <f t="shared" si="42"/>
        <v>4.7424509391600003</v>
      </c>
      <c r="S85" s="12">
        <f t="shared" si="29"/>
        <v>13.732337547292914</v>
      </c>
      <c r="T85" s="17">
        <f>Sizing!CN99</f>
        <v>2.5</v>
      </c>
      <c r="U85" s="17">
        <f>Sizing!CO99</f>
        <v>2.3622047244094495E-2</v>
      </c>
      <c r="V85" s="17">
        <f>Sizing!CP99</f>
        <v>1.5748031496062995E-2</v>
      </c>
      <c r="W85" s="128">
        <f t="shared" si="6"/>
        <v>3.0224609670856709E-3</v>
      </c>
      <c r="X85" s="2">
        <f t="shared" si="7"/>
        <v>7.2254596295506842E-3</v>
      </c>
      <c r="Y85" s="2">
        <f t="shared" si="8"/>
        <v>1.0247920596636356E-2</v>
      </c>
      <c r="Z85" s="216">
        <f t="shared" si="30"/>
        <v>0.47617246383926909</v>
      </c>
      <c r="AA85" s="138">
        <f t="shared" si="31"/>
        <v>1.13833229002517</v>
      </c>
      <c r="AB85" s="17">
        <f t="shared" si="32"/>
        <v>1.614504753864439</v>
      </c>
      <c r="AC85" s="311">
        <f t="shared" si="33"/>
        <v>0.46796259377307481</v>
      </c>
      <c r="AD85" s="316">
        <f t="shared" si="34"/>
        <v>1.1187058712316327</v>
      </c>
      <c r="AE85" s="21">
        <f t="shared" si="35"/>
        <v>1.5866684650047076</v>
      </c>
      <c r="AF85" s="170">
        <f>Sizing!DU99</f>
        <v>1.7233950944186762</v>
      </c>
      <c r="AG85" s="170">
        <f>Sizing!DV99</f>
        <v>1.3127814343669995</v>
      </c>
      <c r="AH85" s="170">
        <f>Sizing!DW99</f>
        <v>1.7233950944186762</v>
      </c>
      <c r="AI85" s="272">
        <f>Sizing!DX99</f>
        <v>1.3127814343669995</v>
      </c>
      <c r="AJ85" s="216">
        <f>Sizing!GJ99</f>
        <v>0.5</v>
      </c>
      <c r="AK85" s="216">
        <f>Sizing!GK99</f>
        <v>5.5118110236220486E-2</v>
      </c>
      <c r="AL85" s="17">
        <f>Sizing!GL99</f>
        <v>5.5118110236220486E-2</v>
      </c>
      <c r="AM85" s="216">
        <f t="shared" si="9"/>
        <v>8.4628907078398794E-3</v>
      </c>
      <c r="AN85" s="138">
        <f t="shared" si="10"/>
        <v>1.4450919259101369E-3</v>
      </c>
      <c r="AO85" s="138">
        <f t="shared" si="11"/>
        <v>9.9079826337500169E-3</v>
      </c>
      <c r="AP85" s="311">
        <f t="shared" si="36"/>
        <v>0.23243054365181176</v>
      </c>
      <c r="AQ85" s="11">
        <f t="shared" si="37"/>
        <v>3.9688980226931209E-2</v>
      </c>
      <c r="AR85" s="21">
        <f t="shared" si="38"/>
        <v>0.272119523878743</v>
      </c>
      <c r="AS85" s="11">
        <f t="shared" si="12"/>
        <v>0.30586628917576697</v>
      </c>
      <c r="AT85" s="21">
        <f t="shared" si="39"/>
        <v>0.30586628917576697</v>
      </c>
      <c r="AU85" s="170">
        <f>Sizing!JC99</f>
        <v>2.6878791448952534E-2</v>
      </c>
      <c r="AV85" s="272">
        <f>Sizing!JD99</f>
        <v>0.16394752651062636</v>
      </c>
      <c r="AW85" s="170">
        <f>Sizing!JC99</f>
        <v>2.6878791448952534E-2</v>
      </c>
      <c r="AX85" s="272">
        <f>Sizing!JD99</f>
        <v>0.16394752651062636</v>
      </c>
      <c r="AY85" s="216">
        <f>Sizing!IT99</f>
        <v>0.5</v>
      </c>
      <c r="AZ85" s="216">
        <f>Sizing!IU99</f>
        <v>1.5748031496062995E-2</v>
      </c>
      <c r="BA85" s="17">
        <f>Sizing!IV99</f>
        <v>1.5748031496062995E-2</v>
      </c>
      <c r="BB85" s="216">
        <f t="shared" si="13"/>
        <v>2.4179687736685367E-3</v>
      </c>
      <c r="BC85" s="138">
        <f t="shared" si="14"/>
        <v>1.4450919259101369E-3</v>
      </c>
      <c r="BD85" s="138">
        <f t="shared" si="15"/>
        <v>3.8630606995786734E-3</v>
      </c>
      <c r="BE85" s="311">
        <f t="shared" si="16"/>
        <v>3.3204363378830253E-2</v>
      </c>
      <c r="BF85" s="11">
        <f t="shared" si="17"/>
        <v>1.9844490113465604E-2</v>
      </c>
      <c r="BG85" s="21">
        <f t="shared" si="18"/>
        <v>5.304885349229585E-2</v>
      </c>
      <c r="BH85" s="21">
        <f t="shared" si="19"/>
        <v>4.7704187070310797E-3</v>
      </c>
      <c r="BI85" s="21">
        <f t="shared" si="20"/>
        <v>4.7704187070310797E-3</v>
      </c>
      <c r="BJ85" s="561"/>
      <c r="BK85">
        <f t="shared" si="21"/>
        <v>2.1955791385000003</v>
      </c>
      <c r="BL85">
        <f t="shared" si="22"/>
        <v>2.1955791385000003</v>
      </c>
      <c r="BM85">
        <f>C85*'Inputs-Imperial'!$E$12</f>
        <v>1.0977895692500002</v>
      </c>
      <c r="BN85">
        <f>C85*'Inputs-Imperial'!$E$12</f>
        <v>1.0977895692500002</v>
      </c>
      <c r="BO85">
        <f>C85*'Inputs-Imperial'!$E$12</f>
        <v>1.0977895692500002</v>
      </c>
      <c r="BP85">
        <f>C85*'Weight '!$E$15</f>
        <v>2.1955791385000003</v>
      </c>
      <c r="BQ85">
        <f>C85*'Weight '!$E$15</f>
        <v>2.1955791385000003</v>
      </c>
      <c r="BR85">
        <f>C85*'Weight '!$E$15</f>
        <v>2.1955791385000003</v>
      </c>
      <c r="BS85">
        <f t="shared" si="23"/>
        <v>8.13613337630124</v>
      </c>
      <c r="BT85" s="564">
        <f t="shared" si="24"/>
        <v>4.1476150120057822</v>
      </c>
      <c r="BU85">
        <f t="shared" si="40"/>
        <v>1.9616414138607852</v>
      </c>
    </row>
    <row r="86" spans="1:73" x14ac:dyDescent="0.25">
      <c r="A86" s="186">
        <v>40</v>
      </c>
      <c r="B86" s="187">
        <f>A86/100*'Inputs-Imperial'!$E$5</f>
        <v>9.6325462399999999</v>
      </c>
      <c r="C86" s="188">
        <f>'Inputs-Imperial'!$E$10+('Inputs-Imperial'!$E$9-'Inputs-Imperial'!$E$10)*(100-A86)/100</f>
        <v>4.3733597200000007</v>
      </c>
      <c r="D86" s="187">
        <f t="shared" si="25"/>
        <v>0.24081365600000026</v>
      </c>
      <c r="E86" s="188">
        <f t="shared" si="26"/>
        <v>1.055307810967685</v>
      </c>
      <c r="F86" s="423">
        <f>Sizing!F100</f>
        <v>511.38110404847362</v>
      </c>
      <c r="G86" s="423">
        <f>Sizing!G100</f>
        <v>5113.8110404847375</v>
      </c>
      <c r="H86" s="423">
        <f>Sizing!H100</f>
        <v>33558.644561889741</v>
      </c>
      <c r="I86" s="423">
        <f>Sizing!I100</f>
        <v>-10683.160452055752</v>
      </c>
      <c r="J86" s="189">
        <f>Sizing!J100</f>
        <v>3355.8644561889741</v>
      </c>
      <c r="K86" s="128">
        <v>40</v>
      </c>
      <c r="L86" s="12">
        <f t="shared" si="5"/>
        <v>115.59055488</v>
      </c>
      <c r="M86" s="11">
        <f t="shared" si="5"/>
        <v>52.480316640000012</v>
      </c>
      <c r="N86" s="11">
        <f t="shared" si="5"/>
        <v>2.8897638720000032</v>
      </c>
      <c r="O86" s="152">
        <f t="shared" si="27"/>
        <v>151.96432477934664</v>
      </c>
      <c r="P86" s="8">
        <f t="shared" si="41"/>
        <v>9.4464569952000019</v>
      </c>
      <c r="Q86" s="12">
        <f t="shared" si="28"/>
        <v>27.353578460282392</v>
      </c>
      <c r="R86" s="8">
        <f t="shared" si="42"/>
        <v>4.723228497600001</v>
      </c>
      <c r="S86" s="12">
        <f t="shared" si="29"/>
        <v>13.676789230141196</v>
      </c>
      <c r="T86" s="17">
        <f>Sizing!CN100</f>
        <v>2.5</v>
      </c>
      <c r="U86" s="17">
        <f>Sizing!CO100</f>
        <v>2.3622047244094495E-2</v>
      </c>
      <c r="V86" s="17">
        <f>Sizing!CP100</f>
        <v>1.5748031496062995E-2</v>
      </c>
      <c r="W86" s="128">
        <f t="shared" si="6"/>
        <v>3.0224609670856709E-3</v>
      </c>
      <c r="X86" s="2">
        <f t="shared" si="7"/>
        <v>7.2254596295506842E-3</v>
      </c>
      <c r="Y86" s="2">
        <f t="shared" si="8"/>
        <v>1.0247920596636356E-2</v>
      </c>
      <c r="Z86" s="216">
        <f t="shared" si="30"/>
        <v>0.47424631113954369</v>
      </c>
      <c r="AA86" s="138">
        <f t="shared" si="31"/>
        <v>1.1337276520418265</v>
      </c>
      <c r="AB86" s="17">
        <f t="shared" si="32"/>
        <v>1.6079739631813703</v>
      </c>
      <c r="AC86" s="311">
        <f t="shared" si="33"/>
        <v>0.46606965060265493</v>
      </c>
      <c r="AD86" s="316">
        <f t="shared" si="34"/>
        <v>1.1141806235583467</v>
      </c>
      <c r="AE86" s="21">
        <f t="shared" si="35"/>
        <v>1.5802502741610016</v>
      </c>
      <c r="AF86" s="170">
        <f>Sizing!DU100</f>
        <v>1.2501892583384084</v>
      </c>
      <c r="AG86" s="170">
        <f>Sizing!DV100</f>
        <v>1.1181186244484118</v>
      </c>
      <c r="AH86" s="170">
        <f>Sizing!DW100</f>
        <v>1.2501892583384084</v>
      </c>
      <c r="AI86" s="272">
        <f>Sizing!DX100</f>
        <v>1.1181186244484118</v>
      </c>
      <c r="AJ86" s="216">
        <f>Sizing!GJ100</f>
        <v>0.5</v>
      </c>
      <c r="AK86" s="216">
        <f>Sizing!GK100</f>
        <v>5.5118110236220486E-2</v>
      </c>
      <c r="AL86" s="17">
        <f>Sizing!GL100</f>
        <v>5.5118110236220486E-2</v>
      </c>
      <c r="AM86" s="216">
        <f t="shared" si="9"/>
        <v>8.4628907078398794E-3</v>
      </c>
      <c r="AN86" s="138">
        <f t="shared" si="10"/>
        <v>1.4450919259101369E-3</v>
      </c>
      <c r="AO86" s="138">
        <f t="shared" si="11"/>
        <v>9.9079826337500169E-3</v>
      </c>
      <c r="AP86" s="311">
        <f t="shared" si="36"/>
        <v>0.23149034497769294</v>
      </c>
      <c r="AQ86" s="11">
        <f t="shared" si="37"/>
        <v>3.9528435377703522E-2</v>
      </c>
      <c r="AR86" s="21">
        <f t="shared" si="38"/>
        <v>0.27101878035539645</v>
      </c>
      <c r="AS86" s="11">
        <f t="shared" si="12"/>
        <v>0.22188223144754785</v>
      </c>
      <c r="AT86" s="21">
        <f t="shared" si="39"/>
        <v>0.22188223144754785</v>
      </c>
      <c r="AU86" s="170">
        <f>Sizing!JC100</f>
        <v>1.9839863322260787E-2</v>
      </c>
      <c r="AV86" s="272">
        <f>Sizing!JD100</f>
        <v>0.14085404971906482</v>
      </c>
      <c r="AW86" s="170">
        <f>Sizing!JC100</f>
        <v>1.9839863322260787E-2</v>
      </c>
      <c r="AX86" s="272">
        <f>Sizing!JD100</f>
        <v>0.14085404971906482</v>
      </c>
      <c r="AY86" s="216">
        <f>Sizing!IT100</f>
        <v>0.5</v>
      </c>
      <c r="AZ86" s="216">
        <f>Sizing!IU100</f>
        <v>1.5748031496062995E-2</v>
      </c>
      <c r="BA86" s="17">
        <f>Sizing!IV100</f>
        <v>1.5748031496062995E-2</v>
      </c>
      <c r="BB86" s="216">
        <f t="shared" si="13"/>
        <v>2.4179687736685367E-3</v>
      </c>
      <c r="BC86" s="138">
        <f t="shared" si="14"/>
        <v>1.4450919259101369E-3</v>
      </c>
      <c r="BD86" s="138">
        <f t="shared" si="15"/>
        <v>3.8630606995786734E-3</v>
      </c>
      <c r="BE86" s="311">
        <f t="shared" si="16"/>
        <v>3.3070049282527561E-2</v>
      </c>
      <c r="BF86" s="11">
        <f t="shared" si="17"/>
        <v>1.9764217688851761E-2</v>
      </c>
      <c r="BG86" s="21">
        <f t="shared" si="18"/>
        <v>5.2834266971379315E-2</v>
      </c>
      <c r="BH86" s="21">
        <f t="shared" si="19"/>
        <v>3.5211573897285832E-3</v>
      </c>
      <c r="BI86" s="21">
        <f t="shared" si="20"/>
        <v>3.5211573897285832E-3</v>
      </c>
      <c r="BJ86" s="561"/>
      <c r="BK86">
        <f t="shared" si="21"/>
        <v>2.1866798600000004</v>
      </c>
      <c r="BL86">
        <f t="shared" si="22"/>
        <v>2.1866798600000004</v>
      </c>
      <c r="BM86">
        <f>C86*'Inputs-Imperial'!$E$12</f>
        <v>1.0933399300000002</v>
      </c>
      <c r="BN86">
        <f>C86*'Inputs-Imperial'!$E$12</f>
        <v>1.0933399300000002</v>
      </c>
      <c r="BO86">
        <f>C86*'Inputs-Imperial'!$E$12</f>
        <v>1.0933399300000002</v>
      </c>
      <c r="BP86">
        <f>C86*'Weight '!$E$15</f>
        <v>2.1866798600000004</v>
      </c>
      <c r="BQ86">
        <f>C86*'Weight '!$E$15</f>
        <v>2.1866798600000004</v>
      </c>
      <c r="BR86">
        <f>C86*'Weight '!$E$15</f>
        <v>2.1866798600000004</v>
      </c>
      <c r="BS86">
        <f t="shared" si="23"/>
        <v>7.8840577055012897</v>
      </c>
      <c r="BT86" s="564">
        <f t="shared" si="24"/>
        <v>3.9628840623437003</v>
      </c>
      <c r="BU86">
        <f t="shared" si="40"/>
        <v>1.9894747314001806</v>
      </c>
    </row>
    <row r="87" spans="1:73" x14ac:dyDescent="0.25">
      <c r="A87" s="186">
        <v>41</v>
      </c>
      <c r="B87" s="187">
        <f>A87/100*'Inputs-Imperial'!$E$5</f>
        <v>9.8733598959999984</v>
      </c>
      <c r="C87" s="188">
        <f>'Inputs-Imperial'!$E$10+('Inputs-Imperial'!$E$9-'Inputs-Imperial'!$E$10)*(100-A87)/100</f>
        <v>4.3555611630000008</v>
      </c>
      <c r="D87" s="187">
        <f t="shared" si="25"/>
        <v>0.24081365599999849</v>
      </c>
      <c r="E87" s="188">
        <f t="shared" si="26"/>
        <v>1.0510216753849826</v>
      </c>
      <c r="F87" s="423">
        <f>Sizing!F101</f>
        <v>500.67906880520064</v>
      </c>
      <c r="G87" s="423">
        <f>Sizing!G101</f>
        <v>5006.7906880520077</v>
      </c>
      <c r="H87" s="423">
        <f>Sizing!H101</f>
        <v>32327.169029137454</v>
      </c>
      <c r="I87" s="423">
        <f>Sizing!I101</f>
        <v>-10411.584814745875</v>
      </c>
      <c r="J87" s="189">
        <f>Sizing!J101</f>
        <v>3232.7169029137458</v>
      </c>
      <c r="K87" s="128">
        <v>41</v>
      </c>
      <c r="L87" s="12">
        <f t="shared" si="5"/>
        <v>118.48031875199999</v>
      </c>
      <c r="M87" s="11">
        <f t="shared" si="5"/>
        <v>52.26673395600001</v>
      </c>
      <c r="N87" s="11">
        <f t="shared" si="5"/>
        <v>2.8897638719999819</v>
      </c>
      <c r="O87" s="152">
        <f t="shared" si="27"/>
        <v>151.34712125543749</v>
      </c>
      <c r="P87" s="8">
        <f t="shared" si="41"/>
        <v>9.4080121120800015</v>
      </c>
      <c r="Q87" s="12">
        <f t="shared" si="28"/>
        <v>27.242481825978754</v>
      </c>
      <c r="R87" s="8">
        <f t="shared" si="42"/>
        <v>4.7040060560400008</v>
      </c>
      <c r="S87" s="12">
        <f t="shared" si="29"/>
        <v>13.621240912989377</v>
      </c>
      <c r="T87" s="17">
        <f>Sizing!CN101</f>
        <v>2.5</v>
      </c>
      <c r="U87" s="17">
        <f>Sizing!CO101</f>
        <v>2.3622047244094495E-2</v>
      </c>
      <c r="V87" s="17">
        <f>Sizing!CP101</f>
        <v>1.5748031496062995E-2</v>
      </c>
      <c r="W87" s="128">
        <f t="shared" si="6"/>
        <v>3.0224609670856709E-3</v>
      </c>
      <c r="X87" s="2">
        <f t="shared" si="7"/>
        <v>7.2254596295506842E-3</v>
      </c>
      <c r="Y87" s="2">
        <f t="shared" si="8"/>
        <v>1.0247920596636356E-2</v>
      </c>
      <c r="Z87" s="216">
        <f t="shared" si="30"/>
        <v>0.47232015843981462</v>
      </c>
      <c r="AA87" s="138">
        <f t="shared" si="31"/>
        <v>1.1291230140584743</v>
      </c>
      <c r="AB87" s="17">
        <f t="shared" si="32"/>
        <v>1.6014431724982889</v>
      </c>
      <c r="AC87" s="311">
        <f t="shared" si="33"/>
        <v>0.46417670743223155</v>
      </c>
      <c r="AD87" s="316">
        <f t="shared" si="34"/>
        <v>1.109655375885052</v>
      </c>
      <c r="AE87" s="21">
        <f t="shared" si="35"/>
        <v>1.5738320833172836</v>
      </c>
      <c r="AF87" s="170">
        <f>Sizing!DU101</f>
        <v>1.2501892583384084</v>
      </c>
      <c r="AG87" s="170">
        <f>Sizing!DV101</f>
        <v>1.1181186244484118</v>
      </c>
      <c r="AH87" s="170">
        <f>Sizing!DW101</f>
        <v>1.2501892583384084</v>
      </c>
      <c r="AI87" s="272">
        <f>Sizing!DX101</f>
        <v>1.1181186244484118</v>
      </c>
      <c r="AJ87" s="216">
        <f>Sizing!GJ101</f>
        <v>0.5</v>
      </c>
      <c r="AK87" s="216">
        <f>Sizing!GK101</f>
        <v>5.5118110236220486E-2</v>
      </c>
      <c r="AL87" s="17">
        <f>Sizing!GL101</f>
        <v>5.5118110236220486E-2</v>
      </c>
      <c r="AM87" s="216">
        <f t="shared" si="9"/>
        <v>8.4628907078398794E-3</v>
      </c>
      <c r="AN87" s="138">
        <f t="shared" si="10"/>
        <v>1.4450919259101369E-3</v>
      </c>
      <c r="AO87" s="138">
        <f t="shared" si="11"/>
        <v>9.9079826337500169E-3</v>
      </c>
      <c r="AP87" s="311">
        <f t="shared" si="36"/>
        <v>0.23055014630357237</v>
      </c>
      <c r="AQ87" s="11">
        <f t="shared" si="37"/>
        <v>3.9367890528475537E-2</v>
      </c>
      <c r="AR87" s="21">
        <f t="shared" si="38"/>
        <v>0.26991803683204796</v>
      </c>
      <c r="AS87" s="11">
        <f t="shared" si="12"/>
        <v>0.22188223144754621</v>
      </c>
      <c r="AT87" s="21">
        <f t="shared" si="39"/>
        <v>0.22188223144754621</v>
      </c>
      <c r="AU87" s="170">
        <f>Sizing!JC101</f>
        <v>1.9839863322260787E-2</v>
      </c>
      <c r="AV87" s="272">
        <f>Sizing!JD101</f>
        <v>0.14085404971906482</v>
      </c>
      <c r="AW87" s="170">
        <f>Sizing!JC101</f>
        <v>1.9839863322260787E-2</v>
      </c>
      <c r="AX87" s="272">
        <f>Sizing!JD101</f>
        <v>0.14085404971906482</v>
      </c>
      <c r="AY87" s="216">
        <f>Sizing!IT101</f>
        <v>0.5</v>
      </c>
      <c r="AZ87" s="216">
        <f>Sizing!IU101</f>
        <v>1.5748031496062995E-2</v>
      </c>
      <c r="BA87" s="17">
        <f>Sizing!IV101</f>
        <v>1.5748031496062995E-2</v>
      </c>
      <c r="BB87" s="216">
        <f t="shared" si="13"/>
        <v>2.4179687736685367E-3</v>
      </c>
      <c r="BC87" s="138">
        <f t="shared" si="14"/>
        <v>1.4450919259101369E-3</v>
      </c>
      <c r="BD87" s="138">
        <f t="shared" si="15"/>
        <v>3.8630606995786734E-3</v>
      </c>
      <c r="BE87" s="311">
        <f t="shared" si="16"/>
        <v>3.293573518622462E-2</v>
      </c>
      <c r="BF87" s="11">
        <f t="shared" si="17"/>
        <v>1.9683945264237768E-2</v>
      </c>
      <c r="BG87" s="21">
        <f t="shared" si="18"/>
        <v>5.2619680450462392E-2</v>
      </c>
      <c r="BH87" s="21">
        <f t="shared" si="19"/>
        <v>3.5211573897285572E-3</v>
      </c>
      <c r="BI87" s="21">
        <f t="shared" si="20"/>
        <v>3.5211573897285572E-3</v>
      </c>
      <c r="BJ87" s="561"/>
      <c r="BK87">
        <f t="shared" si="21"/>
        <v>2.1777805815000004</v>
      </c>
      <c r="BL87">
        <f t="shared" si="22"/>
        <v>2.1777805815000004</v>
      </c>
      <c r="BM87">
        <f>C87*'Inputs-Imperial'!$E$12</f>
        <v>1.0888902907500002</v>
      </c>
      <c r="BN87">
        <f>C87*'Inputs-Imperial'!$E$12</f>
        <v>1.0888902907500002</v>
      </c>
      <c r="BO87">
        <f>C87*'Inputs-Imperial'!$E$12</f>
        <v>1.0888902907500002</v>
      </c>
      <c r="BP87">
        <f>C87*'Weight '!$E$15</f>
        <v>2.1777805815000004</v>
      </c>
      <c r="BQ87">
        <f>C87*'Weight '!$E$15</f>
        <v>2.1777805815000004</v>
      </c>
      <c r="BR87">
        <f>C87*'Weight '!$E$15</f>
        <v>2.1777805815000004</v>
      </c>
      <c r="BS87">
        <f t="shared" si="23"/>
        <v>7.8221054723289383</v>
      </c>
      <c r="BT87" s="564">
        <f t="shared" si="24"/>
        <v>3.9486197507726324</v>
      </c>
      <c r="BU87">
        <f t="shared" si="40"/>
        <v>1.9809720778503361</v>
      </c>
    </row>
    <row r="88" spans="1:73" x14ac:dyDescent="0.25">
      <c r="A88" s="186">
        <v>42</v>
      </c>
      <c r="B88" s="187">
        <f>A88/100*'Inputs-Imperial'!$E$5</f>
        <v>10.114173551999999</v>
      </c>
      <c r="C88" s="188">
        <f>'Inputs-Imperial'!$E$10+('Inputs-Imperial'!$E$9-'Inputs-Imperial'!$E$10)*(100-A88)/100</f>
        <v>4.3377626060000001</v>
      </c>
      <c r="D88" s="187">
        <f t="shared" si="25"/>
        <v>0.24081365600000026</v>
      </c>
      <c r="E88" s="188">
        <f t="shared" si="26"/>
        <v>1.0467355398022959</v>
      </c>
      <c r="F88" s="423">
        <f>Sizing!F102</f>
        <v>490.02541786647868</v>
      </c>
      <c r="G88" s="423">
        <f>Sizing!G102</f>
        <v>4900.254178664788</v>
      </c>
      <c r="H88" s="423">
        <f>Sizing!H102</f>
        <v>31121.465458720893</v>
      </c>
      <c r="I88" s="423">
        <f>Sizing!I102</f>
        <v>-10142.472293076775</v>
      </c>
      <c r="J88" s="189">
        <f>Sizing!J102</f>
        <v>3112.14654587209</v>
      </c>
      <c r="K88" s="128">
        <v>42</v>
      </c>
      <c r="L88" s="12">
        <f t="shared" si="5"/>
        <v>121.37008262399999</v>
      </c>
      <c r="M88" s="11">
        <f t="shared" si="5"/>
        <v>52.053151272000001</v>
      </c>
      <c r="N88" s="11">
        <f t="shared" si="5"/>
        <v>2.8897638720000032</v>
      </c>
      <c r="O88" s="152">
        <f t="shared" si="27"/>
        <v>150.72991773153061</v>
      </c>
      <c r="P88" s="8">
        <f t="shared" si="41"/>
        <v>9.3695672289599994</v>
      </c>
      <c r="Q88" s="12">
        <f t="shared" si="28"/>
        <v>27.131385191675513</v>
      </c>
      <c r="R88" s="8">
        <f t="shared" si="42"/>
        <v>4.6847836144799997</v>
      </c>
      <c r="S88" s="12">
        <f t="shared" si="29"/>
        <v>13.565692595837756</v>
      </c>
      <c r="T88" s="17">
        <f>Sizing!CN102</f>
        <v>2.5</v>
      </c>
      <c r="U88" s="17">
        <f>Sizing!CO102</f>
        <v>2.3622047244094495E-2</v>
      </c>
      <c r="V88" s="17">
        <f>Sizing!CP102</f>
        <v>1.5748031496062995E-2</v>
      </c>
      <c r="W88" s="128">
        <f t="shared" si="6"/>
        <v>3.0224609670856709E-3</v>
      </c>
      <c r="X88" s="2">
        <f t="shared" si="7"/>
        <v>7.2254596295506842E-3</v>
      </c>
      <c r="Y88" s="2">
        <f t="shared" si="8"/>
        <v>1.0247920596636356E-2</v>
      </c>
      <c r="Z88" s="216">
        <f t="shared" si="30"/>
        <v>0.4703940057400926</v>
      </c>
      <c r="AA88" s="138">
        <f t="shared" si="31"/>
        <v>1.1245183760751387</v>
      </c>
      <c r="AB88" s="17">
        <f t="shared" si="32"/>
        <v>1.5949123818152315</v>
      </c>
      <c r="AC88" s="311">
        <f t="shared" si="33"/>
        <v>0.46228376426181511</v>
      </c>
      <c r="AD88" s="316">
        <f t="shared" si="34"/>
        <v>1.1051301282117743</v>
      </c>
      <c r="AE88" s="21">
        <f t="shared" si="35"/>
        <v>1.5674138924735894</v>
      </c>
      <c r="AF88" s="170">
        <f>Sizing!DU102</f>
        <v>1.2501892583384084</v>
      </c>
      <c r="AG88" s="170">
        <f>Sizing!DV102</f>
        <v>1.1181186244484118</v>
      </c>
      <c r="AH88" s="170">
        <f>Sizing!DW102</f>
        <v>1.2501892583384084</v>
      </c>
      <c r="AI88" s="272">
        <f>Sizing!DX102</f>
        <v>1.1181186244484118</v>
      </c>
      <c r="AJ88" s="216">
        <f>Sizing!GJ102</f>
        <v>0.5</v>
      </c>
      <c r="AK88" s="216">
        <f>Sizing!GK102</f>
        <v>5.5118110236220486E-2</v>
      </c>
      <c r="AL88" s="17">
        <f>Sizing!GL102</f>
        <v>5.5118110236220486E-2</v>
      </c>
      <c r="AM88" s="216">
        <f t="shared" si="9"/>
        <v>8.4628907078398794E-3</v>
      </c>
      <c r="AN88" s="138">
        <f t="shared" si="10"/>
        <v>1.4450919259101369E-3</v>
      </c>
      <c r="AO88" s="138">
        <f t="shared" si="11"/>
        <v>9.9079826337500169E-3</v>
      </c>
      <c r="AP88" s="311">
        <f t="shared" si="36"/>
        <v>0.22960994762945519</v>
      </c>
      <c r="AQ88" s="11">
        <f t="shared" si="37"/>
        <v>3.9207345679248135E-2</v>
      </c>
      <c r="AR88" s="21">
        <f t="shared" si="38"/>
        <v>0.26881729330870335</v>
      </c>
      <c r="AS88" s="11">
        <f t="shared" si="12"/>
        <v>0.22188223144754785</v>
      </c>
      <c r="AT88" s="21">
        <f t="shared" si="39"/>
        <v>0.22188223144754785</v>
      </c>
      <c r="AU88" s="170">
        <f>Sizing!JC102</f>
        <v>1.9839863322260787E-2</v>
      </c>
      <c r="AV88" s="272">
        <f>Sizing!JD102</f>
        <v>0.14085404971906482</v>
      </c>
      <c r="AW88" s="170">
        <f>Sizing!JC102</f>
        <v>1.9839863322260787E-2</v>
      </c>
      <c r="AX88" s="272">
        <f>Sizing!JD102</f>
        <v>0.14085404971906482</v>
      </c>
      <c r="AY88" s="216">
        <f>Sizing!IT102</f>
        <v>0.5</v>
      </c>
      <c r="AZ88" s="216">
        <f>Sizing!IU102</f>
        <v>1.5748031496062995E-2</v>
      </c>
      <c r="BA88" s="17">
        <f>Sizing!IV102</f>
        <v>1.5748031496062995E-2</v>
      </c>
      <c r="BB88" s="216">
        <f t="shared" si="13"/>
        <v>2.4179687736685367E-3</v>
      </c>
      <c r="BC88" s="138">
        <f t="shared" si="14"/>
        <v>1.4450919259101369E-3</v>
      </c>
      <c r="BD88" s="138">
        <f t="shared" si="15"/>
        <v>3.8630606995786734E-3</v>
      </c>
      <c r="BE88" s="311">
        <f t="shared" si="16"/>
        <v>3.2801421089922171E-2</v>
      </c>
      <c r="BF88" s="11">
        <f t="shared" si="17"/>
        <v>1.9603672839624067E-2</v>
      </c>
      <c r="BG88" s="21">
        <f t="shared" si="18"/>
        <v>5.2405093929546231E-2</v>
      </c>
      <c r="BH88" s="21">
        <f t="shared" si="19"/>
        <v>3.5211573897285832E-3</v>
      </c>
      <c r="BI88" s="21">
        <f t="shared" si="20"/>
        <v>3.5211573897285832E-3</v>
      </c>
      <c r="BJ88" s="561"/>
      <c r="BK88">
        <f t="shared" si="21"/>
        <v>2.168881303</v>
      </c>
      <c r="BL88">
        <f t="shared" si="22"/>
        <v>2.168881303</v>
      </c>
      <c r="BM88">
        <f>C88*'Inputs-Imperial'!$E$12</f>
        <v>1.0844406515</v>
      </c>
      <c r="BN88">
        <f>C88*'Inputs-Imperial'!$E$12</f>
        <v>1.0844406515</v>
      </c>
      <c r="BO88">
        <f>C88*'Inputs-Imperial'!$E$12</f>
        <v>1.0844406515</v>
      </c>
      <c r="BP88">
        <f>C88*'Weight '!$E$15</f>
        <v>2.168881303</v>
      </c>
      <c r="BQ88">
        <f>C88*'Weight '!$E$15</f>
        <v>2.168881303</v>
      </c>
      <c r="BR88">
        <f>C88*'Weight '!$E$15</f>
        <v>2.168881303</v>
      </c>
      <c r="BS88">
        <f t="shared" si="23"/>
        <v>7.7603973274960927</v>
      </c>
      <c r="BT88" s="564">
        <f t="shared" si="24"/>
        <v>3.9343554392016231</v>
      </c>
      <c r="BU88">
        <f t="shared" si="40"/>
        <v>1.9724698104731653</v>
      </c>
    </row>
    <row r="89" spans="1:73" x14ac:dyDescent="0.25">
      <c r="A89" s="186">
        <v>43</v>
      </c>
      <c r="B89" s="187">
        <f>A89/100*'Inputs-Imperial'!$E$5</f>
        <v>10.354987207999999</v>
      </c>
      <c r="C89" s="188">
        <f>'Inputs-Imperial'!$E$10+('Inputs-Imperial'!$E$9-'Inputs-Imperial'!$E$10)*(100-A89)/100</f>
        <v>4.3199640490000002</v>
      </c>
      <c r="D89" s="187">
        <f t="shared" si="25"/>
        <v>0.24081365600000026</v>
      </c>
      <c r="E89" s="188">
        <f t="shared" si="26"/>
        <v>1.0424494042196015</v>
      </c>
      <c r="F89" s="423">
        <f>Sizing!F103</f>
        <v>479.42097211171102</v>
      </c>
      <c r="G89" s="423">
        <f>Sizing!G103</f>
        <v>4794.2097211171113</v>
      </c>
      <c r="H89" s="423">
        <f>Sizing!H103</f>
        <v>29941.417334627349</v>
      </c>
      <c r="I89" s="423">
        <f>Sizing!I103</f>
        <v>-9875.8531495821608</v>
      </c>
      <c r="J89" s="189">
        <f>Sizing!J103</f>
        <v>2994.1417334627354</v>
      </c>
      <c r="K89" s="128">
        <v>43</v>
      </c>
      <c r="L89" s="12">
        <f t="shared" si="5"/>
        <v>124.25984649599999</v>
      </c>
      <c r="M89" s="11">
        <f t="shared" si="5"/>
        <v>51.839568588000006</v>
      </c>
      <c r="N89" s="11">
        <f t="shared" si="5"/>
        <v>2.8897638720000032</v>
      </c>
      <c r="O89" s="152">
        <f t="shared" si="27"/>
        <v>150.11271420762262</v>
      </c>
      <c r="P89" s="8">
        <f t="shared" si="41"/>
        <v>9.3311223458400008</v>
      </c>
      <c r="Q89" s="12">
        <f t="shared" si="28"/>
        <v>27.020288557372073</v>
      </c>
      <c r="R89" s="8">
        <f t="shared" si="42"/>
        <v>4.6655611729200004</v>
      </c>
      <c r="S89" s="12">
        <f t="shared" si="29"/>
        <v>13.510144278686036</v>
      </c>
      <c r="T89" s="17">
        <f>Sizing!CN103</f>
        <v>2.5</v>
      </c>
      <c r="U89" s="17">
        <f>Sizing!CO103</f>
        <v>2.3622047244094495E-2</v>
      </c>
      <c r="V89" s="17">
        <f>Sizing!CP103</f>
        <v>1.5748031496062995E-2</v>
      </c>
      <c r="W89" s="128">
        <f t="shared" si="6"/>
        <v>3.0224609670856709E-3</v>
      </c>
      <c r="X89" s="2">
        <f t="shared" si="7"/>
        <v>7.2254596295506842E-3</v>
      </c>
      <c r="Y89" s="2">
        <f t="shared" si="8"/>
        <v>1.0247920596636356E-2</v>
      </c>
      <c r="Z89" s="216">
        <f t="shared" si="30"/>
        <v>0.46846785304036725</v>
      </c>
      <c r="AA89" s="138">
        <f t="shared" si="31"/>
        <v>1.1199137380917952</v>
      </c>
      <c r="AB89" s="17">
        <f t="shared" si="32"/>
        <v>1.5883815911321626</v>
      </c>
      <c r="AC89" s="311">
        <f t="shared" si="33"/>
        <v>0.46039082109139534</v>
      </c>
      <c r="AD89" s="316">
        <f t="shared" si="34"/>
        <v>1.1006048805384883</v>
      </c>
      <c r="AE89" s="21">
        <f t="shared" si="35"/>
        <v>1.5609957016298839</v>
      </c>
      <c r="AF89" s="170">
        <f>Sizing!DU103</f>
        <v>1.2501892583384084</v>
      </c>
      <c r="AG89" s="170">
        <f>Sizing!DV103</f>
        <v>1.1181186244484118</v>
      </c>
      <c r="AH89" s="170">
        <f>Sizing!DW103</f>
        <v>1.2501892583384084</v>
      </c>
      <c r="AI89" s="272">
        <f>Sizing!DX103</f>
        <v>1.1181186244484118</v>
      </c>
      <c r="AJ89" s="216">
        <f>Sizing!GJ103</f>
        <v>0.5</v>
      </c>
      <c r="AK89" s="216">
        <f>Sizing!GK103</f>
        <v>5.5118110236220486E-2</v>
      </c>
      <c r="AL89" s="17">
        <f>Sizing!GL103</f>
        <v>5.5118110236220486E-2</v>
      </c>
      <c r="AM89" s="216">
        <f t="shared" si="9"/>
        <v>8.4628907078398794E-3</v>
      </c>
      <c r="AN89" s="138">
        <f t="shared" si="10"/>
        <v>1.4450919259101369E-3</v>
      </c>
      <c r="AO89" s="138">
        <f t="shared" si="11"/>
        <v>9.9079826337500169E-3</v>
      </c>
      <c r="AP89" s="311">
        <f t="shared" si="36"/>
        <v>0.22866974895533634</v>
      </c>
      <c r="AQ89" s="11">
        <f t="shared" si="37"/>
        <v>3.9046800830020441E-2</v>
      </c>
      <c r="AR89" s="21">
        <f t="shared" si="38"/>
        <v>0.26771654978535681</v>
      </c>
      <c r="AS89" s="11">
        <f t="shared" si="12"/>
        <v>0.22188223144754785</v>
      </c>
      <c r="AT89" s="21">
        <f t="shared" si="39"/>
        <v>0.22188223144754785</v>
      </c>
      <c r="AU89" s="170">
        <f>Sizing!JC103</f>
        <v>1.9839863322260787E-2</v>
      </c>
      <c r="AV89" s="272">
        <f>Sizing!JD103</f>
        <v>0.14085404971906482</v>
      </c>
      <c r="AW89" s="170">
        <f>Sizing!JC103</f>
        <v>1.9839863322260787E-2</v>
      </c>
      <c r="AX89" s="272">
        <f>Sizing!JD103</f>
        <v>0.14085404971906482</v>
      </c>
      <c r="AY89" s="216">
        <f>Sizing!IT103</f>
        <v>0.5</v>
      </c>
      <c r="AZ89" s="216">
        <f>Sizing!IU103</f>
        <v>1.5748031496062995E-2</v>
      </c>
      <c r="BA89" s="17">
        <f>Sizing!IV103</f>
        <v>1.5748031496062995E-2</v>
      </c>
      <c r="BB89" s="216">
        <f t="shared" si="13"/>
        <v>2.4179687736685367E-3</v>
      </c>
      <c r="BC89" s="138">
        <f t="shared" si="14"/>
        <v>1.4450919259101369E-3</v>
      </c>
      <c r="BD89" s="138">
        <f t="shared" si="15"/>
        <v>3.8630606995786734E-3</v>
      </c>
      <c r="BE89" s="311">
        <f t="shared" si="16"/>
        <v>3.2667106993619473E-2</v>
      </c>
      <c r="BF89" s="11">
        <f t="shared" si="17"/>
        <v>1.952340041501022E-2</v>
      </c>
      <c r="BG89" s="21">
        <f t="shared" si="18"/>
        <v>5.219050740862969E-2</v>
      </c>
      <c r="BH89" s="21">
        <f t="shared" si="19"/>
        <v>3.5211573897285832E-3</v>
      </c>
      <c r="BI89" s="21">
        <f t="shared" si="20"/>
        <v>3.5211573897285832E-3</v>
      </c>
      <c r="BJ89" s="561"/>
      <c r="BK89">
        <f t="shared" si="21"/>
        <v>2.1599820245000001</v>
      </c>
      <c r="BL89">
        <f t="shared" si="22"/>
        <v>2.1599820245000001</v>
      </c>
      <c r="BM89">
        <f>C89*'Inputs-Imperial'!$E$12</f>
        <v>1.07999101225</v>
      </c>
      <c r="BN89">
        <f>C89*'Inputs-Imperial'!$E$12</f>
        <v>1.07999101225</v>
      </c>
      <c r="BO89">
        <f>C89*'Inputs-Imperial'!$E$12</f>
        <v>1.07999101225</v>
      </c>
      <c r="BP89">
        <f>C89*'Weight '!$E$15</f>
        <v>2.1599820245000001</v>
      </c>
      <c r="BQ89">
        <f>C89*'Weight '!$E$15</f>
        <v>2.1599820245000001</v>
      </c>
      <c r="BR89">
        <f>C89*'Weight '!$E$15</f>
        <v>2.1599820245000001</v>
      </c>
      <c r="BS89">
        <f t="shared" si="23"/>
        <v>7.6989332710025851</v>
      </c>
      <c r="BT89" s="564">
        <f t="shared" si="24"/>
        <v>3.9200911276305854</v>
      </c>
      <c r="BU89">
        <f t="shared" si="40"/>
        <v>1.9639679334842501</v>
      </c>
    </row>
    <row r="90" spans="1:73" x14ac:dyDescent="0.25">
      <c r="A90" s="186">
        <v>44</v>
      </c>
      <c r="B90" s="187">
        <f>A90/100*'Inputs-Imperial'!$E$5</f>
        <v>10.595800863999999</v>
      </c>
      <c r="C90" s="188">
        <f>'Inputs-Imperial'!$E$10+('Inputs-Imperial'!$E$9-'Inputs-Imperial'!$E$10)*(100-A90)/100</f>
        <v>4.3021654920000003</v>
      </c>
      <c r="D90" s="187">
        <f t="shared" si="25"/>
        <v>0.24081365600000026</v>
      </c>
      <c r="E90" s="188">
        <f t="shared" si="26"/>
        <v>1.0381632686369071</v>
      </c>
      <c r="F90" s="423">
        <f>Sizing!F104</f>
        <v>468.86656508098815</v>
      </c>
      <c r="G90" s="423">
        <f>Sizing!G104</f>
        <v>4688.6656508098822</v>
      </c>
      <c r="H90" s="423">
        <f>Sizing!H104</f>
        <v>28786.906164054395</v>
      </c>
      <c r="I90" s="423">
        <f>Sizing!I104</f>
        <v>-9611.7577084614622</v>
      </c>
      <c r="J90" s="189">
        <f>Sizing!J104</f>
        <v>2878.6906164054399</v>
      </c>
      <c r="K90" s="128">
        <v>44</v>
      </c>
      <c r="L90" s="12">
        <f t="shared" si="5"/>
        <v>127.149610368</v>
      </c>
      <c r="M90" s="11">
        <f t="shared" si="5"/>
        <v>51.625985904000004</v>
      </c>
      <c r="N90" s="11">
        <f t="shared" si="5"/>
        <v>2.8897638720000032</v>
      </c>
      <c r="O90" s="152">
        <f t="shared" si="27"/>
        <v>149.4955106837146</v>
      </c>
      <c r="P90" s="8">
        <f t="shared" si="41"/>
        <v>9.2926774627200004</v>
      </c>
      <c r="Q90" s="12">
        <f t="shared" si="28"/>
        <v>26.909191923068633</v>
      </c>
      <c r="R90" s="8">
        <f t="shared" si="42"/>
        <v>4.6463387313600002</v>
      </c>
      <c r="S90" s="12">
        <f t="shared" si="29"/>
        <v>13.454595961534316</v>
      </c>
      <c r="T90" s="17">
        <f>Sizing!CN104</f>
        <v>2.5</v>
      </c>
      <c r="U90" s="17">
        <f>Sizing!CO104</f>
        <v>2.3622047244094495E-2</v>
      </c>
      <c r="V90" s="17">
        <f>Sizing!CP104</f>
        <v>1.5748031496062995E-2</v>
      </c>
      <c r="W90" s="128">
        <f t="shared" si="6"/>
        <v>3.0224609670856709E-3</v>
      </c>
      <c r="X90" s="2">
        <f t="shared" si="7"/>
        <v>7.2254596295506842E-3</v>
      </c>
      <c r="Y90" s="2">
        <f t="shared" si="8"/>
        <v>1.0247920596636356E-2</v>
      </c>
      <c r="Z90" s="216">
        <f t="shared" si="30"/>
        <v>0.46654170034064169</v>
      </c>
      <c r="AA90" s="138">
        <f t="shared" si="31"/>
        <v>1.1153091001084514</v>
      </c>
      <c r="AB90" s="17">
        <f t="shared" si="32"/>
        <v>1.5818508004490932</v>
      </c>
      <c r="AC90" s="311">
        <f t="shared" si="33"/>
        <v>0.45849787792097541</v>
      </c>
      <c r="AD90" s="316">
        <f t="shared" si="34"/>
        <v>1.096079632865202</v>
      </c>
      <c r="AE90" s="21">
        <f t="shared" si="35"/>
        <v>1.5545775107861775</v>
      </c>
      <c r="AF90" s="170">
        <f>Sizing!DU104</f>
        <v>1.2501892583384084</v>
      </c>
      <c r="AG90" s="170">
        <f>Sizing!DV104</f>
        <v>1.1181186244484118</v>
      </c>
      <c r="AH90" s="170">
        <f>Sizing!DW104</f>
        <v>1.2501892583384084</v>
      </c>
      <c r="AI90" s="272">
        <f>Sizing!DX104</f>
        <v>1.1181186244484118</v>
      </c>
      <c r="AJ90" s="216">
        <f>Sizing!GJ104</f>
        <v>0.5</v>
      </c>
      <c r="AK90" s="216">
        <f>Sizing!GK104</f>
        <v>5.5118110236220486E-2</v>
      </c>
      <c r="AL90" s="17">
        <f>Sizing!GL104</f>
        <v>5.5118110236220486E-2</v>
      </c>
      <c r="AM90" s="216">
        <f t="shared" si="9"/>
        <v>8.4628907078398794E-3</v>
      </c>
      <c r="AN90" s="138">
        <f t="shared" si="10"/>
        <v>1.4450919259101369E-3</v>
      </c>
      <c r="AO90" s="138">
        <f t="shared" si="11"/>
        <v>9.9079826337500169E-3</v>
      </c>
      <c r="AP90" s="311">
        <f t="shared" si="36"/>
        <v>0.22772955028121747</v>
      </c>
      <c r="AQ90" s="11">
        <f t="shared" si="37"/>
        <v>3.8886255980792754E-2</v>
      </c>
      <c r="AR90" s="21">
        <f t="shared" si="38"/>
        <v>0.26661580626201026</v>
      </c>
      <c r="AS90" s="11">
        <f t="shared" si="12"/>
        <v>0.22188223144754785</v>
      </c>
      <c r="AT90" s="21">
        <f t="shared" si="39"/>
        <v>0.22188223144754785</v>
      </c>
      <c r="AU90" s="170">
        <f>Sizing!JC104</f>
        <v>1.9839863322260787E-2</v>
      </c>
      <c r="AV90" s="272">
        <f>Sizing!JD104</f>
        <v>0.14085404971906482</v>
      </c>
      <c r="AW90" s="170">
        <f>Sizing!JC104</f>
        <v>1.9839863322260787E-2</v>
      </c>
      <c r="AX90" s="272">
        <f>Sizing!JD104</f>
        <v>0.14085404971906482</v>
      </c>
      <c r="AY90" s="216">
        <f>Sizing!IT104</f>
        <v>0.5</v>
      </c>
      <c r="AZ90" s="216">
        <f>Sizing!IU104</f>
        <v>1.5748031496062995E-2</v>
      </c>
      <c r="BA90" s="17">
        <f>Sizing!IV104</f>
        <v>1.5748031496062995E-2</v>
      </c>
      <c r="BB90" s="216">
        <f t="shared" si="13"/>
        <v>2.4179687736685367E-3</v>
      </c>
      <c r="BC90" s="138">
        <f t="shared" si="14"/>
        <v>1.4450919259101369E-3</v>
      </c>
      <c r="BD90" s="138">
        <f t="shared" si="15"/>
        <v>3.8630606995786734E-3</v>
      </c>
      <c r="BE90" s="311">
        <f t="shared" si="16"/>
        <v>3.2532792897316781E-2</v>
      </c>
      <c r="BF90" s="11">
        <f t="shared" si="17"/>
        <v>1.9443127990396377E-2</v>
      </c>
      <c r="BG90" s="21">
        <f t="shared" si="18"/>
        <v>5.1975920887713148E-2</v>
      </c>
      <c r="BH90" s="21">
        <f t="shared" si="19"/>
        <v>3.5211573897285832E-3</v>
      </c>
      <c r="BI90" s="21">
        <f t="shared" si="20"/>
        <v>3.5211573897285832E-3</v>
      </c>
      <c r="BJ90" s="561"/>
      <c r="BK90">
        <f t="shared" si="21"/>
        <v>2.1510827460000002</v>
      </c>
      <c r="BL90">
        <f t="shared" si="22"/>
        <v>2.1510827460000002</v>
      </c>
      <c r="BM90">
        <f>C90*'Inputs-Imperial'!$E$12</f>
        <v>1.0755413730000001</v>
      </c>
      <c r="BN90">
        <f>C90*'Inputs-Imperial'!$E$12</f>
        <v>1.0755413730000001</v>
      </c>
      <c r="BO90">
        <f>C90*'Inputs-Imperial'!$E$12</f>
        <v>1.0755413730000001</v>
      </c>
      <c r="BP90">
        <f>C90*'Weight '!$E$15</f>
        <v>2.1510827460000002</v>
      </c>
      <c r="BQ90">
        <f>C90*'Weight '!$E$15</f>
        <v>2.1510827460000002</v>
      </c>
      <c r="BR90">
        <f>C90*'Weight '!$E$15</f>
        <v>2.1510827460000002</v>
      </c>
      <c r="BS90">
        <f t="shared" si="23"/>
        <v>7.6377133028484634</v>
      </c>
      <c r="BT90" s="564">
        <f t="shared" si="24"/>
        <v>3.9058268160595468</v>
      </c>
      <c r="BU90">
        <f t="shared" si="40"/>
        <v>1.9554664511607525</v>
      </c>
    </row>
    <row r="91" spans="1:73" x14ac:dyDescent="0.25">
      <c r="A91" s="186">
        <v>45</v>
      </c>
      <c r="B91" s="187">
        <f>A91/100*'Inputs-Imperial'!$E$5</f>
        <v>10.836614519999999</v>
      </c>
      <c r="C91" s="188">
        <f>'Inputs-Imperial'!$E$10+('Inputs-Imperial'!$E$9-'Inputs-Imperial'!$E$10)*(100-A91)/100</f>
        <v>4.2843669350000004</v>
      </c>
      <c r="D91" s="187">
        <f t="shared" si="25"/>
        <v>0.24081365600000026</v>
      </c>
      <c r="E91" s="188">
        <f t="shared" si="26"/>
        <v>1.0338771330542129</v>
      </c>
      <c r="F91" s="423">
        <f>Sizing!F105</f>
        <v>458.36304361738428</v>
      </c>
      <c r="G91" s="423">
        <f>Sizing!G105</f>
        <v>4583.630436173843</v>
      </c>
      <c r="H91" s="423">
        <f>Sizing!H105</f>
        <v>27657.811446921245</v>
      </c>
      <c r="I91" s="423">
        <f>Sizing!I105</f>
        <v>-9350.2163659289472</v>
      </c>
      <c r="J91" s="189">
        <f>Sizing!J105</f>
        <v>2765.7811446921251</v>
      </c>
      <c r="K91" s="128">
        <v>45</v>
      </c>
      <c r="L91" s="12">
        <f t="shared" si="5"/>
        <v>130.03937424</v>
      </c>
      <c r="M91" s="11">
        <f t="shared" si="5"/>
        <v>51.412403220000002</v>
      </c>
      <c r="N91" s="11">
        <f t="shared" si="5"/>
        <v>2.8897638720000032</v>
      </c>
      <c r="O91" s="152">
        <f t="shared" si="27"/>
        <v>148.87830715980667</v>
      </c>
      <c r="P91" s="8">
        <f t="shared" si="41"/>
        <v>9.2542325796</v>
      </c>
      <c r="Q91" s="12">
        <f t="shared" si="28"/>
        <v>26.798095288765193</v>
      </c>
      <c r="R91" s="8">
        <f t="shared" si="42"/>
        <v>4.6271162898</v>
      </c>
      <c r="S91" s="12">
        <f t="shared" si="29"/>
        <v>13.399047644382597</v>
      </c>
      <c r="T91" s="17">
        <f>Sizing!CN105</f>
        <v>2.5</v>
      </c>
      <c r="U91" s="17">
        <f>Sizing!CO105</f>
        <v>2.3622047244094495E-2</v>
      </c>
      <c r="V91" s="17">
        <f>Sizing!CP105</f>
        <v>1.5748031496062995E-2</v>
      </c>
      <c r="W91" s="128">
        <f t="shared" si="6"/>
        <v>3.0224609670856709E-3</v>
      </c>
      <c r="X91" s="2">
        <f t="shared" si="7"/>
        <v>7.2254596295506842E-3</v>
      </c>
      <c r="Y91" s="2">
        <f t="shared" si="8"/>
        <v>1.0247920596636356E-2</v>
      </c>
      <c r="Z91" s="216">
        <f t="shared" si="30"/>
        <v>0.46461554764091645</v>
      </c>
      <c r="AA91" s="138">
        <f t="shared" si="31"/>
        <v>1.1107044621251081</v>
      </c>
      <c r="AB91" s="17">
        <f t="shared" si="32"/>
        <v>1.5753200097660247</v>
      </c>
      <c r="AC91" s="311">
        <f t="shared" si="33"/>
        <v>0.4566049347505558</v>
      </c>
      <c r="AD91" s="316">
        <f t="shared" si="34"/>
        <v>1.0915543851919167</v>
      </c>
      <c r="AE91" s="21">
        <f t="shared" si="35"/>
        <v>1.5481593199424726</v>
      </c>
      <c r="AF91" s="170">
        <f>Sizing!DU105</f>
        <v>1.2501892583384084</v>
      </c>
      <c r="AG91" s="170">
        <f>Sizing!DV105</f>
        <v>1.1181186244484118</v>
      </c>
      <c r="AH91" s="170">
        <f>Sizing!DW105</f>
        <v>1.2501892583384084</v>
      </c>
      <c r="AI91" s="272">
        <f>Sizing!DX105</f>
        <v>1.1181186244484118</v>
      </c>
      <c r="AJ91" s="216">
        <f>Sizing!GJ105</f>
        <v>0.5</v>
      </c>
      <c r="AK91" s="216">
        <f>Sizing!GK105</f>
        <v>5.5118110236220486E-2</v>
      </c>
      <c r="AL91" s="17">
        <f>Sizing!GL105</f>
        <v>5.5118110236220486E-2</v>
      </c>
      <c r="AM91" s="216">
        <f t="shared" si="9"/>
        <v>8.4628907078398794E-3</v>
      </c>
      <c r="AN91" s="138">
        <f t="shared" si="10"/>
        <v>1.4450919259101369E-3</v>
      </c>
      <c r="AO91" s="138">
        <f t="shared" si="11"/>
        <v>9.9079826337500169E-3</v>
      </c>
      <c r="AP91" s="311">
        <f t="shared" si="36"/>
        <v>0.22678935160709859</v>
      </c>
      <c r="AQ91" s="11">
        <f t="shared" si="37"/>
        <v>3.872571113156506E-2</v>
      </c>
      <c r="AR91" s="21">
        <f t="shared" si="38"/>
        <v>0.26551506273866365</v>
      </c>
      <c r="AS91" s="11">
        <f t="shared" si="12"/>
        <v>0.22188223144754785</v>
      </c>
      <c r="AT91" s="21">
        <f t="shared" si="39"/>
        <v>0.22188223144754785</v>
      </c>
      <c r="AU91" s="170">
        <f>Sizing!JC105</f>
        <v>1.9839863322260787E-2</v>
      </c>
      <c r="AV91" s="272">
        <f>Sizing!JD105</f>
        <v>0.14085404971906482</v>
      </c>
      <c r="AW91" s="170">
        <f>Sizing!JC105</f>
        <v>1.9839863322260787E-2</v>
      </c>
      <c r="AX91" s="272">
        <f>Sizing!JD105</f>
        <v>0.14085404971906482</v>
      </c>
      <c r="AY91" s="216">
        <f>Sizing!IT105</f>
        <v>0.5</v>
      </c>
      <c r="AZ91" s="216">
        <f>Sizing!IU105</f>
        <v>1.5748031496062995E-2</v>
      </c>
      <c r="BA91" s="17">
        <f>Sizing!IV105</f>
        <v>1.5748031496062995E-2</v>
      </c>
      <c r="BB91" s="216">
        <f t="shared" si="13"/>
        <v>2.4179687736685367E-3</v>
      </c>
      <c r="BC91" s="138">
        <f t="shared" si="14"/>
        <v>1.4450919259101369E-3</v>
      </c>
      <c r="BD91" s="138">
        <f t="shared" si="15"/>
        <v>3.8630606995786734E-3</v>
      </c>
      <c r="BE91" s="311">
        <f t="shared" si="16"/>
        <v>3.2398478801014083E-2</v>
      </c>
      <c r="BF91" s="11">
        <f t="shared" si="17"/>
        <v>1.936285556578253E-2</v>
      </c>
      <c r="BG91" s="21">
        <f t="shared" si="18"/>
        <v>5.1761334366796606E-2</v>
      </c>
      <c r="BH91" s="21">
        <f t="shared" si="19"/>
        <v>3.5211573897285832E-3</v>
      </c>
      <c r="BI91" s="21">
        <f t="shared" si="20"/>
        <v>3.5211573897285832E-3</v>
      </c>
      <c r="BJ91" s="561"/>
      <c r="BK91">
        <f t="shared" si="21"/>
        <v>2.1421834675000002</v>
      </c>
      <c r="BL91">
        <f t="shared" si="22"/>
        <v>2.1421834675000002</v>
      </c>
      <c r="BM91">
        <f>C91*'Inputs-Imperial'!$E$12</f>
        <v>1.0710917337500001</v>
      </c>
      <c r="BN91">
        <f>C91*'Inputs-Imperial'!$E$12</f>
        <v>1.0710917337500001</v>
      </c>
      <c r="BO91">
        <f>C91*'Inputs-Imperial'!$E$12</f>
        <v>1.0710917337500001</v>
      </c>
      <c r="BP91">
        <f>C91*'Weight '!$E$15</f>
        <v>2.1421834675000002</v>
      </c>
      <c r="BQ91">
        <f>C91*'Weight '!$E$15</f>
        <v>2.1421834675000002</v>
      </c>
      <c r="BR91">
        <f>C91*'Weight '!$E$15</f>
        <v>2.1421834675000002</v>
      </c>
      <c r="BS91">
        <f t="shared" si="23"/>
        <v>7.576737423033741</v>
      </c>
      <c r="BT91" s="564">
        <f t="shared" si="24"/>
        <v>3.89156250448851</v>
      </c>
      <c r="BU91">
        <f t="shared" si="40"/>
        <v>1.9469653678425485</v>
      </c>
    </row>
    <row r="92" spans="1:73" x14ac:dyDescent="0.25">
      <c r="A92" s="186">
        <v>46</v>
      </c>
      <c r="B92" s="187">
        <f>A92/100*'Inputs-Imperial'!$E$5</f>
        <v>11.077428176</v>
      </c>
      <c r="C92" s="188">
        <f>'Inputs-Imperial'!$E$10+('Inputs-Imperial'!$E$9-'Inputs-Imperial'!$E$10)*(100-A92)/100</f>
        <v>4.2665683780000005</v>
      </c>
      <c r="D92" s="187">
        <f t="shared" si="25"/>
        <v>0.24081365600000026</v>
      </c>
      <c r="E92" s="188">
        <f t="shared" si="26"/>
        <v>1.0295909974715183</v>
      </c>
      <c r="F92" s="423">
        <f>Sizing!F106</f>
        <v>447.91126854676116</v>
      </c>
      <c r="G92" s="423">
        <f>Sizing!G106</f>
        <v>4479.1126854676122</v>
      </c>
      <c r="H92" s="423">
        <f>Sizing!H106</f>
        <v>26554.010643833346</v>
      </c>
      <c r="I92" s="423">
        <f>Sizing!I106</f>
        <v>-9091.2596011431597</v>
      </c>
      <c r="J92" s="189">
        <f>Sizing!J106</f>
        <v>2655.4010643833353</v>
      </c>
      <c r="K92" s="128">
        <v>46</v>
      </c>
      <c r="L92" s="12">
        <f t="shared" si="5"/>
        <v>132.929138112</v>
      </c>
      <c r="M92" s="11">
        <f t="shared" si="5"/>
        <v>51.198820536000007</v>
      </c>
      <c r="N92" s="11">
        <f t="shared" si="5"/>
        <v>2.8897638720000032</v>
      </c>
      <c r="O92" s="152">
        <f t="shared" si="27"/>
        <v>148.26110363589862</v>
      </c>
      <c r="P92" s="8">
        <f t="shared" si="41"/>
        <v>9.2157876964800014</v>
      </c>
      <c r="Q92" s="12">
        <f t="shared" si="28"/>
        <v>26.686998654461753</v>
      </c>
      <c r="R92" s="8">
        <f t="shared" si="42"/>
        <v>4.6078938482400007</v>
      </c>
      <c r="S92" s="12">
        <f t="shared" si="29"/>
        <v>13.343499327230877</v>
      </c>
      <c r="T92" s="17">
        <f>Sizing!CN106</f>
        <v>2.5</v>
      </c>
      <c r="U92" s="17">
        <f>Sizing!CO106</f>
        <v>2.3622047244094495E-2</v>
      </c>
      <c r="V92" s="17">
        <f>Sizing!CP106</f>
        <v>1.5748031496062995E-2</v>
      </c>
      <c r="W92" s="128">
        <f t="shared" si="6"/>
        <v>3.0224609670856709E-3</v>
      </c>
      <c r="X92" s="2">
        <f t="shared" si="7"/>
        <v>7.2254596295506842E-3</v>
      </c>
      <c r="Y92" s="2">
        <f t="shared" si="8"/>
        <v>1.0247920596636356E-2</v>
      </c>
      <c r="Z92" s="216">
        <f t="shared" si="30"/>
        <v>0.46268939494119082</v>
      </c>
      <c r="AA92" s="138">
        <f t="shared" si="31"/>
        <v>1.1060998241417641</v>
      </c>
      <c r="AB92" s="17">
        <f t="shared" si="32"/>
        <v>1.5687892190829549</v>
      </c>
      <c r="AC92" s="311">
        <f t="shared" si="33"/>
        <v>0.45471199158013575</v>
      </c>
      <c r="AD92" s="316">
        <f t="shared" si="34"/>
        <v>1.0870291375186301</v>
      </c>
      <c r="AE92" s="21">
        <f t="shared" si="35"/>
        <v>1.5417411290987659</v>
      </c>
      <c r="AF92" s="170">
        <f>Sizing!DU106</f>
        <v>1.2501892583384084</v>
      </c>
      <c r="AG92" s="170">
        <f>Sizing!DV106</f>
        <v>1.1181186244484118</v>
      </c>
      <c r="AH92" s="170">
        <f>Sizing!DW106</f>
        <v>1.2501892583384084</v>
      </c>
      <c r="AI92" s="272">
        <f>Sizing!DX106</f>
        <v>1.1181186244484118</v>
      </c>
      <c r="AJ92" s="216">
        <f>Sizing!GJ106</f>
        <v>0.5</v>
      </c>
      <c r="AK92" s="216">
        <f>Sizing!GK106</f>
        <v>5.5118110236220486E-2</v>
      </c>
      <c r="AL92" s="17">
        <f>Sizing!GL106</f>
        <v>5.5118110236220486E-2</v>
      </c>
      <c r="AM92" s="216">
        <f t="shared" si="9"/>
        <v>8.4628907078398794E-3</v>
      </c>
      <c r="AN92" s="138">
        <f t="shared" si="10"/>
        <v>1.4450919259101369E-3</v>
      </c>
      <c r="AO92" s="138">
        <f t="shared" si="11"/>
        <v>9.9079826337500169E-3</v>
      </c>
      <c r="AP92" s="311">
        <f t="shared" si="36"/>
        <v>0.22584915293297975</v>
      </c>
      <c r="AQ92" s="11">
        <f t="shared" si="37"/>
        <v>3.8565166282337367E-2</v>
      </c>
      <c r="AR92" s="21">
        <f t="shared" si="38"/>
        <v>0.26441431921531711</v>
      </c>
      <c r="AS92" s="11">
        <f t="shared" si="12"/>
        <v>0.22188223144754785</v>
      </c>
      <c r="AT92" s="21">
        <f t="shared" si="39"/>
        <v>0.22188223144754785</v>
      </c>
      <c r="AU92" s="170">
        <f>Sizing!JC106</f>
        <v>1.9839863322260787E-2</v>
      </c>
      <c r="AV92" s="272">
        <f>Sizing!JD106</f>
        <v>0.14085404971906482</v>
      </c>
      <c r="AW92" s="170">
        <f>Sizing!JC106</f>
        <v>1.9839863322260787E-2</v>
      </c>
      <c r="AX92" s="272">
        <f>Sizing!JD106</f>
        <v>0.14085404971906482</v>
      </c>
      <c r="AY92" s="216">
        <f>Sizing!IT106</f>
        <v>0.5</v>
      </c>
      <c r="AZ92" s="216">
        <f>Sizing!IU106</f>
        <v>1.5748031496062995E-2</v>
      </c>
      <c r="BA92" s="17">
        <f>Sizing!IV106</f>
        <v>1.5748031496062995E-2</v>
      </c>
      <c r="BB92" s="216">
        <f t="shared" si="13"/>
        <v>2.4179687736685367E-3</v>
      </c>
      <c r="BC92" s="138">
        <f t="shared" si="14"/>
        <v>1.4450919259101369E-3</v>
      </c>
      <c r="BD92" s="138">
        <f t="shared" si="15"/>
        <v>3.8630606995786734E-3</v>
      </c>
      <c r="BE92" s="311">
        <f t="shared" si="16"/>
        <v>3.2264164704711384E-2</v>
      </c>
      <c r="BF92" s="11">
        <f t="shared" si="17"/>
        <v>1.9282583141168683E-2</v>
      </c>
      <c r="BG92" s="21">
        <f t="shared" si="18"/>
        <v>5.1546747845880071E-2</v>
      </c>
      <c r="BH92" s="21">
        <f t="shared" si="19"/>
        <v>3.5211573897285832E-3</v>
      </c>
      <c r="BI92" s="21">
        <f t="shared" si="20"/>
        <v>3.5211573897285832E-3</v>
      </c>
      <c r="BJ92" s="561"/>
      <c r="BK92">
        <f t="shared" si="21"/>
        <v>2.1332841890000003</v>
      </c>
      <c r="BL92">
        <f t="shared" si="22"/>
        <v>2.1332841890000003</v>
      </c>
      <c r="BM92">
        <f>C92*'Inputs-Imperial'!$E$12</f>
        <v>1.0666420945000001</v>
      </c>
      <c r="BN92">
        <f>C92*'Inputs-Imperial'!$E$12</f>
        <v>1.0666420945000001</v>
      </c>
      <c r="BO92">
        <f>C92*'Inputs-Imperial'!$E$12</f>
        <v>1.0666420945000001</v>
      </c>
      <c r="BP92">
        <f>C92*'Weight '!$E$15</f>
        <v>2.1332841890000003</v>
      </c>
      <c r="BQ92">
        <f>C92*'Weight '!$E$15</f>
        <v>2.1332841890000003</v>
      </c>
      <c r="BR92">
        <f>C92*'Weight '!$E$15</f>
        <v>2.1332841890000003</v>
      </c>
      <c r="BS92">
        <f t="shared" si="23"/>
        <v>7.5160056315584027</v>
      </c>
      <c r="BT92" s="564">
        <f t="shared" si="24"/>
        <v>3.8772981929174701</v>
      </c>
      <c r="BU92">
        <f t="shared" si="40"/>
        <v>1.9384646879333751</v>
      </c>
    </row>
    <row r="93" spans="1:73" x14ac:dyDescent="0.25">
      <c r="A93" s="186">
        <v>47</v>
      </c>
      <c r="B93" s="187">
        <f>A93/100*'Inputs-Imperial'!$E$5</f>
        <v>11.318241831999998</v>
      </c>
      <c r="C93" s="188">
        <f>'Inputs-Imperial'!$E$10+('Inputs-Imperial'!$E$9-'Inputs-Imperial'!$E$10)*(100-A93)/100</f>
        <v>4.2487698210000007</v>
      </c>
      <c r="D93" s="187">
        <f t="shared" si="25"/>
        <v>0.24081365599999849</v>
      </c>
      <c r="E93" s="188">
        <f t="shared" si="26"/>
        <v>1.0253048618888165</v>
      </c>
      <c r="F93" s="423">
        <f>Sizing!F107</f>
        <v>437.51211539822884</v>
      </c>
      <c r="G93" s="423">
        <f>Sizing!G107</f>
        <v>4375.1211539822889</v>
      </c>
      <c r="H93" s="423">
        <f>Sizing!H107</f>
        <v>25475.379142409918</v>
      </c>
      <c r="I93" s="423">
        <f>Sizing!I107</f>
        <v>-8834.9179877696697</v>
      </c>
      <c r="J93" s="189">
        <f>Sizing!J107</f>
        <v>2547.5379142409924</v>
      </c>
      <c r="K93" s="128">
        <v>47</v>
      </c>
      <c r="L93" s="12">
        <f t="shared" si="5"/>
        <v>135.81890198399998</v>
      </c>
      <c r="M93" s="11">
        <f t="shared" si="5"/>
        <v>50.985237852000012</v>
      </c>
      <c r="N93" s="11">
        <f t="shared" si="5"/>
        <v>2.8897638719999819</v>
      </c>
      <c r="O93" s="152">
        <f t="shared" si="27"/>
        <v>147.64390011198958</v>
      </c>
      <c r="P93" s="8">
        <f t="shared" si="41"/>
        <v>9.177342813360001</v>
      </c>
      <c r="Q93" s="12">
        <f t="shared" si="28"/>
        <v>26.575902020158122</v>
      </c>
      <c r="R93" s="8">
        <f t="shared" si="42"/>
        <v>4.5886714066800005</v>
      </c>
      <c r="S93" s="12">
        <f t="shared" si="29"/>
        <v>13.287951010079061</v>
      </c>
      <c r="T93" s="17">
        <f>Sizing!CN107</f>
        <v>2.5</v>
      </c>
      <c r="U93" s="17">
        <f>Sizing!CO107</f>
        <v>2.3622047244094495E-2</v>
      </c>
      <c r="V93" s="17">
        <f>Sizing!CP107</f>
        <v>1.5748031496062995E-2</v>
      </c>
      <c r="W93" s="128">
        <f t="shared" si="6"/>
        <v>3.0224609670856709E-3</v>
      </c>
      <c r="X93" s="2">
        <f t="shared" si="7"/>
        <v>7.2254596295506842E-3</v>
      </c>
      <c r="Y93" s="2">
        <f t="shared" si="8"/>
        <v>1.0247920596636356E-2</v>
      </c>
      <c r="Z93" s="216">
        <f t="shared" si="30"/>
        <v>0.46076324224146209</v>
      </c>
      <c r="AA93" s="138">
        <f t="shared" si="31"/>
        <v>1.1014951861584126</v>
      </c>
      <c r="AB93" s="17">
        <f t="shared" si="32"/>
        <v>1.5622584283998746</v>
      </c>
      <c r="AC93" s="311">
        <f t="shared" si="33"/>
        <v>0.45281904840971271</v>
      </c>
      <c r="AD93" s="316">
        <f t="shared" si="34"/>
        <v>1.0825038898453365</v>
      </c>
      <c r="AE93" s="21">
        <f t="shared" si="35"/>
        <v>1.5353229382550493</v>
      </c>
      <c r="AF93" s="170">
        <f>Sizing!DU107</f>
        <v>1.2501892583384084</v>
      </c>
      <c r="AG93" s="170">
        <f>Sizing!DV107</f>
        <v>1.1181186244484118</v>
      </c>
      <c r="AH93" s="170">
        <f>Sizing!DW107</f>
        <v>1.2501892583384084</v>
      </c>
      <c r="AI93" s="272">
        <f>Sizing!DX107</f>
        <v>1.1181186244484118</v>
      </c>
      <c r="AJ93" s="216">
        <f>Sizing!GJ107</f>
        <v>0.5</v>
      </c>
      <c r="AK93" s="216">
        <f>Sizing!GK107</f>
        <v>5.5118110236220486E-2</v>
      </c>
      <c r="AL93" s="17">
        <f>Sizing!GL107</f>
        <v>5.5118110236220486E-2</v>
      </c>
      <c r="AM93" s="216">
        <f t="shared" si="9"/>
        <v>8.4628907078398794E-3</v>
      </c>
      <c r="AN93" s="138">
        <f t="shared" si="10"/>
        <v>1.4450919259101369E-3</v>
      </c>
      <c r="AO93" s="138">
        <f t="shared" si="11"/>
        <v>9.9079826337500169E-3</v>
      </c>
      <c r="AP93" s="311">
        <f t="shared" si="36"/>
        <v>0.22490895425885923</v>
      </c>
      <c r="AQ93" s="11">
        <f t="shared" si="37"/>
        <v>3.8404621433109395E-2</v>
      </c>
      <c r="AR93" s="21">
        <f t="shared" si="38"/>
        <v>0.26331357569196867</v>
      </c>
      <c r="AS93" s="11">
        <f t="shared" si="12"/>
        <v>0.22188223144754621</v>
      </c>
      <c r="AT93" s="21">
        <f t="shared" si="39"/>
        <v>0.22188223144754621</v>
      </c>
      <c r="AU93" s="170">
        <f>Sizing!JC107</f>
        <v>1.9839863322260787E-2</v>
      </c>
      <c r="AV93" s="272">
        <f>Sizing!JD107</f>
        <v>0.14085404971906482</v>
      </c>
      <c r="AW93" s="170">
        <f>Sizing!JC107</f>
        <v>1.9839863322260787E-2</v>
      </c>
      <c r="AX93" s="272">
        <f>Sizing!JD107</f>
        <v>0.14085404971906482</v>
      </c>
      <c r="AY93" s="216">
        <f>Sizing!IT107</f>
        <v>0.5</v>
      </c>
      <c r="AZ93" s="216">
        <f>Sizing!IU107</f>
        <v>1.5748031496062995E-2</v>
      </c>
      <c r="BA93" s="17">
        <f>Sizing!IV107</f>
        <v>1.5748031496062995E-2</v>
      </c>
      <c r="BB93" s="216">
        <f t="shared" si="13"/>
        <v>2.4179687736685367E-3</v>
      </c>
      <c r="BC93" s="138">
        <f t="shared" si="14"/>
        <v>1.4450919259101369E-3</v>
      </c>
      <c r="BD93" s="138">
        <f t="shared" si="15"/>
        <v>3.8630606995786734E-3</v>
      </c>
      <c r="BE93" s="311">
        <f t="shared" si="16"/>
        <v>3.2129850608408457E-2</v>
      </c>
      <c r="BF93" s="11">
        <f t="shared" si="17"/>
        <v>1.9202310716554698E-2</v>
      </c>
      <c r="BG93" s="21">
        <f t="shared" si="18"/>
        <v>5.1332161324963155E-2</v>
      </c>
      <c r="BH93" s="21">
        <f t="shared" si="19"/>
        <v>3.5211573897285572E-3</v>
      </c>
      <c r="BI93" s="21">
        <f t="shared" si="20"/>
        <v>3.5211573897285572E-3</v>
      </c>
      <c r="BJ93" s="561"/>
      <c r="BK93">
        <f t="shared" si="21"/>
        <v>2.1243849105000003</v>
      </c>
      <c r="BL93">
        <f t="shared" si="22"/>
        <v>2.1243849105000003</v>
      </c>
      <c r="BM93">
        <f>C93*'Inputs-Imperial'!$E$12</f>
        <v>1.0621924552500002</v>
      </c>
      <c r="BN93">
        <f>C93*'Inputs-Imperial'!$E$12</f>
        <v>1.0621924552500002</v>
      </c>
      <c r="BO93">
        <f>C93*'Inputs-Imperial'!$E$12</f>
        <v>1.0621924552500002</v>
      </c>
      <c r="BP93">
        <f>C93*'Weight '!$E$15</f>
        <v>2.1243849105000003</v>
      </c>
      <c r="BQ93">
        <f>C93*'Weight '!$E$15</f>
        <v>2.1243849105000003</v>
      </c>
      <c r="BR93">
        <f>C93*'Weight '!$E$15</f>
        <v>2.1243849105000003</v>
      </c>
      <c r="BS93">
        <f t="shared" si="23"/>
        <v>7.4555179284224078</v>
      </c>
      <c r="BT93" s="564">
        <f t="shared" si="24"/>
        <v>3.8630338813464058</v>
      </c>
      <c r="BU93">
        <f t="shared" si="40"/>
        <v>1.9299644159020144</v>
      </c>
    </row>
    <row r="94" spans="1:73" x14ac:dyDescent="0.25">
      <c r="A94" s="186">
        <v>48</v>
      </c>
      <c r="B94" s="187">
        <f>A94/100*'Inputs-Imperial'!$E$5</f>
        <v>11.559055487999998</v>
      </c>
      <c r="C94" s="188">
        <f>'Inputs-Imperial'!$E$10+('Inputs-Imperial'!$E$9-'Inputs-Imperial'!$E$10)*(100-A94)/100</f>
        <v>4.2309712640000008</v>
      </c>
      <c r="D94" s="187">
        <f t="shared" si="25"/>
        <v>0.24081365600000026</v>
      </c>
      <c r="E94" s="188">
        <f t="shared" si="26"/>
        <v>1.0210187263061297</v>
      </c>
      <c r="F94" s="423">
        <f>Sizing!F108</f>
        <v>427.16647516873218</v>
      </c>
      <c r="G94" s="423">
        <f>Sizing!G108</f>
        <v>4271.6647516873218</v>
      </c>
      <c r="H94" s="423">
        <f>Sizing!H108</f>
        <v>24421.790221876505</v>
      </c>
      <c r="I94" s="423">
        <f>Sizing!I108</f>
        <v>-8581.2222062356323</v>
      </c>
      <c r="J94" s="189">
        <f>Sizing!J108</f>
        <v>2442.1790221876508</v>
      </c>
      <c r="K94" s="128">
        <v>48</v>
      </c>
      <c r="L94" s="12">
        <f t="shared" si="5"/>
        <v>138.70866585599998</v>
      </c>
      <c r="M94" s="11">
        <f t="shared" si="5"/>
        <v>50.771655168000009</v>
      </c>
      <c r="N94" s="11">
        <f t="shared" si="5"/>
        <v>2.8897638720000032</v>
      </c>
      <c r="O94" s="152">
        <f t="shared" si="27"/>
        <v>147.02669658808267</v>
      </c>
      <c r="P94" s="8">
        <f t="shared" si="41"/>
        <v>9.1388979302400006</v>
      </c>
      <c r="Q94" s="12">
        <f t="shared" si="28"/>
        <v>26.464805385854881</v>
      </c>
      <c r="R94" s="8">
        <f t="shared" si="42"/>
        <v>4.5694489651200003</v>
      </c>
      <c r="S94" s="12">
        <f t="shared" si="29"/>
        <v>13.23240269292744</v>
      </c>
      <c r="T94" s="17">
        <f>Sizing!CN108</f>
        <v>2.5</v>
      </c>
      <c r="U94" s="17">
        <f>Sizing!CO108</f>
        <v>2.3622047244094495E-2</v>
      </c>
      <c r="V94" s="17">
        <f>Sizing!CP108</f>
        <v>1.5748031496062995E-2</v>
      </c>
      <c r="W94" s="128">
        <f t="shared" si="6"/>
        <v>3.0224609670856709E-3</v>
      </c>
      <c r="X94" s="2">
        <f t="shared" si="7"/>
        <v>7.2254596295506842E-3</v>
      </c>
      <c r="Y94" s="2">
        <f t="shared" si="8"/>
        <v>1.0247920596636356E-2</v>
      </c>
      <c r="Z94" s="216">
        <f t="shared" si="30"/>
        <v>0.45883708954174007</v>
      </c>
      <c r="AA94" s="138">
        <f t="shared" si="31"/>
        <v>1.096890548175077</v>
      </c>
      <c r="AB94" s="17">
        <f t="shared" si="32"/>
        <v>1.5557276377168172</v>
      </c>
      <c r="AC94" s="311">
        <f t="shared" si="33"/>
        <v>0.45092610523929622</v>
      </c>
      <c r="AD94" s="316">
        <f t="shared" si="34"/>
        <v>1.0779786421720583</v>
      </c>
      <c r="AE94" s="21">
        <f t="shared" si="35"/>
        <v>1.5289047474113546</v>
      </c>
      <c r="AF94" s="170">
        <f>Sizing!DU108</f>
        <v>1.2501892583384084</v>
      </c>
      <c r="AG94" s="170">
        <f>Sizing!DV108</f>
        <v>1.1181186244484118</v>
      </c>
      <c r="AH94" s="170">
        <f>Sizing!DW108</f>
        <v>1.2501892583384084</v>
      </c>
      <c r="AI94" s="272">
        <f>Sizing!DX108</f>
        <v>1.1181186244484118</v>
      </c>
      <c r="AJ94" s="216">
        <f>Sizing!GJ108</f>
        <v>0.5</v>
      </c>
      <c r="AK94" s="216">
        <f>Sizing!GK108</f>
        <v>5.5118110236220486E-2</v>
      </c>
      <c r="AL94" s="17">
        <f>Sizing!GL108</f>
        <v>5.5118110236220486E-2</v>
      </c>
      <c r="AM94" s="216">
        <f t="shared" si="9"/>
        <v>8.4628907078398794E-3</v>
      </c>
      <c r="AN94" s="138">
        <f t="shared" si="10"/>
        <v>1.4450919259101369E-3</v>
      </c>
      <c r="AO94" s="138">
        <f t="shared" si="11"/>
        <v>9.9079826337500169E-3</v>
      </c>
      <c r="AP94" s="311">
        <f t="shared" si="36"/>
        <v>0.22396875558474205</v>
      </c>
      <c r="AQ94" s="11">
        <f t="shared" si="37"/>
        <v>3.8244076583881993E-2</v>
      </c>
      <c r="AR94" s="21">
        <f t="shared" si="38"/>
        <v>0.26221283216862407</v>
      </c>
      <c r="AS94" s="11">
        <f t="shared" si="12"/>
        <v>0.22188223144754785</v>
      </c>
      <c r="AT94" s="21">
        <f t="shared" si="39"/>
        <v>0.22188223144754785</v>
      </c>
      <c r="AU94" s="170">
        <f>Sizing!JC108</f>
        <v>1.9839863322260787E-2</v>
      </c>
      <c r="AV94" s="272">
        <f>Sizing!JD108</f>
        <v>0.14085404971906482</v>
      </c>
      <c r="AW94" s="170">
        <f>Sizing!JC108</f>
        <v>1.9839863322260787E-2</v>
      </c>
      <c r="AX94" s="272">
        <f>Sizing!JD108</f>
        <v>0.14085404971906482</v>
      </c>
      <c r="AY94" s="216">
        <f>Sizing!IT108</f>
        <v>0.5</v>
      </c>
      <c r="AZ94" s="216">
        <f>Sizing!IU108</f>
        <v>1.5748031496062995E-2</v>
      </c>
      <c r="BA94" s="17">
        <f>Sizing!IV108</f>
        <v>1.5748031496062995E-2</v>
      </c>
      <c r="BB94" s="216">
        <f t="shared" si="13"/>
        <v>2.4179687736685367E-3</v>
      </c>
      <c r="BC94" s="138">
        <f t="shared" si="14"/>
        <v>1.4450919259101369E-3</v>
      </c>
      <c r="BD94" s="138">
        <f t="shared" si="15"/>
        <v>3.8630606995786734E-3</v>
      </c>
      <c r="BE94" s="311">
        <f t="shared" si="16"/>
        <v>3.1995536512106008E-2</v>
      </c>
      <c r="BF94" s="11">
        <f t="shared" si="17"/>
        <v>1.9122038291940997E-2</v>
      </c>
      <c r="BG94" s="21">
        <f t="shared" si="18"/>
        <v>5.1117574804047002E-2</v>
      </c>
      <c r="BH94" s="21">
        <f t="shared" si="19"/>
        <v>3.5211573897285832E-3</v>
      </c>
      <c r="BI94" s="21">
        <f t="shared" si="20"/>
        <v>3.5211573897285832E-3</v>
      </c>
      <c r="BJ94" s="561"/>
      <c r="BK94">
        <f t="shared" si="21"/>
        <v>2.1154856320000004</v>
      </c>
      <c r="BL94">
        <f t="shared" si="22"/>
        <v>2.1154856320000004</v>
      </c>
      <c r="BM94">
        <f>C94*'Inputs-Imperial'!$E$12</f>
        <v>1.0577428160000002</v>
      </c>
      <c r="BN94">
        <f>C94*'Inputs-Imperial'!$E$12</f>
        <v>1.0577428160000002</v>
      </c>
      <c r="BO94">
        <f>C94*'Inputs-Imperial'!$E$12</f>
        <v>1.0577428160000002</v>
      </c>
      <c r="BP94">
        <f>C94*'Weight '!$E$15</f>
        <v>2.1154856320000004</v>
      </c>
      <c r="BQ94">
        <f>C94*'Weight '!$E$15</f>
        <v>2.1154856320000004</v>
      </c>
      <c r="BR94">
        <f>C94*'Weight '!$E$15</f>
        <v>2.1154856320000004</v>
      </c>
      <c r="BS94">
        <f t="shared" si="23"/>
        <v>7.3952743136259116</v>
      </c>
      <c r="BT94" s="564">
        <f t="shared" si="24"/>
        <v>3.8487695697753956</v>
      </c>
      <c r="BU94">
        <f t="shared" si="40"/>
        <v>1.9214645562834984</v>
      </c>
    </row>
    <row r="95" spans="1:73" x14ac:dyDescent="0.25">
      <c r="A95" s="186">
        <v>49</v>
      </c>
      <c r="B95" s="187">
        <f>A95/100*'Inputs-Imperial'!$E$5</f>
        <v>11.799869143999999</v>
      </c>
      <c r="C95" s="188">
        <f>'Inputs-Imperial'!$E$10+('Inputs-Imperial'!$E$9-'Inputs-Imperial'!$E$10)*(100-A95)/100</f>
        <v>4.213172707</v>
      </c>
      <c r="D95" s="187">
        <f t="shared" si="25"/>
        <v>0.24081365600000026</v>
      </c>
      <c r="E95" s="188">
        <f t="shared" si="26"/>
        <v>1.0167325907234352</v>
      </c>
      <c r="F95" s="423">
        <f>Sizing!F109</f>
        <v>416.87525513559467</v>
      </c>
      <c r="G95" s="423">
        <f>Sizing!G109</f>
        <v>4168.7525513559467</v>
      </c>
      <c r="H95" s="423">
        <f>Sizing!H109</f>
        <v>23393.115015816347</v>
      </c>
      <c r="I95" s="423">
        <f>Sizing!I109</f>
        <v>-8330.2030567408365</v>
      </c>
      <c r="J95" s="189">
        <f>Sizing!J109</f>
        <v>2339.3115015816352</v>
      </c>
      <c r="K95" s="128">
        <v>49</v>
      </c>
      <c r="L95" s="12">
        <f t="shared" si="5"/>
        <v>141.59842972799999</v>
      </c>
      <c r="M95" s="11">
        <f t="shared" si="5"/>
        <v>50.558072484</v>
      </c>
      <c r="N95" s="11">
        <f t="shared" si="5"/>
        <v>2.8897638720000032</v>
      </c>
      <c r="O95" s="152">
        <f t="shared" si="27"/>
        <v>146.40949306417468</v>
      </c>
      <c r="P95" s="8">
        <f t="shared" si="41"/>
        <v>9.1004530471200002</v>
      </c>
      <c r="Q95" s="12">
        <f t="shared" si="28"/>
        <v>26.353708751551441</v>
      </c>
      <c r="R95" s="8">
        <f t="shared" si="42"/>
        <v>4.5502265235600001</v>
      </c>
      <c r="S95" s="12">
        <f t="shared" si="29"/>
        <v>13.17685437577572</v>
      </c>
      <c r="T95" s="17">
        <f>Sizing!CN109</f>
        <v>2.5</v>
      </c>
      <c r="U95" s="17">
        <f>Sizing!CO109</f>
        <v>2.3622047244094495E-2</v>
      </c>
      <c r="V95" s="17">
        <f>Sizing!CP109</f>
        <v>1.5748031496062995E-2</v>
      </c>
      <c r="W95" s="128">
        <f t="shared" si="6"/>
        <v>3.0224609670856709E-3</v>
      </c>
      <c r="X95" s="2">
        <f t="shared" si="7"/>
        <v>7.2254596295506842E-3</v>
      </c>
      <c r="Y95" s="2">
        <f t="shared" si="8"/>
        <v>1.0247920596636356E-2</v>
      </c>
      <c r="Z95" s="216">
        <f t="shared" si="30"/>
        <v>0.45691093684201461</v>
      </c>
      <c r="AA95" s="138">
        <f t="shared" si="31"/>
        <v>1.0922859101917335</v>
      </c>
      <c r="AB95" s="17">
        <f t="shared" si="32"/>
        <v>1.549196847033748</v>
      </c>
      <c r="AC95" s="311">
        <f t="shared" si="33"/>
        <v>0.44903316206887645</v>
      </c>
      <c r="AD95" s="316">
        <f t="shared" si="34"/>
        <v>1.0734533944987725</v>
      </c>
      <c r="AE95" s="21">
        <f t="shared" si="35"/>
        <v>1.5224865565676491</v>
      </c>
      <c r="AF95" s="170">
        <f>Sizing!DU109</f>
        <v>1.2501892583384084</v>
      </c>
      <c r="AG95" s="170">
        <f>Sizing!DV109</f>
        <v>1.1181186244484118</v>
      </c>
      <c r="AH95" s="170">
        <f>Sizing!DW109</f>
        <v>1.2501892583384084</v>
      </c>
      <c r="AI95" s="272">
        <f>Sizing!DX109</f>
        <v>1.1181186244484118</v>
      </c>
      <c r="AJ95" s="216">
        <f>Sizing!GJ109</f>
        <v>0.5</v>
      </c>
      <c r="AK95" s="216">
        <f>Sizing!GK109</f>
        <v>5.5118110236220486E-2</v>
      </c>
      <c r="AL95" s="17">
        <f>Sizing!GL109</f>
        <v>5.5118110236220486E-2</v>
      </c>
      <c r="AM95" s="216">
        <f t="shared" si="9"/>
        <v>8.4628907078398794E-3</v>
      </c>
      <c r="AN95" s="138">
        <f t="shared" si="10"/>
        <v>1.4450919259101369E-3</v>
      </c>
      <c r="AO95" s="138">
        <f t="shared" si="11"/>
        <v>9.9079826337500169E-3</v>
      </c>
      <c r="AP95" s="311">
        <f t="shared" si="36"/>
        <v>0.2230285569106232</v>
      </c>
      <c r="AQ95" s="11">
        <f t="shared" si="37"/>
        <v>3.80835317346543E-2</v>
      </c>
      <c r="AR95" s="21">
        <f t="shared" si="38"/>
        <v>0.26111208864527752</v>
      </c>
      <c r="AS95" s="11">
        <f t="shared" si="12"/>
        <v>0.22188223144754785</v>
      </c>
      <c r="AT95" s="21">
        <f t="shared" si="39"/>
        <v>0.22188223144754785</v>
      </c>
      <c r="AU95" s="170">
        <f>Sizing!JC109</f>
        <v>1.9839863322260787E-2</v>
      </c>
      <c r="AV95" s="272">
        <f>Sizing!JD109</f>
        <v>0.14085404971906482</v>
      </c>
      <c r="AW95" s="170">
        <f>Sizing!JC109</f>
        <v>1.9839863322260787E-2</v>
      </c>
      <c r="AX95" s="272">
        <f>Sizing!JD109</f>
        <v>0.14085404971906482</v>
      </c>
      <c r="AY95" s="216">
        <f>Sizing!IT109</f>
        <v>0.5</v>
      </c>
      <c r="AZ95" s="216">
        <f>Sizing!IU109</f>
        <v>1.5748031496062995E-2</v>
      </c>
      <c r="BA95" s="17">
        <f>Sizing!IV109</f>
        <v>1.5748031496062995E-2</v>
      </c>
      <c r="BB95" s="216">
        <f t="shared" si="13"/>
        <v>2.4179687736685367E-3</v>
      </c>
      <c r="BC95" s="138">
        <f t="shared" si="14"/>
        <v>1.4450919259101369E-3</v>
      </c>
      <c r="BD95" s="138">
        <f t="shared" si="15"/>
        <v>3.8630606995786734E-3</v>
      </c>
      <c r="BE95" s="311">
        <f t="shared" si="16"/>
        <v>3.186122241580331E-2</v>
      </c>
      <c r="BF95" s="11">
        <f t="shared" si="17"/>
        <v>1.904176586732715E-2</v>
      </c>
      <c r="BG95" s="21">
        <f t="shared" si="18"/>
        <v>5.090298828313046E-2</v>
      </c>
      <c r="BH95" s="21">
        <f t="shared" si="19"/>
        <v>3.5211573897285832E-3</v>
      </c>
      <c r="BI95" s="21">
        <f t="shared" si="20"/>
        <v>3.5211573897285832E-3</v>
      </c>
      <c r="BJ95" s="561"/>
      <c r="BK95">
        <f t="shared" si="21"/>
        <v>2.1065863535</v>
      </c>
      <c r="BL95">
        <f t="shared" si="22"/>
        <v>2.1065863535</v>
      </c>
      <c r="BM95">
        <f>C95*'Inputs-Imperial'!$E$12</f>
        <v>1.05329317675</v>
      </c>
      <c r="BN95">
        <f>C95*'Inputs-Imperial'!$E$12</f>
        <v>1.05329317675</v>
      </c>
      <c r="BO95">
        <f>C95*'Inputs-Imperial'!$E$12</f>
        <v>1.05329317675</v>
      </c>
      <c r="BP95">
        <f>C95*'Weight '!$E$15</f>
        <v>2.1065863535</v>
      </c>
      <c r="BQ95">
        <f>C95*'Weight '!$E$15</f>
        <v>2.1065863535</v>
      </c>
      <c r="BR95">
        <f>C95*'Weight '!$E$15</f>
        <v>2.1065863535</v>
      </c>
      <c r="BS95">
        <f t="shared" si="23"/>
        <v>7.3352747871687498</v>
      </c>
      <c r="BT95" s="564">
        <f t="shared" si="24"/>
        <v>3.8345052582043575</v>
      </c>
      <c r="BU95">
        <f t="shared" si="40"/>
        <v>1.9129651136803374</v>
      </c>
    </row>
    <row r="96" spans="1:73" x14ac:dyDescent="0.25">
      <c r="A96" s="186">
        <v>50</v>
      </c>
      <c r="B96" s="187">
        <f>A96/100*'Inputs-Imperial'!$E$5</f>
        <v>12.040682799999999</v>
      </c>
      <c r="C96" s="188">
        <f>'Inputs-Imperial'!$E$10+('Inputs-Imperial'!$E$9-'Inputs-Imperial'!$E$10)*(100-A96)/100</f>
        <v>4.1953741500000001</v>
      </c>
      <c r="D96" s="187">
        <f t="shared" si="25"/>
        <v>0.24081365600000026</v>
      </c>
      <c r="E96" s="188">
        <f t="shared" si="26"/>
        <v>1.0124464551407408</v>
      </c>
      <c r="F96" s="423">
        <f>Sizing!F110</f>
        <v>406.63937972125314</v>
      </c>
      <c r="G96" s="423">
        <f>Sizing!G110</f>
        <v>4066.3937972125314</v>
      </c>
      <c r="H96" s="423">
        <f>Sizing!H110</f>
        <v>22389.222472964993</v>
      </c>
      <c r="I96" s="423">
        <f>Sizing!I110</f>
        <v>-8081.8914730968272</v>
      </c>
      <c r="J96" s="189">
        <f>Sizing!J110</f>
        <v>2238.9222472964998</v>
      </c>
      <c r="K96" s="128">
        <v>50</v>
      </c>
      <c r="L96" s="12">
        <f t="shared" si="5"/>
        <v>144.48819359999999</v>
      </c>
      <c r="M96" s="11">
        <f t="shared" si="5"/>
        <v>50.344489800000005</v>
      </c>
      <c r="N96" s="11">
        <f t="shared" si="5"/>
        <v>2.8897638720000032</v>
      </c>
      <c r="O96" s="152">
        <f t="shared" si="27"/>
        <v>145.79228954026667</v>
      </c>
      <c r="P96" s="8">
        <f t="shared" si="41"/>
        <v>9.0620081639999999</v>
      </c>
      <c r="Q96" s="12">
        <f t="shared" si="28"/>
        <v>26.242612117248001</v>
      </c>
      <c r="R96" s="8">
        <f t="shared" si="42"/>
        <v>4.5310040819999999</v>
      </c>
      <c r="S96" s="12">
        <f t="shared" si="29"/>
        <v>13.121306058624</v>
      </c>
      <c r="T96" s="17">
        <f>Sizing!CN110</f>
        <v>1.5</v>
      </c>
      <c r="U96" s="17">
        <f>Sizing!CO110</f>
        <v>2.3622047244094495E-2</v>
      </c>
      <c r="V96" s="17">
        <f>Sizing!CP110</f>
        <v>1.5748031496062995E-2</v>
      </c>
      <c r="W96" s="128">
        <f t="shared" si="6"/>
        <v>3.0224609670856709E-3</v>
      </c>
      <c r="X96" s="2">
        <f t="shared" si="7"/>
        <v>4.3352757777304109E-3</v>
      </c>
      <c r="Y96" s="2">
        <f t="shared" si="8"/>
        <v>7.3577367448160822E-3</v>
      </c>
      <c r="Z96" s="216">
        <f t="shared" si="30"/>
        <v>0.45498478414228904</v>
      </c>
      <c r="AA96" s="138">
        <f t="shared" si="31"/>
        <v>0.65260876332503381</v>
      </c>
      <c r="AB96" s="17">
        <f t="shared" si="32"/>
        <v>1.1075935474673229</v>
      </c>
      <c r="AC96" s="311">
        <f t="shared" si="33"/>
        <v>0.44714021889845645</v>
      </c>
      <c r="AD96" s="316">
        <f t="shared" si="34"/>
        <v>0.64135688809529179</v>
      </c>
      <c r="AE96" s="21">
        <f t="shared" si="35"/>
        <v>1.0884971069937484</v>
      </c>
      <c r="AF96" s="170">
        <f>Sizing!DU110</f>
        <v>0.85358264160295871</v>
      </c>
      <c r="AG96" s="170">
        <f>Sizing!DV110</f>
        <v>0.92389536290802909</v>
      </c>
      <c r="AH96" s="170">
        <f>Sizing!DW110</f>
        <v>0.85358264160295871</v>
      </c>
      <c r="AI96" s="272">
        <f>Sizing!DX110</f>
        <v>0.92389536290802909</v>
      </c>
      <c r="AJ96" s="216">
        <f>Sizing!GJ110</f>
        <v>0.5</v>
      </c>
      <c r="AK96" s="216">
        <f>Sizing!GK110</f>
        <v>3.1496062992125991E-2</v>
      </c>
      <c r="AL96" s="17">
        <f>Sizing!GL110</f>
        <v>3.1496062992125991E-2</v>
      </c>
      <c r="AM96" s="216">
        <f t="shared" si="9"/>
        <v>4.8359375473370735E-3</v>
      </c>
      <c r="AN96" s="138">
        <f t="shared" si="10"/>
        <v>1.4450919259101369E-3</v>
      </c>
      <c r="AO96" s="138">
        <f t="shared" si="11"/>
        <v>6.2810294732472101E-3</v>
      </c>
      <c r="AP96" s="311">
        <f t="shared" si="36"/>
        <v>0.12690763327800247</v>
      </c>
      <c r="AQ96" s="11">
        <f t="shared" si="37"/>
        <v>3.7922986885426606E-2</v>
      </c>
      <c r="AR96" s="21">
        <f t="shared" si="38"/>
        <v>0.16483062016342906</v>
      </c>
      <c r="AS96" s="11">
        <f t="shared" si="12"/>
        <v>0.15149291995635628</v>
      </c>
      <c r="AT96" s="21">
        <f t="shared" si="39"/>
        <v>0.15149291995635628</v>
      </c>
      <c r="AU96" s="170">
        <f>Sizing!JC110</f>
        <v>1.3798052057434758E-2</v>
      </c>
      <c r="AV96" s="272">
        <f>Sizing!JD110</f>
        <v>0.11746510995795627</v>
      </c>
      <c r="AW96" s="170">
        <f>Sizing!JC110</f>
        <v>1.3798052057434758E-2</v>
      </c>
      <c r="AX96" s="272">
        <f>Sizing!JD110</f>
        <v>0.11746510995795627</v>
      </c>
      <c r="AY96" s="216">
        <f>Sizing!IT110</f>
        <v>0.25</v>
      </c>
      <c r="AZ96" s="216">
        <f>Sizing!IU110</f>
        <v>1.5748031496062995E-2</v>
      </c>
      <c r="BA96" s="17">
        <f>Sizing!IV110</f>
        <v>1.5748031496062995E-2</v>
      </c>
      <c r="BB96" s="216">
        <f t="shared" si="13"/>
        <v>2.4179687736685367E-3</v>
      </c>
      <c r="BC96" s="138">
        <f t="shared" si="14"/>
        <v>7.2254596295506844E-4</v>
      </c>
      <c r="BD96" s="138">
        <f t="shared" si="15"/>
        <v>3.1405147366236051E-3</v>
      </c>
      <c r="BE96" s="311">
        <f t="shared" si="16"/>
        <v>3.1726908319500619E-2</v>
      </c>
      <c r="BF96" s="11">
        <f t="shared" si="17"/>
        <v>9.4807467213566515E-3</v>
      </c>
      <c r="BG96" s="21">
        <f t="shared" si="18"/>
        <v>4.1207655040857265E-2</v>
      </c>
      <c r="BH96" s="21">
        <f t="shared" si="19"/>
        <v>2.4488632898686581E-3</v>
      </c>
      <c r="BI96" s="21">
        <f t="shared" si="20"/>
        <v>2.4488632898686581E-3</v>
      </c>
      <c r="BJ96" s="561"/>
      <c r="BK96">
        <f t="shared" si="21"/>
        <v>2.0976870750000001</v>
      </c>
      <c r="BL96">
        <f t="shared" si="22"/>
        <v>2.0976870750000001</v>
      </c>
      <c r="BM96">
        <f>C96*'Inputs-Imperial'!$E$12</f>
        <v>1.0488435375</v>
      </c>
      <c r="BN96">
        <f>C96*'Inputs-Imperial'!$E$12</f>
        <v>1.0488435375</v>
      </c>
      <c r="BO96">
        <f>C96*'Inputs-Imperial'!$E$12</f>
        <v>1.0488435375</v>
      </c>
      <c r="BP96">
        <f>C96*'Weight '!$E$15</f>
        <v>2.0976870750000001</v>
      </c>
      <c r="BQ96">
        <f>C96*'Weight '!$E$15</f>
        <v>2.0976870750000001</v>
      </c>
      <c r="BR96">
        <f>C96*'Weight '!$E$15</f>
        <v>2.0976870750000001</v>
      </c>
      <c r="BS96">
        <f t="shared" si="23"/>
        <v>5.1940919153917315</v>
      </c>
      <c r="BT96" s="564">
        <f t="shared" si="24"/>
        <v>2.7100124961578067</v>
      </c>
      <c r="BU96">
        <f t="shared" si="40"/>
        <v>1.9166302453423354</v>
      </c>
    </row>
    <row r="97" spans="1:73" x14ac:dyDescent="0.25">
      <c r="A97" s="186">
        <v>51</v>
      </c>
      <c r="B97" s="187">
        <f>A97/100*'Inputs-Imperial'!$E$5</f>
        <v>12.281496455999999</v>
      </c>
      <c r="C97" s="188">
        <f>'Inputs-Imperial'!$E$10+('Inputs-Imperial'!$E$9-'Inputs-Imperial'!$E$10)*(100-A97)/100</f>
        <v>4.1775755930000003</v>
      </c>
      <c r="D97" s="187">
        <f t="shared" si="25"/>
        <v>0.24081365600000026</v>
      </c>
      <c r="E97" s="188">
        <f t="shared" si="26"/>
        <v>1.0081603195580462</v>
      </c>
      <c r="F97" s="423">
        <f>Sizing!F111</f>
        <v>396.45979141487788</v>
      </c>
      <c r="G97" s="423">
        <f>Sizing!G111</f>
        <v>3964.5979141487787</v>
      </c>
      <c r="H97" s="423">
        <f>Sizing!H111</f>
        <v>21409.979315922519</v>
      </c>
      <c r="I97" s="423">
        <f>Sizing!I111</f>
        <v>-7836.3185374736613</v>
      </c>
      <c r="J97" s="189">
        <f>Sizing!J111</f>
        <v>2140.9979315922524</v>
      </c>
      <c r="K97" s="128">
        <v>51</v>
      </c>
      <c r="L97" s="12">
        <f t="shared" si="5"/>
        <v>147.37795747199999</v>
      </c>
      <c r="M97" s="11">
        <f t="shared" si="5"/>
        <v>50.130907116000003</v>
      </c>
      <c r="N97" s="11">
        <f t="shared" si="5"/>
        <v>2.8897638720000032</v>
      </c>
      <c r="O97" s="152">
        <f t="shared" si="27"/>
        <v>145.17508601635865</v>
      </c>
      <c r="P97" s="8">
        <f t="shared" si="41"/>
        <v>9.0235632808799995</v>
      </c>
      <c r="Q97" s="12">
        <f t="shared" si="28"/>
        <v>26.131515482944561</v>
      </c>
      <c r="R97" s="8">
        <f t="shared" si="42"/>
        <v>4.5117816404399997</v>
      </c>
      <c r="S97" s="12">
        <f t="shared" si="29"/>
        <v>13.065757741472281</v>
      </c>
      <c r="T97" s="17">
        <f>Sizing!CN111</f>
        <v>1.5</v>
      </c>
      <c r="U97" s="17">
        <f>Sizing!CO111</f>
        <v>2.3622047244094495E-2</v>
      </c>
      <c r="V97" s="17">
        <f>Sizing!CP111</f>
        <v>1.5748031496062995E-2</v>
      </c>
      <c r="W97" s="128">
        <f t="shared" si="6"/>
        <v>3.0224609670856709E-3</v>
      </c>
      <c r="X97" s="2">
        <f t="shared" si="7"/>
        <v>4.3352757777304109E-3</v>
      </c>
      <c r="Y97" s="2">
        <f t="shared" si="8"/>
        <v>7.3577367448160822E-3</v>
      </c>
      <c r="Z97" s="216">
        <f t="shared" si="30"/>
        <v>0.45305863144256359</v>
      </c>
      <c r="AA97" s="138">
        <f t="shared" si="31"/>
        <v>0.64984598053502762</v>
      </c>
      <c r="AB97" s="17">
        <f t="shared" si="32"/>
        <v>1.1029046119775912</v>
      </c>
      <c r="AC97" s="311">
        <f t="shared" si="33"/>
        <v>0.44524727572803663</v>
      </c>
      <c r="AD97" s="316">
        <f t="shared" si="34"/>
        <v>0.63864173949132019</v>
      </c>
      <c r="AE97" s="21">
        <f t="shared" si="35"/>
        <v>1.0838890152193568</v>
      </c>
      <c r="AF97" s="170">
        <f>Sizing!DU111</f>
        <v>0.85358264160295871</v>
      </c>
      <c r="AG97" s="170">
        <f>Sizing!DV111</f>
        <v>0.92389536290802909</v>
      </c>
      <c r="AH97" s="170">
        <f>Sizing!DW111</f>
        <v>0.85358264160295871</v>
      </c>
      <c r="AI97" s="272">
        <f>Sizing!DX111</f>
        <v>0.92389536290802909</v>
      </c>
      <c r="AJ97" s="216">
        <f>Sizing!GJ111</f>
        <v>0.5</v>
      </c>
      <c r="AK97" s="216">
        <f>Sizing!GK111</f>
        <v>3.1496062992125991E-2</v>
      </c>
      <c r="AL97" s="17">
        <f>Sizing!GL111</f>
        <v>3.1496062992125991E-2</v>
      </c>
      <c r="AM97" s="216">
        <f t="shared" si="9"/>
        <v>4.8359375473370735E-3</v>
      </c>
      <c r="AN97" s="138">
        <f t="shared" si="10"/>
        <v>1.4450919259101369E-3</v>
      </c>
      <c r="AO97" s="138">
        <f t="shared" si="11"/>
        <v>6.2810294732472101E-3</v>
      </c>
      <c r="AP97" s="311">
        <f t="shared" si="36"/>
        <v>0.12637037689279168</v>
      </c>
      <c r="AQ97" s="11">
        <f t="shared" si="37"/>
        <v>3.7762442036198919E-2</v>
      </c>
      <c r="AR97" s="21">
        <f t="shared" si="38"/>
        <v>0.16413281892899059</v>
      </c>
      <c r="AS97" s="11">
        <f t="shared" si="12"/>
        <v>0.15149291995635628</v>
      </c>
      <c r="AT97" s="21">
        <f t="shared" si="39"/>
        <v>0.15149291995635628</v>
      </c>
      <c r="AU97" s="170">
        <f>Sizing!JC111</f>
        <v>1.3798052057434758E-2</v>
      </c>
      <c r="AV97" s="272">
        <f>Sizing!JD111</f>
        <v>0.11746510995795627</v>
      </c>
      <c r="AW97" s="170">
        <f>Sizing!JC111</f>
        <v>1.3798052057434758E-2</v>
      </c>
      <c r="AX97" s="272">
        <f>Sizing!JD111</f>
        <v>0.11746510995795627</v>
      </c>
      <c r="AY97" s="216">
        <f>Sizing!IT111</f>
        <v>0.25</v>
      </c>
      <c r="AZ97" s="216">
        <f>Sizing!IU111</f>
        <v>1.5748031496062995E-2</v>
      </c>
      <c r="BA97" s="17">
        <f>Sizing!IV111</f>
        <v>1.5748031496062995E-2</v>
      </c>
      <c r="BB97" s="216">
        <f t="shared" si="13"/>
        <v>2.4179687736685367E-3</v>
      </c>
      <c r="BC97" s="138">
        <f t="shared" si="14"/>
        <v>7.2254596295506844E-4</v>
      </c>
      <c r="BD97" s="138">
        <f t="shared" si="15"/>
        <v>3.1405147366236051E-3</v>
      </c>
      <c r="BE97" s="311">
        <f t="shared" si="16"/>
        <v>3.159259422319792E-2</v>
      </c>
      <c r="BF97" s="11">
        <f t="shared" si="17"/>
        <v>9.4406105090497298E-3</v>
      </c>
      <c r="BG97" s="21">
        <f t="shared" si="18"/>
        <v>4.1033204732247648E-2</v>
      </c>
      <c r="BH97" s="21">
        <f t="shared" si="19"/>
        <v>2.4488632898686581E-3</v>
      </c>
      <c r="BI97" s="21">
        <f t="shared" si="20"/>
        <v>2.4488632898686581E-3</v>
      </c>
      <c r="BJ97" s="561"/>
      <c r="BK97">
        <f t="shared" si="21"/>
        <v>2.0887877965000001</v>
      </c>
      <c r="BL97">
        <f t="shared" si="22"/>
        <v>2.0887877965000001</v>
      </c>
      <c r="BM97">
        <f>C97*'Inputs-Imperial'!$E$12</f>
        <v>1.0443938982500001</v>
      </c>
      <c r="BN97">
        <f>C97*'Inputs-Imperial'!$E$12</f>
        <v>1.0443938982500001</v>
      </c>
      <c r="BO97">
        <f>C97*'Inputs-Imperial'!$E$12</f>
        <v>1.0443938982500001</v>
      </c>
      <c r="BP97">
        <f>C97*'Weight '!$E$15</f>
        <v>2.0887877965000001</v>
      </c>
      <c r="BQ97">
        <f>C97*'Weight '!$E$15</f>
        <v>2.0887877965000001</v>
      </c>
      <c r="BR97">
        <f>C97*'Weight '!$E$15</f>
        <v>2.0887877965000001</v>
      </c>
      <c r="BS97">
        <f t="shared" si="23"/>
        <v>5.151543687812306</v>
      </c>
      <c r="BT97" s="564">
        <f t="shared" si="24"/>
        <v>2.6998432173506361</v>
      </c>
      <c r="BU97">
        <f t="shared" si="40"/>
        <v>1.9080899419291208</v>
      </c>
    </row>
    <row r="98" spans="1:73" x14ac:dyDescent="0.25">
      <c r="A98" s="186">
        <v>52</v>
      </c>
      <c r="B98" s="187">
        <f>A98/100*'Inputs-Imperial'!$E$5</f>
        <v>12.522310112</v>
      </c>
      <c r="C98" s="188">
        <f>'Inputs-Imperial'!$E$10+('Inputs-Imperial'!$E$9-'Inputs-Imperial'!$E$10)*(100-A98)/100</f>
        <v>4.1597770360000004</v>
      </c>
      <c r="D98" s="187">
        <f t="shared" si="25"/>
        <v>0.24081365600000026</v>
      </c>
      <c r="E98" s="188">
        <f t="shared" si="26"/>
        <v>1.003874183975352</v>
      </c>
      <c r="F98" s="423">
        <f>Sizing!F112</f>
        <v>386.33745175608942</v>
      </c>
      <c r="G98" s="423">
        <f>Sizing!G112</f>
        <v>3863.3745175608942</v>
      </c>
      <c r="H98" s="423">
        <f>Sizing!H112</f>
        <v>20455.249997646377</v>
      </c>
      <c r="I98" s="423">
        <f>Sizing!I112</f>
        <v>-7593.5154961427415</v>
      </c>
      <c r="J98" s="189">
        <f>Sizing!J112</f>
        <v>2045.5249997646381</v>
      </c>
      <c r="K98" s="128">
        <v>52</v>
      </c>
      <c r="L98" s="12">
        <f t="shared" si="5"/>
        <v>150.26772134399999</v>
      </c>
      <c r="M98" s="11">
        <f t="shared" si="5"/>
        <v>49.917324432000001</v>
      </c>
      <c r="N98" s="11">
        <f t="shared" si="5"/>
        <v>2.8897638720000032</v>
      </c>
      <c r="O98" s="152">
        <f t="shared" si="27"/>
        <v>144.55788249245069</v>
      </c>
      <c r="P98" s="8">
        <f t="shared" si="41"/>
        <v>8.9851183977599991</v>
      </c>
      <c r="Q98" s="12">
        <f t="shared" si="28"/>
        <v>26.020418848641121</v>
      </c>
      <c r="R98" s="8">
        <f t="shared" si="42"/>
        <v>4.4925591988799995</v>
      </c>
      <c r="S98" s="12">
        <f t="shared" si="29"/>
        <v>13.010209424320561</v>
      </c>
      <c r="T98" s="17">
        <f>Sizing!CN112</f>
        <v>1.5</v>
      </c>
      <c r="U98" s="17">
        <f>Sizing!CO112</f>
        <v>2.3622047244094495E-2</v>
      </c>
      <c r="V98" s="17">
        <f>Sizing!CP112</f>
        <v>1.5748031496062995E-2</v>
      </c>
      <c r="W98" s="128">
        <f t="shared" si="6"/>
        <v>3.0224609670856709E-3</v>
      </c>
      <c r="X98" s="2">
        <f t="shared" si="7"/>
        <v>4.3352757777304109E-3</v>
      </c>
      <c r="Y98" s="2">
        <f t="shared" si="8"/>
        <v>7.3577367448160822E-3</v>
      </c>
      <c r="Z98" s="216">
        <f t="shared" si="30"/>
        <v>0.45113247874283824</v>
      </c>
      <c r="AA98" s="138">
        <f t="shared" si="31"/>
        <v>0.64708319774502154</v>
      </c>
      <c r="AB98" s="17">
        <f t="shared" si="32"/>
        <v>1.0982156764878599</v>
      </c>
      <c r="AC98" s="311">
        <f t="shared" si="33"/>
        <v>0.44335433255761686</v>
      </c>
      <c r="AD98" s="316">
        <f t="shared" si="34"/>
        <v>0.6359265908873486</v>
      </c>
      <c r="AE98" s="21">
        <f t="shared" si="35"/>
        <v>1.0792809234449656</v>
      </c>
      <c r="AF98" s="170">
        <f>Sizing!DU112</f>
        <v>0.85358264160295871</v>
      </c>
      <c r="AG98" s="170">
        <f>Sizing!DV112</f>
        <v>0.92389536290802909</v>
      </c>
      <c r="AH98" s="170">
        <f>Sizing!DW112</f>
        <v>0.85358264160295871</v>
      </c>
      <c r="AI98" s="272">
        <f>Sizing!DX112</f>
        <v>0.92389536290802909</v>
      </c>
      <c r="AJ98" s="216">
        <f>Sizing!GJ112</f>
        <v>0.5</v>
      </c>
      <c r="AK98" s="216">
        <f>Sizing!GK112</f>
        <v>3.1496062992125991E-2</v>
      </c>
      <c r="AL98" s="17">
        <f>Sizing!GL112</f>
        <v>3.1496062992125991E-2</v>
      </c>
      <c r="AM98" s="216">
        <f t="shared" si="9"/>
        <v>4.8359375473370735E-3</v>
      </c>
      <c r="AN98" s="138">
        <f t="shared" si="10"/>
        <v>1.4450919259101369E-3</v>
      </c>
      <c r="AO98" s="138">
        <f t="shared" si="11"/>
        <v>6.2810294732472101E-3</v>
      </c>
      <c r="AP98" s="311">
        <f t="shared" si="36"/>
        <v>0.12583312050758089</v>
      </c>
      <c r="AQ98" s="11">
        <f t="shared" si="37"/>
        <v>3.7601897186971225E-2</v>
      </c>
      <c r="AR98" s="21">
        <f t="shared" si="38"/>
        <v>0.16343501769455213</v>
      </c>
      <c r="AS98" s="11">
        <f t="shared" si="12"/>
        <v>0.15149291995635628</v>
      </c>
      <c r="AT98" s="21">
        <f t="shared" si="39"/>
        <v>0.15149291995635628</v>
      </c>
      <c r="AU98" s="170">
        <f>Sizing!JC112</f>
        <v>1.3798052057434758E-2</v>
      </c>
      <c r="AV98" s="272">
        <f>Sizing!JD112</f>
        <v>0.11746510995795627</v>
      </c>
      <c r="AW98" s="170">
        <f>Sizing!JC112</f>
        <v>1.3798052057434758E-2</v>
      </c>
      <c r="AX98" s="272">
        <f>Sizing!JD112</f>
        <v>0.11746510995795627</v>
      </c>
      <c r="AY98" s="216">
        <f>Sizing!IT112</f>
        <v>0.25</v>
      </c>
      <c r="AZ98" s="216">
        <f>Sizing!IU112</f>
        <v>1.5748031496062995E-2</v>
      </c>
      <c r="BA98" s="17">
        <f>Sizing!IV112</f>
        <v>1.5748031496062995E-2</v>
      </c>
      <c r="BB98" s="216">
        <f t="shared" si="13"/>
        <v>2.4179687736685367E-3</v>
      </c>
      <c r="BC98" s="138">
        <f t="shared" si="14"/>
        <v>7.2254596295506844E-4</v>
      </c>
      <c r="BD98" s="138">
        <f t="shared" si="15"/>
        <v>3.1405147366236051E-3</v>
      </c>
      <c r="BE98" s="311">
        <f t="shared" si="16"/>
        <v>3.1458280126895222E-2</v>
      </c>
      <c r="BF98" s="11">
        <f t="shared" si="17"/>
        <v>9.4004742967428064E-3</v>
      </c>
      <c r="BG98" s="21">
        <f t="shared" si="18"/>
        <v>4.0858754423638032E-2</v>
      </c>
      <c r="BH98" s="21">
        <f t="shared" si="19"/>
        <v>2.4488632898686581E-3</v>
      </c>
      <c r="BI98" s="21">
        <f t="shared" si="20"/>
        <v>2.4488632898686581E-3</v>
      </c>
      <c r="BJ98" s="561"/>
      <c r="BK98">
        <f t="shared" si="21"/>
        <v>2.0798885180000002</v>
      </c>
      <c r="BL98">
        <f t="shared" si="22"/>
        <v>2.0798885180000002</v>
      </c>
      <c r="BM98">
        <f>C98*'Inputs-Imperial'!$E$12</f>
        <v>1.0399442590000001</v>
      </c>
      <c r="BN98">
        <f>C98*'Inputs-Imperial'!$E$12</f>
        <v>1.0399442590000001</v>
      </c>
      <c r="BO98">
        <f>C98*'Inputs-Imperial'!$E$12</f>
        <v>1.0399442590000001</v>
      </c>
      <c r="BP98">
        <f>C98*'Weight '!$E$15</f>
        <v>2.0798885180000002</v>
      </c>
      <c r="BQ98">
        <f>C98*'Weight '!$E$15</f>
        <v>2.0798885180000002</v>
      </c>
      <c r="BR98">
        <f>C98*'Weight '!$E$15</f>
        <v>2.0798885180000002</v>
      </c>
      <c r="BS98">
        <f t="shared" si="23"/>
        <v>5.1091702487938626</v>
      </c>
      <c r="BT98" s="564">
        <f t="shared" si="24"/>
        <v>2.6896739385434656</v>
      </c>
      <c r="BU98">
        <f t="shared" si="40"/>
        <v>1.8995500441814233</v>
      </c>
    </row>
    <row r="99" spans="1:73" x14ac:dyDescent="0.25">
      <c r="A99" s="186">
        <v>53</v>
      </c>
      <c r="B99" s="187">
        <f>A99/100*'Inputs-Imperial'!$E$5</f>
        <v>12.763123768</v>
      </c>
      <c r="C99" s="188">
        <f>'Inputs-Imperial'!$E$10+('Inputs-Imperial'!$E$9-'Inputs-Imperial'!$E$10)*(100-A99)/100</f>
        <v>4.1419784790000005</v>
      </c>
      <c r="D99" s="187">
        <f t="shared" si="25"/>
        <v>0.24081365600000026</v>
      </c>
      <c r="E99" s="188">
        <f t="shared" si="26"/>
        <v>0.99958804839265747</v>
      </c>
      <c r="F99" s="423">
        <f>Sizing!F113</f>
        <v>376.27334238657187</v>
      </c>
      <c r="G99" s="423">
        <f>Sizing!G113</f>
        <v>3762.733423865719</v>
      </c>
      <c r="H99" s="423">
        <f>Sizing!H113</f>
        <v>19524.8966555753</v>
      </c>
      <c r="I99" s="423">
        <f>Sizing!I113</f>
        <v>-7353.5137763143903</v>
      </c>
      <c r="J99" s="189">
        <f>Sizing!J113</f>
        <v>1952.4896655575305</v>
      </c>
      <c r="K99" s="128">
        <v>53</v>
      </c>
      <c r="L99" s="12">
        <f t="shared" si="5"/>
        <v>153.157485216</v>
      </c>
      <c r="M99" s="11">
        <f t="shared" si="5"/>
        <v>49.703741748000006</v>
      </c>
      <c r="N99" s="11">
        <f t="shared" si="5"/>
        <v>2.8897638720000032</v>
      </c>
      <c r="O99" s="152">
        <f t="shared" si="27"/>
        <v>143.94067896854267</v>
      </c>
      <c r="P99" s="8">
        <f t="shared" si="41"/>
        <v>8.9466735146400005</v>
      </c>
      <c r="Q99" s="12">
        <f t="shared" si="28"/>
        <v>25.909322214337685</v>
      </c>
      <c r="R99" s="8">
        <f t="shared" si="42"/>
        <v>4.4733367573200002</v>
      </c>
      <c r="S99" s="12">
        <f t="shared" si="29"/>
        <v>12.954661107168842</v>
      </c>
      <c r="T99" s="17">
        <f>Sizing!CN113</f>
        <v>1.5</v>
      </c>
      <c r="U99" s="17">
        <f>Sizing!CO113</f>
        <v>2.3622047244094495E-2</v>
      </c>
      <c r="V99" s="17">
        <f>Sizing!CP113</f>
        <v>1.5748031496062995E-2</v>
      </c>
      <c r="W99" s="128">
        <f t="shared" si="6"/>
        <v>3.0224609670856709E-3</v>
      </c>
      <c r="X99" s="2">
        <f t="shared" si="7"/>
        <v>4.3352757777304109E-3</v>
      </c>
      <c r="Y99" s="2">
        <f t="shared" si="8"/>
        <v>7.3577367448160822E-3</v>
      </c>
      <c r="Z99" s="216">
        <f t="shared" si="30"/>
        <v>0.44920632604311272</v>
      </c>
      <c r="AA99" s="138">
        <f t="shared" si="31"/>
        <v>0.64432041495501513</v>
      </c>
      <c r="AB99" s="17">
        <f t="shared" si="32"/>
        <v>1.093526740998128</v>
      </c>
      <c r="AC99" s="311">
        <f t="shared" si="33"/>
        <v>0.44146138938719698</v>
      </c>
      <c r="AD99" s="316">
        <f t="shared" si="34"/>
        <v>0.633211442283377</v>
      </c>
      <c r="AE99" s="21">
        <f t="shared" si="35"/>
        <v>1.074672831670574</v>
      </c>
      <c r="AF99" s="170">
        <f>Sizing!DU113</f>
        <v>0.85358264160295871</v>
      </c>
      <c r="AG99" s="170">
        <f>Sizing!DV113</f>
        <v>0.92389536290802909</v>
      </c>
      <c r="AH99" s="170">
        <f>Sizing!DW113</f>
        <v>0.85358264160295871</v>
      </c>
      <c r="AI99" s="272">
        <f>Sizing!DX113</f>
        <v>0.92389536290802909</v>
      </c>
      <c r="AJ99" s="216">
        <f>Sizing!GJ113</f>
        <v>0.5</v>
      </c>
      <c r="AK99" s="216">
        <f>Sizing!GK113</f>
        <v>3.1496062992125991E-2</v>
      </c>
      <c r="AL99" s="17">
        <f>Sizing!GL113</f>
        <v>3.1496062992125991E-2</v>
      </c>
      <c r="AM99" s="216">
        <f t="shared" si="9"/>
        <v>4.8359375473370735E-3</v>
      </c>
      <c r="AN99" s="138">
        <f t="shared" si="10"/>
        <v>1.4450919259101369E-3</v>
      </c>
      <c r="AO99" s="138">
        <f t="shared" si="11"/>
        <v>6.2810294732472101E-3</v>
      </c>
      <c r="AP99" s="311">
        <f t="shared" si="36"/>
        <v>0.12529586412237015</v>
      </c>
      <c r="AQ99" s="11">
        <f t="shared" si="37"/>
        <v>3.7441352337743539E-2</v>
      </c>
      <c r="AR99" s="21">
        <f t="shared" si="38"/>
        <v>0.16273721646011366</v>
      </c>
      <c r="AS99" s="11">
        <f t="shared" si="12"/>
        <v>0.15149291995635628</v>
      </c>
      <c r="AT99" s="21">
        <f t="shared" si="39"/>
        <v>0.15149291995635628</v>
      </c>
      <c r="AU99" s="170">
        <f>Sizing!JC113</f>
        <v>1.3798052057434758E-2</v>
      </c>
      <c r="AV99" s="272">
        <f>Sizing!JD113</f>
        <v>0.11746510995795627</v>
      </c>
      <c r="AW99" s="170">
        <f>Sizing!JC113</f>
        <v>1.3798052057434758E-2</v>
      </c>
      <c r="AX99" s="272">
        <f>Sizing!JD113</f>
        <v>0.11746510995795627</v>
      </c>
      <c r="AY99" s="216">
        <f>Sizing!IT113</f>
        <v>0.25</v>
      </c>
      <c r="AZ99" s="216">
        <f>Sizing!IU113</f>
        <v>1.5748031496062995E-2</v>
      </c>
      <c r="BA99" s="17">
        <f>Sizing!IV113</f>
        <v>1.5748031496062995E-2</v>
      </c>
      <c r="BB99" s="216">
        <f t="shared" si="13"/>
        <v>2.4179687736685367E-3</v>
      </c>
      <c r="BC99" s="138">
        <f t="shared" si="14"/>
        <v>7.2254596295506844E-4</v>
      </c>
      <c r="BD99" s="138">
        <f t="shared" si="15"/>
        <v>3.1405147366236051E-3</v>
      </c>
      <c r="BE99" s="311">
        <f t="shared" si="16"/>
        <v>3.1323966030592537E-2</v>
      </c>
      <c r="BF99" s="11">
        <f t="shared" si="17"/>
        <v>9.3603380844358847E-3</v>
      </c>
      <c r="BG99" s="21">
        <f t="shared" si="18"/>
        <v>4.0684304115028415E-2</v>
      </c>
      <c r="BH99" s="21">
        <f t="shared" si="19"/>
        <v>2.4488632898686581E-3</v>
      </c>
      <c r="BI99" s="21">
        <f t="shared" si="20"/>
        <v>2.4488632898686581E-3</v>
      </c>
      <c r="BJ99" s="561"/>
      <c r="BK99">
        <f t="shared" si="21"/>
        <v>2.0709892395000002</v>
      </c>
      <c r="BL99">
        <f t="shared" si="22"/>
        <v>2.0709892395000002</v>
      </c>
      <c r="BM99">
        <f>C99*'Inputs-Imperial'!$E$12</f>
        <v>1.0354946197500001</v>
      </c>
      <c r="BN99">
        <f>C99*'Inputs-Imperial'!$E$12</f>
        <v>1.0354946197500001</v>
      </c>
      <c r="BO99">
        <f>C99*'Inputs-Imperial'!$E$12</f>
        <v>1.0354946197500001</v>
      </c>
      <c r="BP99">
        <f>C99*'Weight '!$E$15</f>
        <v>2.0709892395000002</v>
      </c>
      <c r="BQ99">
        <f>C99*'Weight '!$E$15</f>
        <v>2.0709892395000002</v>
      </c>
      <c r="BR99">
        <f>C99*'Weight '!$E$15</f>
        <v>2.0709892395000002</v>
      </c>
      <c r="BS99">
        <f t="shared" si="23"/>
        <v>5.0669715983363872</v>
      </c>
      <c r="BT99" s="564">
        <f t="shared" si="24"/>
        <v>2.6795046597362941</v>
      </c>
      <c r="BU99">
        <f t="shared" si="40"/>
        <v>1.8910105567179936</v>
      </c>
    </row>
    <row r="100" spans="1:73" x14ac:dyDescent="0.25">
      <c r="A100" s="186">
        <v>54</v>
      </c>
      <c r="B100" s="187">
        <f>A100/100*'Inputs-Imperial'!$E$5</f>
        <v>13.003937424</v>
      </c>
      <c r="C100" s="188">
        <f>'Inputs-Imperial'!$E$10+('Inputs-Imperial'!$E$9-'Inputs-Imperial'!$E$10)*(100-A100)/100</f>
        <v>4.1241799220000006</v>
      </c>
      <c r="D100" s="187">
        <f t="shared" si="25"/>
        <v>0.24081365600000026</v>
      </c>
      <c r="E100" s="188">
        <f t="shared" si="26"/>
        <v>0.99530191280996338</v>
      </c>
      <c r="F100" s="423">
        <f>Sizing!F114</f>
        <v>366.26846617605088</v>
      </c>
      <c r="G100" s="423">
        <f>Sizing!G114</f>
        <v>3662.6846617605088</v>
      </c>
      <c r="H100" s="423">
        <f>Sizing!H114</f>
        <v>18618.779063220798</v>
      </c>
      <c r="I100" s="423">
        <f>Sizing!I114</f>
        <v>-7116.3450041804153</v>
      </c>
      <c r="J100" s="189">
        <f>Sizing!J114</f>
        <v>1861.8779063220802</v>
      </c>
      <c r="K100" s="128">
        <v>54</v>
      </c>
      <c r="L100" s="12">
        <f t="shared" si="5"/>
        <v>156.047249088</v>
      </c>
      <c r="M100" s="11">
        <f t="shared" si="5"/>
        <v>49.490159064000011</v>
      </c>
      <c r="N100" s="11">
        <f t="shared" si="5"/>
        <v>2.8897638720000032</v>
      </c>
      <c r="O100" s="152">
        <f t="shared" si="27"/>
        <v>143.32347544463474</v>
      </c>
      <c r="P100" s="8">
        <f t="shared" si="41"/>
        <v>8.9082286315200019</v>
      </c>
      <c r="Q100" s="12">
        <f t="shared" si="28"/>
        <v>25.798225580034245</v>
      </c>
      <c r="R100" s="8">
        <f t="shared" si="42"/>
        <v>4.4541143157600009</v>
      </c>
      <c r="S100" s="12">
        <f t="shared" si="29"/>
        <v>12.899112790017123</v>
      </c>
      <c r="T100" s="17">
        <f>Sizing!CN114</f>
        <v>1.5</v>
      </c>
      <c r="U100" s="17">
        <f>Sizing!CO114</f>
        <v>2.3622047244094495E-2</v>
      </c>
      <c r="V100" s="17">
        <f>Sizing!CP114</f>
        <v>1.5748031496062995E-2</v>
      </c>
      <c r="W100" s="128">
        <f t="shared" si="6"/>
        <v>3.0224609670856709E-3</v>
      </c>
      <c r="X100" s="2">
        <f t="shared" si="7"/>
        <v>4.3352757777304109E-3</v>
      </c>
      <c r="Y100" s="2">
        <f t="shared" si="8"/>
        <v>7.3577367448160822E-3</v>
      </c>
      <c r="Z100" s="216">
        <f t="shared" si="30"/>
        <v>0.44728017334338743</v>
      </c>
      <c r="AA100" s="138">
        <f t="shared" si="31"/>
        <v>0.64155763216500916</v>
      </c>
      <c r="AB100" s="17">
        <f t="shared" si="32"/>
        <v>1.0888378055083967</v>
      </c>
      <c r="AC100" s="311">
        <f t="shared" si="33"/>
        <v>0.43956844621677726</v>
      </c>
      <c r="AD100" s="316">
        <f t="shared" si="34"/>
        <v>0.63049629367940563</v>
      </c>
      <c r="AE100" s="21">
        <f t="shared" si="35"/>
        <v>1.0700647398961829</v>
      </c>
      <c r="AF100" s="170">
        <f>Sizing!DU114</f>
        <v>0.85358264160295871</v>
      </c>
      <c r="AG100" s="170">
        <f>Sizing!DV114</f>
        <v>0.92389536290802909</v>
      </c>
      <c r="AH100" s="170">
        <f>Sizing!DW114</f>
        <v>0.85358264160295871</v>
      </c>
      <c r="AI100" s="272">
        <f>Sizing!DX114</f>
        <v>0.92389536290802909</v>
      </c>
      <c r="AJ100" s="216">
        <f>Sizing!GJ114</f>
        <v>0.5</v>
      </c>
      <c r="AK100" s="216">
        <f>Sizing!GK114</f>
        <v>3.1496062992125991E-2</v>
      </c>
      <c r="AL100" s="17">
        <f>Sizing!GL114</f>
        <v>3.1496062992125991E-2</v>
      </c>
      <c r="AM100" s="216">
        <f t="shared" si="9"/>
        <v>4.8359375473370735E-3</v>
      </c>
      <c r="AN100" s="138">
        <f t="shared" si="10"/>
        <v>1.4450919259101369E-3</v>
      </c>
      <c r="AO100" s="138">
        <f t="shared" si="11"/>
        <v>6.2810294732472101E-3</v>
      </c>
      <c r="AP100" s="311">
        <f t="shared" si="36"/>
        <v>0.12475860773715935</v>
      </c>
      <c r="AQ100" s="11">
        <f t="shared" si="37"/>
        <v>3.7280807488515845E-2</v>
      </c>
      <c r="AR100" s="21">
        <f t="shared" si="38"/>
        <v>0.16203941522567519</v>
      </c>
      <c r="AS100" s="11">
        <f t="shared" si="12"/>
        <v>0.15149291995635628</v>
      </c>
      <c r="AT100" s="21">
        <f t="shared" si="39"/>
        <v>0.15149291995635628</v>
      </c>
      <c r="AU100" s="170">
        <f>Sizing!JC114</f>
        <v>1.3798052057434758E-2</v>
      </c>
      <c r="AV100" s="272">
        <f>Sizing!JD114</f>
        <v>0.11746510995795627</v>
      </c>
      <c r="AW100" s="170">
        <f>Sizing!JC114</f>
        <v>1.3798052057434758E-2</v>
      </c>
      <c r="AX100" s="272">
        <f>Sizing!JD114</f>
        <v>0.11746510995795627</v>
      </c>
      <c r="AY100" s="216">
        <f>Sizing!IT114</f>
        <v>0.25</v>
      </c>
      <c r="AZ100" s="216">
        <f>Sizing!IU114</f>
        <v>1.5748031496062995E-2</v>
      </c>
      <c r="BA100" s="17">
        <f>Sizing!IV114</f>
        <v>1.5748031496062995E-2</v>
      </c>
      <c r="BB100" s="216">
        <f t="shared" si="13"/>
        <v>2.4179687736685367E-3</v>
      </c>
      <c r="BC100" s="138">
        <f t="shared" si="14"/>
        <v>7.2254596295506844E-4</v>
      </c>
      <c r="BD100" s="138">
        <f t="shared" si="15"/>
        <v>3.1405147366236051E-3</v>
      </c>
      <c r="BE100" s="311">
        <f t="shared" si="16"/>
        <v>3.1189651934289839E-2</v>
      </c>
      <c r="BF100" s="11">
        <f t="shared" si="17"/>
        <v>9.3202018721289612E-3</v>
      </c>
      <c r="BG100" s="21">
        <f t="shared" si="18"/>
        <v>4.0509853806418798E-2</v>
      </c>
      <c r="BH100" s="21">
        <f t="shared" si="19"/>
        <v>2.4488632898686581E-3</v>
      </c>
      <c r="BI100" s="21">
        <f t="shared" si="20"/>
        <v>2.4488632898686581E-3</v>
      </c>
      <c r="BJ100" s="561"/>
      <c r="BK100">
        <f t="shared" si="21"/>
        <v>2.0620899610000003</v>
      </c>
      <c r="BL100">
        <f t="shared" si="22"/>
        <v>2.0620899610000003</v>
      </c>
      <c r="BM100">
        <f>C100*'Inputs-Imperial'!$E$12</f>
        <v>1.0310449805000002</v>
      </c>
      <c r="BN100">
        <f>C100*'Inputs-Imperial'!$E$12</f>
        <v>1.0310449805000002</v>
      </c>
      <c r="BO100">
        <f>C100*'Inputs-Imperial'!$E$12</f>
        <v>1.0310449805000002</v>
      </c>
      <c r="BP100">
        <f>C100*'Weight '!$E$15</f>
        <v>2.0620899610000003</v>
      </c>
      <c r="BQ100">
        <f>C100*'Weight '!$E$15</f>
        <v>2.0620899610000003</v>
      </c>
      <c r="BR100">
        <f>C100*'Weight '!$E$15</f>
        <v>2.0620899610000003</v>
      </c>
      <c r="BS100">
        <f t="shared" si="23"/>
        <v>5.0249477364398905</v>
      </c>
      <c r="BT100" s="564">
        <f t="shared" si="24"/>
        <v>2.6693353809291231</v>
      </c>
      <c r="BU100">
        <f t="shared" si="40"/>
        <v>1.8824714842279739</v>
      </c>
    </row>
    <row r="101" spans="1:73" x14ac:dyDescent="0.25">
      <c r="A101" s="186">
        <v>55</v>
      </c>
      <c r="B101" s="187">
        <f>A101/100*'Inputs-Imperial'!$E$5</f>
        <v>13.24475108</v>
      </c>
      <c r="C101" s="188">
        <f>'Inputs-Imperial'!$E$10+('Inputs-Imperial'!$E$9-'Inputs-Imperial'!$E$10)*(100-A101)/100</f>
        <v>4.1063813650000007</v>
      </c>
      <c r="D101" s="187">
        <f t="shared" si="25"/>
        <v>0.24081365600000026</v>
      </c>
      <c r="E101" s="188">
        <f t="shared" si="26"/>
        <v>0.99101577722726875</v>
      </c>
      <c r="F101" s="423">
        <f>Sizing!F115</f>
        <v>356.32384842986653</v>
      </c>
      <c r="G101" s="423">
        <f>Sizing!G115</f>
        <v>3563.2384842986648</v>
      </c>
      <c r="H101" s="423">
        <f>Sizing!H115</f>
        <v>17736.754579047127</v>
      </c>
      <c r="I101" s="423">
        <f>Sizing!I115</f>
        <v>-6882.0410242852031</v>
      </c>
      <c r="J101" s="189">
        <f>Sizing!J115</f>
        <v>1773.6754579047129</v>
      </c>
      <c r="K101" s="128">
        <v>55</v>
      </c>
      <c r="L101" s="12">
        <f t="shared" si="5"/>
        <v>158.93701296</v>
      </c>
      <c r="M101" s="11">
        <f t="shared" si="5"/>
        <v>49.276576380000009</v>
      </c>
      <c r="N101" s="11">
        <f t="shared" si="5"/>
        <v>2.8897638720000032</v>
      </c>
      <c r="O101" s="152">
        <f t="shared" si="27"/>
        <v>142.70627192072669</v>
      </c>
      <c r="P101" s="8">
        <f t="shared" si="41"/>
        <v>8.8697837484000015</v>
      </c>
      <c r="Q101" s="12">
        <f t="shared" si="28"/>
        <v>25.687128945730809</v>
      </c>
      <c r="R101" s="8">
        <f t="shared" si="42"/>
        <v>4.4348918742000007</v>
      </c>
      <c r="S101" s="12">
        <f t="shared" si="29"/>
        <v>12.843564472865404</v>
      </c>
      <c r="T101" s="17">
        <f>Sizing!CN115</f>
        <v>1.5</v>
      </c>
      <c r="U101" s="17">
        <f>Sizing!CO115</f>
        <v>2.3622047244094495E-2</v>
      </c>
      <c r="V101" s="17">
        <f>Sizing!CP115</f>
        <v>1.5748031496062995E-2</v>
      </c>
      <c r="W101" s="128">
        <f t="shared" si="6"/>
        <v>3.0224609670856709E-3</v>
      </c>
      <c r="X101" s="2">
        <f t="shared" si="7"/>
        <v>4.3352757777304109E-3</v>
      </c>
      <c r="Y101" s="2">
        <f t="shared" si="8"/>
        <v>7.3577367448160822E-3</v>
      </c>
      <c r="Z101" s="216">
        <f t="shared" si="30"/>
        <v>0.44535402064366186</v>
      </c>
      <c r="AA101" s="138">
        <f t="shared" si="31"/>
        <v>0.63879484937500286</v>
      </c>
      <c r="AB101" s="17">
        <f t="shared" si="32"/>
        <v>1.0841488700186648</v>
      </c>
      <c r="AC101" s="311">
        <f t="shared" si="33"/>
        <v>0.43767550304635733</v>
      </c>
      <c r="AD101" s="316">
        <f t="shared" si="34"/>
        <v>0.62778114507543381</v>
      </c>
      <c r="AE101" s="21">
        <f t="shared" si="35"/>
        <v>1.0654566481217913</v>
      </c>
      <c r="AF101" s="170">
        <f>Sizing!DU115</f>
        <v>0.85358264160295871</v>
      </c>
      <c r="AG101" s="170">
        <f>Sizing!DV115</f>
        <v>0.92389536290802909</v>
      </c>
      <c r="AH101" s="170">
        <f>Sizing!DW115</f>
        <v>0.85358264160295871</v>
      </c>
      <c r="AI101" s="272">
        <f>Sizing!DX115</f>
        <v>0.92389536290802909</v>
      </c>
      <c r="AJ101" s="216">
        <f>Sizing!GJ115</f>
        <v>0.5</v>
      </c>
      <c r="AK101" s="216">
        <f>Sizing!GK115</f>
        <v>3.1496062992125991E-2</v>
      </c>
      <c r="AL101" s="17">
        <f>Sizing!GL115</f>
        <v>3.1496062992125991E-2</v>
      </c>
      <c r="AM101" s="216">
        <f t="shared" si="9"/>
        <v>4.8359375473370735E-3</v>
      </c>
      <c r="AN101" s="138">
        <f t="shared" si="10"/>
        <v>1.4450919259101369E-3</v>
      </c>
      <c r="AO101" s="138">
        <f t="shared" si="11"/>
        <v>6.2810294732472101E-3</v>
      </c>
      <c r="AP101" s="311">
        <f t="shared" si="36"/>
        <v>0.12422135135194859</v>
      </c>
      <c r="AQ101" s="11">
        <f t="shared" si="37"/>
        <v>3.7120262639288158E-2</v>
      </c>
      <c r="AR101" s="21">
        <f t="shared" si="38"/>
        <v>0.16134161399123675</v>
      </c>
      <c r="AS101" s="11">
        <f t="shared" si="12"/>
        <v>0.15149291995635628</v>
      </c>
      <c r="AT101" s="21">
        <f t="shared" si="39"/>
        <v>0.15149291995635628</v>
      </c>
      <c r="AU101" s="170">
        <f>Sizing!JC115</f>
        <v>1.3798052057434758E-2</v>
      </c>
      <c r="AV101" s="272">
        <f>Sizing!JD115</f>
        <v>0.11746510995795627</v>
      </c>
      <c r="AW101" s="170">
        <f>Sizing!JC115</f>
        <v>1.3798052057434758E-2</v>
      </c>
      <c r="AX101" s="272">
        <f>Sizing!JD115</f>
        <v>0.11746510995795627</v>
      </c>
      <c r="AY101" s="216">
        <f>Sizing!IT115</f>
        <v>0.25</v>
      </c>
      <c r="AZ101" s="216">
        <f>Sizing!IU115</f>
        <v>1.5748031496062995E-2</v>
      </c>
      <c r="BA101" s="17">
        <f>Sizing!IV115</f>
        <v>1.5748031496062995E-2</v>
      </c>
      <c r="BB101" s="216">
        <f t="shared" si="13"/>
        <v>2.4179687736685367E-3</v>
      </c>
      <c r="BC101" s="138">
        <f t="shared" si="14"/>
        <v>7.2254596295506844E-4</v>
      </c>
      <c r="BD101" s="138">
        <f t="shared" si="15"/>
        <v>3.1405147366236051E-3</v>
      </c>
      <c r="BE101" s="311">
        <f t="shared" si="16"/>
        <v>3.1055337837987147E-2</v>
      </c>
      <c r="BF101" s="11">
        <f t="shared" si="17"/>
        <v>9.2800656598220396E-3</v>
      </c>
      <c r="BG101" s="21">
        <f t="shared" si="18"/>
        <v>4.0335403497809189E-2</v>
      </c>
      <c r="BH101" s="21">
        <f t="shared" si="19"/>
        <v>2.4488632898686581E-3</v>
      </c>
      <c r="BI101" s="21">
        <f t="shared" si="20"/>
        <v>2.4488632898686581E-3</v>
      </c>
      <c r="BJ101" s="561"/>
      <c r="BK101">
        <f t="shared" si="21"/>
        <v>2.0531906825000004</v>
      </c>
      <c r="BL101">
        <f t="shared" si="22"/>
        <v>2.0531906825000004</v>
      </c>
      <c r="BM101">
        <f>C101*'Inputs-Imperial'!$E$12</f>
        <v>1.0265953412500002</v>
      </c>
      <c r="BN101">
        <f>C101*'Inputs-Imperial'!$E$12</f>
        <v>1.0265953412500002</v>
      </c>
      <c r="BO101">
        <f>C101*'Inputs-Imperial'!$E$12</f>
        <v>1.0265953412500002</v>
      </c>
      <c r="BP101">
        <f>C101*'Weight '!$E$15</f>
        <v>2.0531906825000004</v>
      </c>
      <c r="BQ101">
        <f>C101*'Weight '!$E$15</f>
        <v>2.0531906825000004</v>
      </c>
      <c r="BR101">
        <f>C101*'Weight '!$E$15</f>
        <v>2.0531906825000004</v>
      </c>
      <c r="BS101">
        <f t="shared" si="23"/>
        <v>4.9830986631043688</v>
      </c>
      <c r="BT101" s="564">
        <f t="shared" si="24"/>
        <v>2.6591661021219517</v>
      </c>
      <c r="BU101">
        <f t="shared" si="40"/>
        <v>1.8739328314722326</v>
      </c>
    </row>
    <row r="102" spans="1:73" x14ac:dyDescent="0.25">
      <c r="A102" s="186">
        <v>56</v>
      </c>
      <c r="B102" s="187">
        <f>A102/100*'Inputs-Imperial'!$E$5</f>
        <v>13.485564736000001</v>
      </c>
      <c r="C102" s="188">
        <f>'Inputs-Imperial'!$E$10+('Inputs-Imperial'!$E$9-'Inputs-Imperial'!$E$10)*(100-A102)/100</f>
        <v>4.088582808</v>
      </c>
      <c r="D102" s="187">
        <f t="shared" si="25"/>
        <v>0.24081365600000026</v>
      </c>
      <c r="E102" s="188">
        <f t="shared" si="26"/>
        <v>0.98672964164457444</v>
      </c>
      <c r="F102" s="423">
        <f>Sizing!F116</f>
        <v>346.44053818624366</v>
      </c>
      <c r="G102" s="423">
        <f>Sizing!G116</f>
        <v>3464.4053818624361</v>
      </c>
      <c r="H102" s="423">
        <f>Sizing!H116</f>
        <v>16878.678092443264</v>
      </c>
      <c r="I102" s="423">
        <f>Sizing!I116</f>
        <v>-6650.6339203640673</v>
      </c>
      <c r="J102" s="189">
        <f>Sizing!J116</f>
        <v>1687.8678092443267</v>
      </c>
      <c r="K102" s="128">
        <v>56</v>
      </c>
      <c r="L102" s="12">
        <f t="shared" si="5"/>
        <v>161.82677683200001</v>
      </c>
      <c r="M102" s="11">
        <f t="shared" si="5"/>
        <v>49.062993695999999</v>
      </c>
      <c r="N102" s="11">
        <f t="shared" si="5"/>
        <v>2.8897638720000032</v>
      </c>
      <c r="O102" s="152">
        <f t="shared" si="27"/>
        <v>142.08906839681873</v>
      </c>
      <c r="P102" s="8">
        <f t="shared" si="41"/>
        <v>8.8313388652799993</v>
      </c>
      <c r="Q102" s="12">
        <f t="shared" si="28"/>
        <v>25.576032311427365</v>
      </c>
      <c r="R102" s="8">
        <f t="shared" si="42"/>
        <v>4.4156694326399997</v>
      </c>
      <c r="S102" s="12">
        <f t="shared" si="29"/>
        <v>12.788016155713683</v>
      </c>
      <c r="T102" s="17">
        <f>Sizing!CN116</f>
        <v>1.5</v>
      </c>
      <c r="U102" s="17">
        <f>Sizing!CO116</f>
        <v>2.3622047244094495E-2</v>
      </c>
      <c r="V102" s="17">
        <f>Sizing!CP116</f>
        <v>1.5748031496062995E-2</v>
      </c>
      <c r="W102" s="128">
        <f t="shared" si="6"/>
        <v>3.0224609670856709E-3</v>
      </c>
      <c r="X102" s="2">
        <f t="shared" si="7"/>
        <v>4.3352757777304109E-3</v>
      </c>
      <c r="Y102" s="2">
        <f t="shared" si="8"/>
        <v>7.3577367448160822E-3</v>
      </c>
      <c r="Z102" s="216">
        <f t="shared" si="30"/>
        <v>0.44342786794393652</v>
      </c>
      <c r="AA102" s="138">
        <f t="shared" si="31"/>
        <v>0.63603206658499678</v>
      </c>
      <c r="AB102" s="17">
        <f t="shared" si="32"/>
        <v>1.0794599345289333</v>
      </c>
      <c r="AC102" s="311">
        <f t="shared" si="33"/>
        <v>0.43578255987593756</v>
      </c>
      <c r="AD102" s="316">
        <f t="shared" si="34"/>
        <v>0.62506599647146233</v>
      </c>
      <c r="AE102" s="21">
        <f t="shared" si="35"/>
        <v>1.0608485563473999</v>
      </c>
      <c r="AF102" s="170">
        <f>Sizing!DU116</f>
        <v>0.85358264160295871</v>
      </c>
      <c r="AG102" s="170">
        <f>Sizing!DV116</f>
        <v>0.92389536290802909</v>
      </c>
      <c r="AH102" s="170">
        <f>Sizing!DW116</f>
        <v>0.85358264160295871</v>
      </c>
      <c r="AI102" s="272">
        <f>Sizing!DX116</f>
        <v>0.92389536290802909</v>
      </c>
      <c r="AJ102" s="216">
        <f>Sizing!GJ116</f>
        <v>0.5</v>
      </c>
      <c r="AK102" s="216">
        <f>Sizing!GK116</f>
        <v>3.1496062992125991E-2</v>
      </c>
      <c r="AL102" s="17">
        <f>Sizing!GL116</f>
        <v>3.1496062992125991E-2</v>
      </c>
      <c r="AM102" s="216">
        <f t="shared" si="9"/>
        <v>4.8359375473370735E-3</v>
      </c>
      <c r="AN102" s="138">
        <f t="shared" si="10"/>
        <v>1.4450919259101369E-3</v>
      </c>
      <c r="AO102" s="138">
        <f t="shared" si="11"/>
        <v>6.2810294732472101E-3</v>
      </c>
      <c r="AP102" s="311">
        <f t="shared" si="36"/>
        <v>0.1236840949667378</v>
      </c>
      <c r="AQ102" s="11">
        <f t="shared" si="37"/>
        <v>3.6959717790060465E-2</v>
      </c>
      <c r="AR102" s="21">
        <f t="shared" si="38"/>
        <v>0.16064381275679826</v>
      </c>
      <c r="AS102" s="11">
        <f t="shared" si="12"/>
        <v>0.15149291995635628</v>
      </c>
      <c r="AT102" s="21">
        <f t="shared" si="39"/>
        <v>0.15149291995635628</v>
      </c>
      <c r="AU102" s="170">
        <f>Sizing!JC116</f>
        <v>1.3798052057434758E-2</v>
      </c>
      <c r="AV102" s="272">
        <f>Sizing!JD116</f>
        <v>0.11746510995795627</v>
      </c>
      <c r="AW102" s="170">
        <f>Sizing!JC116</f>
        <v>1.3798052057434758E-2</v>
      </c>
      <c r="AX102" s="272">
        <f>Sizing!JD116</f>
        <v>0.11746510995795627</v>
      </c>
      <c r="AY102" s="216">
        <f>Sizing!IT116</f>
        <v>0.25</v>
      </c>
      <c r="AZ102" s="216">
        <f>Sizing!IU116</f>
        <v>1.5748031496062995E-2</v>
      </c>
      <c r="BA102" s="17">
        <f>Sizing!IV116</f>
        <v>1.5748031496062995E-2</v>
      </c>
      <c r="BB102" s="216">
        <f t="shared" si="13"/>
        <v>2.4179687736685367E-3</v>
      </c>
      <c r="BC102" s="138">
        <f t="shared" si="14"/>
        <v>7.2254596295506844E-4</v>
      </c>
      <c r="BD102" s="138">
        <f t="shared" si="15"/>
        <v>3.1405147366236051E-3</v>
      </c>
      <c r="BE102" s="311">
        <f t="shared" si="16"/>
        <v>3.0921023741684449E-2</v>
      </c>
      <c r="BF102" s="11">
        <f t="shared" si="17"/>
        <v>9.2399294475151161E-3</v>
      </c>
      <c r="BG102" s="21">
        <f t="shared" si="18"/>
        <v>4.0160953189199565E-2</v>
      </c>
      <c r="BH102" s="21">
        <f t="shared" si="19"/>
        <v>2.4488632898686581E-3</v>
      </c>
      <c r="BI102" s="21">
        <f t="shared" si="20"/>
        <v>2.4488632898686581E-3</v>
      </c>
      <c r="BJ102" s="561"/>
      <c r="BK102">
        <f t="shared" si="21"/>
        <v>2.044291404</v>
      </c>
      <c r="BL102">
        <f t="shared" si="22"/>
        <v>2.044291404</v>
      </c>
      <c r="BM102">
        <f>C102*'Inputs-Imperial'!$E$12</f>
        <v>1.022145702</v>
      </c>
      <c r="BN102">
        <f>C102*'Inputs-Imperial'!$E$12</f>
        <v>1.022145702</v>
      </c>
      <c r="BO102">
        <f>C102*'Inputs-Imperial'!$E$12</f>
        <v>1.022145702</v>
      </c>
      <c r="BP102">
        <f>C102*'Weight '!$E$15</f>
        <v>2.044291404</v>
      </c>
      <c r="BQ102">
        <f>C102*'Weight '!$E$15</f>
        <v>2.044291404</v>
      </c>
      <c r="BR102">
        <f>C102*'Weight '!$E$15</f>
        <v>2.044291404</v>
      </c>
      <c r="BS102">
        <f t="shared" si="23"/>
        <v>4.9414243783298204</v>
      </c>
      <c r="BT102" s="564">
        <f t="shared" si="24"/>
        <v>2.6489968233147811</v>
      </c>
      <c r="BU102">
        <f t="shared" si="40"/>
        <v>1.8653946032847428</v>
      </c>
    </row>
    <row r="103" spans="1:73" x14ac:dyDescent="0.25">
      <c r="A103" s="186">
        <v>57</v>
      </c>
      <c r="B103" s="187">
        <f>A103/100*'Inputs-Imperial'!$E$5</f>
        <v>13.726378391999997</v>
      </c>
      <c r="C103" s="188">
        <f>'Inputs-Imperial'!$E$10+('Inputs-Imperial'!$E$9-'Inputs-Imperial'!$E$10)*(100-A103)/100</f>
        <v>4.0707842510000001</v>
      </c>
      <c r="D103" s="187">
        <f t="shared" si="25"/>
        <v>0.24081365599999671</v>
      </c>
      <c r="E103" s="188">
        <f t="shared" si="26"/>
        <v>0.98244350606186559</v>
      </c>
      <c r="F103" s="423">
        <f>Sizing!F117</f>
        <v>336.61960961236065</v>
      </c>
      <c r="G103" s="423">
        <f>Sizing!G117</f>
        <v>3366.1960961236059</v>
      </c>
      <c r="H103" s="423">
        <f>Sizing!H117</f>
        <v>16044.401966570906</v>
      </c>
      <c r="I103" s="423">
        <f>Sizing!I117</f>
        <v>-6422.156037805079</v>
      </c>
      <c r="J103" s="189">
        <f>Sizing!J117</f>
        <v>1604.4401966570908</v>
      </c>
      <c r="K103" s="128">
        <v>57</v>
      </c>
      <c r="L103" s="12">
        <f t="shared" si="5"/>
        <v>164.71654070399995</v>
      </c>
      <c r="M103" s="11">
        <f t="shared" si="5"/>
        <v>48.849411012000004</v>
      </c>
      <c r="N103" s="11">
        <f t="shared" si="5"/>
        <v>2.8897638719999605</v>
      </c>
      <c r="O103" s="152">
        <f t="shared" si="27"/>
        <v>141.47186487290864</v>
      </c>
      <c r="P103" s="8">
        <f t="shared" si="41"/>
        <v>8.7928939821600007</v>
      </c>
      <c r="Q103" s="12">
        <f t="shared" si="28"/>
        <v>25.464935677123549</v>
      </c>
      <c r="R103" s="8">
        <f t="shared" si="42"/>
        <v>4.3964469910800004</v>
      </c>
      <c r="S103" s="12">
        <f t="shared" si="29"/>
        <v>12.732467838561774</v>
      </c>
      <c r="T103" s="17">
        <f>Sizing!CN117</f>
        <v>1.5</v>
      </c>
      <c r="U103" s="17">
        <f>Sizing!CO117</f>
        <v>2.3622047244094495E-2</v>
      </c>
      <c r="V103" s="17">
        <f>Sizing!CP117</f>
        <v>1.5748031496062995E-2</v>
      </c>
      <c r="W103" s="128">
        <f t="shared" si="6"/>
        <v>3.0224609670856709E-3</v>
      </c>
      <c r="X103" s="2">
        <f t="shared" si="7"/>
        <v>4.3352757777304109E-3</v>
      </c>
      <c r="Y103" s="2">
        <f t="shared" si="8"/>
        <v>7.3577367448160822E-3</v>
      </c>
      <c r="Z103" s="216">
        <f t="shared" si="30"/>
        <v>0.44150171524420451</v>
      </c>
      <c r="AA103" s="138">
        <f t="shared" si="31"/>
        <v>0.63326928379498126</v>
      </c>
      <c r="AB103" s="17">
        <f t="shared" si="32"/>
        <v>1.0747709990391858</v>
      </c>
      <c r="AC103" s="311">
        <f t="shared" si="33"/>
        <v>0.43388961670551135</v>
      </c>
      <c r="AD103" s="316">
        <f t="shared" si="34"/>
        <v>0.62235084786748152</v>
      </c>
      <c r="AE103" s="21">
        <f t="shared" si="35"/>
        <v>1.056240464572993</v>
      </c>
      <c r="AF103" s="170">
        <f>Sizing!DU117</f>
        <v>0.85358264160295871</v>
      </c>
      <c r="AG103" s="170">
        <f>Sizing!DV117</f>
        <v>0.92389536290802909</v>
      </c>
      <c r="AH103" s="170">
        <f>Sizing!DW117</f>
        <v>0.85358264160295871</v>
      </c>
      <c r="AI103" s="272">
        <f>Sizing!DX117</f>
        <v>0.92389536290802909</v>
      </c>
      <c r="AJ103" s="216">
        <f>Sizing!GJ117</f>
        <v>0.5</v>
      </c>
      <c r="AK103" s="216">
        <f>Sizing!GK117</f>
        <v>3.1496062992125991E-2</v>
      </c>
      <c r="AL103" s="17">
        <f>Sizing!GL117</f>
        <v>3.1496062992125991E-2</v>
      </c>
      <c r="AM103" s="216">
        <f t="shared" si="9"/>
        <v>4.8359375473370735E-3</v>
      </c>
      <c r="AN103" s="138">
        <f t="shared" si="10"/>
        <v>1.4450919259101369E-3</v>
      </c>
      <c r="AO103" s="138">
        <f t="shared" si="11"/>
        <v>6.2810294732472101E-3</v>
      </c>
      <c r="AP103" s="311">
        <f t="shared" si="36"/>
        <v>0.1231468385815252</v>
      </c>
      <c r="AQ103" s="11">
        <f t="shared" si="37"/>
        <v>3.6799172940832223E-2</v>
      </c>
      <c r="AR103" s="21">
        <f t="shared" si="38"/>
        <v>0.15994601152235741</v>
      </c>
      <c r="AS103" s="11">
        <f t="shared" si="12"/>
        <v>0.15149291995635408</v>
      </c>
      <c r="AT103" s="21">
        <f t="shared" si="39"/>
        <v>0.15149291995635408</v>
      </c>
      <c r="AU103" s="170">
        <f>Sizing!JC117</f>
        <v>1.3798052057434758E-2</v>
      </c>
      <c r="AV103" s="272">
        <f>Sizing!JD117</f>
        <v>0.11746510995795627</v>
      </c>
      <c r="AW103" s="170">
        <f>Sizing!JC117</f>
        <v>1.3798052057434758E-2</v>
      </c>
      <c r="AX103" s="272">
        <f>Sizing!JD117</f>
        <v>0.11746510995795627</v>
      </c>
      <c r="AY103" s="216">
        <f>Sizing!IT117</f>
        <v>0.25</v>
      </c>
      <c r="AZ103" s="216">
        <f>Sizing!IU117</f>
        <v>1.5748031496062995E-2</v>
      </c>
      <c r="BA103" s="17">
        <f>Sizing!IV117</f>
        <v>1.5748031496062995E-2</v>
      </c>
      <c r="BB103" s="216">
        <f t="shared" si="13"/>
        <v>2.4179687736685367E-3</v>
      </c>
      <c r="BC103" s="138">
        <f t="shared" si="14"/>
        <v>7.2254596295506844E-4</v>
      </c>
      <c r="BD103" s="138">
        <f t="shared" si="15"/>
        <v>3.1405147366236051E-3</v>
      </c>
      <c r="BE103" s="311">
        <f t="shared" si="16"/>
        <v>3.0786709645381299E-2</v>
      </c>
      <c r="BF103" s="11">
        <f t="shared" si="17"/>
        <v>9.1997932352080557E-3</v>
      </c>
      <c r="BG103" s="21">
        <f t="shared" si="18"/>
        <v>3.9986502880589352E-2</v>
      </c>
      <c r="BH103" s="21">
        <f t="shared" si="19"/>
        <v>2.4488632898686221E-3</v>
      </c>
      <c r="BI103" s="21">
        <f t="shared" si="20"/>
        <v>2.4488632898686221E-3</v>
      </c>
      <c r="BJ103" s="561"/>
      <c r="BK103">
        <f t="shared" si="21"/>
        <v>2.0353921255</v>
      </c>
      <c r="BL103">
        <f t="shared" si="22"/>
        <v>2.0353921255</v>
      </c>
      <c r="BM103">
        <f>C103*'Inputs-Imperial'!$E$12</f>
        <v>1.01769606275</v>
      </c>
      <c r="BN103">
        <f>C103*'Inputs-Imperial'!$E$12</f>
        <v>1.01769606275</v>
      </c>
      <c r="BO103">
        <f>C103*'Inputs-Imperial'!$E$12</f>
        <v>1.01769606275</v>
      </c>
      <c r="BP103">
        <f>C103*'Weight '!$E$15</f>
        <v>2.0353921255</v>
      </c>
      <c r="BQ103">
        <f>C103*'Weight '!$E$15</f>
        <v>2.0353921255</v>
      </c>
      <c r="BR103">
        <f>C103*'Weight '!$E$15</f>
        <v>2.0353921255</v>
      </c>
      <c r="BS103">
        <f t="shared" si="23"/>
        <v>4.8999248821161769</v>
      </c>
      <c r="BT103" s="564">
        <f t="shared" si="24"/>
        <v>2.6388275445075711</v>
      </c>
      <c r="BU103">
        <f t="shared" si="40"/>
        <v>1.8568568045739977</v>
      </c>
    </row>
    <row r="104" spans="1:73" x14ac:dyDescent="0.25">
      <c r="A104" s="186">
        <v>58</v>
      </c>
      <c r="B104" s="187">
        <f>A104/100*'Inputs-Imperial'!$E$5</f>
        <v>13.967192047999998</v>
      </c>
      <c r="C104" s="188">
        <f>'Inputs-Imperial'!$E$10+('Inputs-Imperial'!$E$9-'Inputs-Imperial'!$E$10)*(100-A104)/100</f>
        <v>4.0529856940000002</v>
      </c>
      <c r="D104" s="187">
        <f t="shared" si="25"/>
        <v>0.24081365600000026</v>
      </c>
      <c r="E104" s="188">
        <f t="shared" si="26"/>
        <v>0.9781573704791855</v>
      </c>
      <c r="F104" s="423">
        <f>Sizing!F118</f>
        <v>326.86216350946569</v>
      </c>
      <c r="G104" s="423">
        <f>Sizing!G118</f>
        <v>3268.6216350946565</v>
      </c>
      <c r="H104" s="423">
        <f>Sizing!H118</f>
        <v>15233.775977850451</v>
      </c>
      <c r="I104" s="423">
        <f>Sizing!I118</f>
        <v>-6196.6400079107225</v>
      </c>
      <c r="J104" s="189">
        <f>Sizing!J118</f>
        <v>1523.3775977850455</v>
      </c>
      <c r="K104" s="128">
        <v>58</v>
      </c>
      <c r="L104" s="12">
        <f t="shared" si="5"/>
        <v>167.60630457599996</v>
      </c>
      <c r="M104" s="11">
        <f t="shared" si="5"/>
        <v>48.635828328000002</v>
      </c>
      <c r="N104" s="11">
        <f t="shared" si="5"/>
        <v>2.8897638720000032</v>
      </c>
      <c r="O104" s="152">
        <f t="shared" si="27"/>
        <v>140.8546613490027</v>
      </c>
      <c r="P104" s="8">
        <f t="shared" si="41"/>
        <v>8.7544490990400003</v>
      </c>
      <c r="Q104" s="12">
        <f t="shared" si="28"/>
        <v>25.353839042820489</v>
      </c>
      <c r="R104" s="8">
        <f t="shared" si="42"/>
        <v>4.3772245495200002</v>
      </c>
      <c r="S104" s="12">
        <f t="shared" si="29"/>
        <v>12.676919521410245</v>
      </c>
      <c r="T104" s="17">
        <f>Sizing!CN118</f>
        <v>1.5</v>
      </c>
      <c r="U104" s="17">
        <f>Sizing!CO118</f>
        <v>2.3622047244094495E-2</v>
      </c>
      <c r="V104" s="17">
        <f>Sizing!CP118</f>
        <v>1.5748031496062995E-2</v>
      </c>
      <c r="W104" s="128">
        <f t="shared" si="6"/>
        <v>3.0224609670856709E-3</v>
      </c>
      <c r="X104" s="2">
        <f t="shared" si="7"/>
        <v>4.3352757777304109E-3</v>
      </c>
      <c r="Y104" s="2">
        <f t="shared" si="8"/>
        <v>7.3577367448160822E-3</v>
      </c>
      <c r="Z104" s="216">
        <f t="shared" si="30"/>
        <v>0.43957556254448543</v>
      </c>
      <c r="AA104" s="138">
        <f t="shared" si="31"/>
        <v>0.63050650100498418</v>
      </c>
      <c r="AB104" s="17">
        <f t="shared" si="32"/>
        <v>1.0700820635494697</v>
      </c>
      <c r="AC104" s="311">
        <f t="shared" si="33"/>
        <v>0.43199667353509774</v>
      </c>
      <c r="AD104" s="316">
        <f t="shared" si="34"/>
        <v>0.61963569926351891</v>
      </c>
      <c r="AE104" s="21">
        <f t="shared" si="35"/>
        <v>1.0516323727986168</v>
      </c>
      <c r="AF104" s="170">
        <f>Sizing!DU118</f>
        <v>0.85358264160295871</v>
      </c>
      <c r="AG104" s="170">
        <f>Sizing!DV118</f>
        <v>0.92389536290802909</v>
      </c>
      <c r="AH104" s="170">
        <f>Sizing!DW118</f>
        <v>0.85358264160295871</v>
      </c>
      <c r="AI104" s="272">
        <f>Sizing!DX118</f>
        <v>0.92389536290802909</v>
      </c>
      <c r="AJ104" s="216">
        <f>Sizing!GJ118</f>
        <v>0.5</v>
      </c>
      <c r="AK104" s="216">
        <f>Sizing!GK118</f>
        <v>3.1496062992125991E-2</v>
      </c>
      <c r="AL104" s="17">
        <f>Sizing!GL118</f>
        <v>3.1496062992125991E-2</v>
      </c>
      <c r="AM104" s="216">
        <f t="shared" si="9"/>
        <v>4.8359375473370735E-3</v>
      </c>
      <c r="AN104" s="138">
        <f t="shared" si="10"/>
        <v>1.4450919259101369E-3</v>
      </c>
      <c r="AO104" s="138">
        <f t="shared" si="11"/>
        <v>6.2810294732472101E-3</v>
      </c>
      <c r="AP104" s="311">
        <f t="shared" si="36"/>
        <v>0.12260958219631625</v>
      </c>
      <c r="AQ104" s="11">
        <f t="shared" si="37"/>
        <v>3.6638628091605084E-2</v>
      </c>
      <c r="AR104" s="21">
        <f t="shared" si="38"/>
        <v>0.15924821028792133</v>
      </c>
      <c r="AS104" s="11">
        <f t="shared" si="12"/>
        <v>0.15149291995635628</v>
      </c>
      <c r="AT104" s="21">
        <f t="shared" si="39"/>
        <v>0.15149291995635628</v>
      </c>
      <c r="AU104" s="170">
        <f>Sizing!JC118</f>
        <v>1.3798052057434758E-2</v>
      </c>
      <c r="AV104" s="272">
        <f>Sizing!JD118</f>
        <v>0.11746510995795627</v>
      </c>
      <c r="AW104" s="170">
        <f>Sizing!JC118</f>
        <v>1.3798052057434758E-2</v>
      </c>
      <c r="AX104" s="272">
        <f>Sizing!JD118</f>
        <v>0.11746510995795627</v>
      </c>
      <c r="AY104" s="216">
        <f>Sizing!IT118</f>
        <v>0.25</v>
      </c>
      <c r="AZ104" s="216">
        <f>Sizing!IU118</f>
        <v>1.5748031496062995E-2</v>
      </c>
      <c r="BA104" s="17">
        <f>Sizing!IV118</f>
        <v>1.5748031496062995E-2</v>
      </c>
      <c r="BB104" s="216">
        <f t="shared" si="13"/>
        <v>2.4179687736685367E-3</v>
      </c>
      <c r="BC104" s="138">
        <f t="shared" si="14"/>
        <v>7.2254596295506844E-4</v>
      </c>
      <c r="BD104" s="138">
        <f t="shared" si="15"/>
        <v>3.1405147366236051E-3</v>
      </c>
      <c r="BE104" s="311">
        <f t="shared" si="16"/>
        <v>3.0652395549079062E-2</v>
      </c>
      <c r="BF104" s="11">
        <f t="shared" si="17"/>
        <v>9.159657022901271E-3</v>
      </c>
      <c r="BG104" s="21">
        <f t="shared" si="18"/>
        <v>3.9812052571980332E-2</v>
      </c>
      <c r="BH104" s="21">
        <f t="shared" si="19"/>
        <v>2.4488632898686581E-3</v>
      </c>
      <c r="BI104" s="21">
        <f t="shared" si="20"/>
        <v>2.4488632898686581E-3</v>
      </c>
      <c r="BJ104" s="561"/>
      <c r="BK104">
        <f t="shared" si="21"/>
        <v>2.0264928470000001</v>
      </c>
      <c r="BL104">
        <f t="shared" si="22"/>
        <v>2.0264928470000001</v>
      </c>
      <c r="BM104">
        <f>C104*'Inputs-Imperial'!$E$12</f>
        <v>1.0132464235</v>
      </c>
      <c r="BN104">
        <f>C104*'Inputs-Imperial'!$E$12</f>
        <v>1.0132464235</v>
      </c>
      <c r="BO104">
        <f>C104*'Inputs-Imperial'!$E$12</f>
        <v>1.0132464235</v>
      </c>
      <c r="BP104">
        <f>C104*'Weight '!$E$15</f>
        <v>2.0264928470000001</v>
      </c>
      <c r="BQ104">
        <f>C104*'Weight '!$E$15</f>
        <v>2.0264928470000001</v>
      </c>
      <c r="BR104">
        <f>C104*'Weight '!$E$15</f>
        <v>2.0264928470000001</v>
      </c>
      <c r="BS104">
        <f t="shared" si="23"/>
        <v>4.8586001744636516</v>
      </c>
      <c r="BT104" s="564">
        <f t="shared" si="24"/>
        <v>2.6286582657004378</v>
      </c>
      <c r="BU104">
        <f t="shared" si="40"/>
        <v>1.8483194403244421</v>
      </c>
    </row>
    <row r="105" spans="1:73" x14ac:dyDescent="0.25">
      <c r="A105" s="186">
        <v>59</v>
      </c>
      <c r="B105" s="187">
        <f>A105/100*'Inputs-Imperial'!$E$5</f>
        <v>14.208005703999998</v>
      </c>
      <c r="C105" s="188">
        <f>'Inputs-Imperial'!$E$10+('Inputs-Imperial'!$E$9-'Inputs-Imperial'!$E$10)*(100-A105)/100</f>
        <v>4.0351871370000003</v>
      </c>
      <c r="D105" s="187">
        <f t="shared" si="25"/>
        <v>0.24081365600000026</v>
      </c>
      <c r="E105" s="188">
        <f t="shared" si="26"/>
        <v>0.9738712348964913</v>
      </c>
      <c r="F105" s="423">
        <f>Sizing!F119</f>
        <v>317.16932893861832</v>
      </c>
      <c r="G105" s="423">
        <f>Sizing!G119</f>
        <v>3171.6932893861831</v>
      </c>
      <c r="H105" s="423">
        <f>Sizing!H119</f>
        <v>14446.647251822609</v>
      </c>
      <c r="I105" s="423">
        <f>Sizing!I119</f>
        <v>-5974.1187741590966</v>
      </c>
      <c r="J105" s="189">
        <f>Sizing!J119</f>
        <v>1444.6647251822612</v>
      </c>
      <c r="K105" s="128">
        <v>59</v>
      </c>
      <c r="L105" s="12">
        <f t="shared" si="5"/>
        <v>170.49606844799996</v>
      </c>
      <c r="M105" s="11">
        <f t="shared" si="5"/>
        <v>48.422245644</v>
      </c>
      <c r="N105" s="11">
        <f t="shared" si="5"/>
        <v>2.8897638720000032</v>
      </c>
      <c r="O105" s="152">
        <f t="shared" si="27"/>
        <v>140.23745782509474</v>
      </c>
      <c r="P105" s="8">
        <f t="shared" si="41"/>
        <v>8.71600421592</v>
      </c>
      <c r="Q105" s="12">
        <f t="shared" si="28"/>
        <v>25.242742408517049</v>
      </c>
      <c r="R105" s="8">
        <f t="shared" si="42"/>
        <v>4.35800210796</v>
      </c>
      <c r="S105" s="12">
        <f t="shared" si="29"/>
        <v>12.621371204258525</v>
      </c>
      <c r="T105" s="17">
        <f>Sizing!CN119</f>
        <v>1.5</v>
      </c>
      <c r="U105" s="17">
        <f>Sizing!CO119</f>
        <v>2.3622047244094495E-2</v>
      </c>
      <c r="V105" s="17">
        <f>Sizing!CP119</f>
        <v>1.5748031496062995E-2</v>
      </c>
      <c r="W105" s="128">
        <f t="shared" si="6"/>
        <v>3.0224609670856709E-3</v>
      </c>
      <c r="X105" s="2">
        <f t="shared" si="7"/>
        <v>4.3352757777304109E-3</v>
      </c>
      <c r="Y105" s="2">
        <f t="shared" si="8"/>
        <v>7.3577367448160822E-3</v>
      </c>
      <c r="Z105" s="216">
        <f t="shared" si="30"/>
        <v>0.43764940984476014</v>
      </c>
      <c r="AA105" s="138">
        <f t="shared" si="31"/>
        <v>0.62774371821497821</v>
      </c>
      <c r="AB105" s="17">
        <f t="shared" si="32"/>
        <v>1.0653931280597384</v>
      </c>
      <c r="AC105" s="311">
        <f t="shared" si="33"/>
        <v>0.43010373036467803</v>
      </c>
      <c r="AD105" s="316">
        <f t="shared" si="34"/>
        <v>0.61692055065954754</v>
      </c>
      <c r="AE105" s="21">
        <f t="shared" si="35"/>
        <v>1.0470242810242256</v>
      </c>
      <c r="AF105" s="170">
        <f>Sizing!DU119</f>
        <v>0.85358264160295871</v>
      </c>
      <c r="AG105" s="170">
        <f>Sizing!DV119</f>
        <v>0.92389536290802909</v>
      </c>
      <c r="AH105" s="170">
        <f>Sizing!DW119</f>
        <v>0.85358264160295871</v>
      </c>
      <c r="AI105" s="272">
        <f>Sizing!DX119</f>
        <v>0.92389536290802909</v>
      </c>
      <c r="AJ105" s="216">
        <f>Sizing!GJ119</f>
        <v>0.5</v>
      </c>
      <c r="AK105" s="216">
        <f>Sizing!GK119</f>
        <v>3.1496062992125991E-2</v>
      </c>
      <c r="AL105" s="17">
        <f>Sizing!GL119</f>
        <v>3.1496062992125991E-2</v>
      </c>
      <c r="AM105" s="216">
        <f t="shared" si="9"/>
        <v>4.8359375473370735E-3</v>
      </c>
      <c r="AN105" s="138">
        <f t="shared" si="10"/>
        <v>1.4450919259101369E-3</v>
      </c>
      <c r="AO105" s="138">
        <f t="shared" si="11"/>
        <v>6.2810294732472101E-3</v>
      </c>
      <c r="AP105" s="311">
        <f t="shared" si="36"/>
        <v>0.12207232581110547</v>
      </c>
      <c r="AQ105" s="11">
        <f t="shared" si="37"/>
        <v>3.647808324237739E-2</v>
      </c>
      <c r="AR105" s="21">
        <f t="shared" si="38"/>
        <v>0.15855040905348286</v>
      </c>
      <c r="AS105" s="11">
        <f t="shared" si="12"/>
        <v>0.15149291995635628</v>
      </c>
      <c r="AT105" s="21">
        <f t="shared" si="39"/>
        <v>0.15149291995635628</v>
      </c>
      <c r="AU105" s="170">
        <f>Sizing!JC119</f>
        <v>1.3798052057434758E-2</v>
      </c>
      <c r="AV105" s="272">
        <f>Sizing!JD119</f>
        <v>0.11746510995795627</v>
      </c>
      <c r="AW105" s="170">
        <f>Sizing!JC119</f>
        <v>1.3798052057434758E-2</v>
      </c>
      <c r="AX105" s="272">
        <f>Sizing!JD119</f>
        <v>0.11746510995795627</v>
      </c>
      <c r="AY105" s="216">
        <f>Sizing!IT119</f>
        <v>0.25</v>
      </c>
      <c r="AZ105" s="216">
        <f>Sizing!IU119</f>
        <v>1.5748031496062995E-2</v>
      </c>
      <c r="BA105" s="17">
        <f>Sizing!IV119</f>
        <v>1.5748031496062995E-2</v>
      </c>
      <c r="BB105" s="216">
        <f t="shared" si="13"/>
        <v>2.4179687736685367E-3</v>
      </c>
      <c r="BC105" s="138">
        <f t="shared" si="14"/>
        <v>7.2254596295506844E-4</v>
      </c>
      <c r="BD105" s="138">
        <f t="shared" si="15"/>
        <v>3.1405147366236051E-3</v>
      </c>
      <c r="BE105" s="311">
        <f t="shared" si="16"/>
        <v>3.0518081452776367E-2</v>
      </c>
      <c r="BF105" s="11">
        <f t="shared" si="17"/>
        <v>9.1195208105943476E-3</v>
      </c>
      <c r="BG105" s="21">
        <f t="shared" si="18"/>
        <v>3.9637602263370715E-2</v>
      </c>
      <c r="BH105" s="21">
        <f t="shared" si="19"/>
        <v>2.4488632898686581E-3</v>
      </c>
      <c r="BI105" s="21">
        <f t="shared" si="20"/>
        <v>2.4488632898686581E-3</v>
      </c>
      <c r="BJ105" s="561"/>
      <c r="BK105">
        <f t="shared" si="21"/>
        <v>2.0175935685000002</v>
      </c>
      <c r="BL105">
        <f t="shared" si="22"/>
        <v>2.0175935685000002</v>
      </c>
      <c r="BM105">
        <f>C105*'Inputs-Imperial'!$E$12</f>
        <v>1.0087967842500001</v>
      </c>
      <c r="BN105">
        <f>C105*'Inputs-Imperial'!$E$12</f>
        <v>1.0087967842500001</v>
      </c>
      <c r="BO105">
        <f>C105*'Inputs-Imperial'!$E$12</f>
        <v>1.0087967842500001</v>
      </c>
      <c r="BP105">
        <f>C105*'Weight '!$E$15</f>
        <v>2.0175935685000002</v>
      </c>
      <c r="BQ105">
        <f>C105*'Weight '!$E$15</f>
        <v>2.0175935685000002</v>
      </c>
      <c r="BR105">
        <f>C105*'Weight '!$E$15</f>
        <v>2.0175935685000002</v>
      </c>
      <c r="BS105">
        <f t="shared" si="23"/>
        <v>4.8174502553720311</v>
      </c>
      <c r="BT105" s="564">
        <f t="shared" si="24"/>
        <v>2.6184889868932673</v>
      </c>
      <c r="BU105">
        <f t="shared" si="40"/>
        <v>1.8397825155979532</v>
      </c>
    </row>
    <row r="106" spans="1:73" x14ac:dyDescent="0.25">
      <c r="A106" s="186">
        <v>60</v>
      </c>
      <c r="B106" s="187">
        <f>A106/100*'Inputs-Imperial'!$E$5</f>
        <v>14.448819359999998</v>
      </c>
      <c r="C106" s="188">
        <f>'Inputs-Imperial'!$E$10+('Inputs-Imperial'!$E$9-'Inputs-Imperial'!$E$10)*(100-A106)/100</f>
        <v>4.0173885800000004</v>
      </c>
      <c r="D106" s="187">
        <f t="shared" si="25"/>
        <v>0.24081365600000026</v>
      </c>
      <c r="E106" s="188">
        <f t="shared" si="26"/>
        <v>0.96958509931379677</v>
      </c>
      <c r="F106" s="423">
        <f>Sizing!F120</f>
        <v>307.54226498016192</v>
      </c>
      <c r="G106" s="423">
        <f>Sizing!G120</f>
        <v>3075.4226498016187</v>
      </c>
      <c r="H106" s="423">
        <f>Sizing!H120</f>
        <v>13682.860195094856</v>
      </c>
      <c r="I106" s="423">
        <f>Sizing!I120</f>
        <v>-5754.625620691304</v>
      </c>
      <c r="J106" s="189">
        <f>Sizing!J120</f>
        <v>1368.2860195094859</v>
      </c>
      <c r="K106" s="128">
        <v>60</v>
      </c>
      <c r="L106" s="12">
        <f t="shared" si="5"/>
        <v>173.38583231999996</v>
      </c>
      <c r="M106" s="11">
        <f t="shared" si="5"/>
        <v>48.208662960000005</v>
      </c>
      <c r="N106" s="11">
        <f t="shared" si="5"/>
        <v>2.8897638720000032</v>
      </c>
      <c r="O106" s="152">
        <f t="shared" si="27"/>
        <v>139.62025430118675</v>
      </c>
      <c r="P106" s="8">
        <f t="shared" si="41"/>
        <v>8.6775593328000014</v>
      </c>
      <c r="Q106" s="12">
        <f t="shared" si="28"/>
        <v>25.131645774213617</v>
      </c>
      <c r="R106" s="8">
        <f t="shared" si="42"/>
        <v>4.3387796664000007</v>
      </c>
      <c r="S106" s="12">
        <f t="shared" si="29"/>
        <v>12.565822887106808</v>
      </c>
      <c r="T106" s="17">
        <f>Sizing!CN120</f>
        <v>1.5</v>
      </c>
      <c r="U106" s="17">
        <f>Sizing!CO120</f>
        <v>2.3622047244094495E-2</v>
      </c>
      <c r="V106" s="17">
        <f>Sizing!CP120</f>
        <v>1.5748031496062995E-2</v>
      </c>
      <c r="W106" s="128">
        <f t="shared" si="6"/>
        <v>3.0224609670856709E-3</v>
      </c>
      <c r="X106" s="2">
        <f t="shared" si="7"/>
        <v>4.3352757777304109E-3</v>
      </c>
      <c r="Y106" s="2">
        <f t="shared" si="8"/>
        <v>7.3577367448160822E-3</v>
      </c>
      <c r="Z106" s="216">
        <f t="shared" si="30"/>
        <v>0.43572325714503468</v>
      </c>
      <c r="AA106" s="138">
        <f t="shared" si="31"/>
        <v>0.62498093542497202</v>
      </c>
      <c r="AB106" s="17">
        <f t="shared" si="32"/>
        <v>1.0607041925700067</v>
      </c>
      <c r="AC106" s="311">
        <f t="shared" si="33"/>
        <v>0.4282107871942582</v>
      </c>
      <c r="AD106" s="316">
        <f t="shared" si="34"/>
        <v>0.61420540205557583</v>
      </c>
      <c r="AE106" s="21">
        <f t="shared" si="35"/>
        <v>1.042416189249834</v>
      </c>
      <c r="AF106" s="170">
        <f>Sizing!DU120</f>
        <v>0.53422373583376614</v>
      </c>
      <c r="AG106" s="170">
        <f>Sizing!DV120</f>
        <v>0.73090610603125084</v>
      </c>
      <c r="AH106" s="170">
        <f>Sizing!DW120</f>
        <v>0.53422373583376614</v>
      </c>
      <c r="AI106" s="272">
        <f>Sizing!DX120</f>
        <v>0.73090610603125084</v>
      </c>
      <c r="AJ106" s="216">
        <f>Sizing!GJ120</f>
        <v>0.5</v>
      </c>
      <c r="AK106" s="216">
        <f>Sizing!GK120</f>
        <v>3.1496062992125991E-2</v>
      </c>
      <c r="AL106" s="17">
        <f>Sizing!GL120</f>
        <v>3.1496062992125991E-2</v>
      </c>
      <c r="AM106" s="216">
        <f t="shared" si="9"/>
        <v>4.8359375473370735E-3</v>
      </c>
      <c r="AN106" s="138">
        <f t="shared" si="10"/>
        <v>1.4450919259101369E-3</v>
      </c>
      <c r="AO106" s="138">
        <f t="shared" si="11"/>
        <v>6.2810294732472101E-3</v>
      </c>
      <c r="AP106" s="311">
        <f t="shared" si="36"/>
        <v>0.12153506942589472</v>
      </c>
      <c r="AQ106" s="11">
        <f t="shared" si="37"/>
        <v>3.6317538393149711E-2</v>
      </c>
      <c r="AR106" s="21">
        <f t="shared" si="38"/>
        <v>0.15785260781904442</v>
      </c>
      <c r="AS106" s="11">
        <f t="shared" si="12"/>
        <v>9.4813448290687261E-2</v>
      </c>
      <c r="AT106" s="21">
        <f t="shared" si="39"/>
        <v>9.4813448290687261E-2</v>
      </c>
      <c r="AU106" s="170">
        <f>Sizing!JC120</f>
        <v>8.8060777215215446E-3</v>
      </c>
      <c r="AV106" s="272">
        <f>Sizing!JD120</f>
        <v>9.3840703969660974E-2</v>
      </c>
      <c r="AW106" s="170">
        <f>Sizing!JC120</f>
        <v>8.8060777215215446E-3</v>
      </c>
      <c r="AX106" s="272">
        <f>Sizing!JD120</f>
        <v>9.3840703969660974E-2</v>
      </c>
      <c r="AY106" s="216">
        <f>Sizing!IT120</f>
        <v>0.25</v>
      </c>
      <c r="AZ106" s="216">
        <f>Sizing!IU120</f>
        <v>1.5748031496062995E-2</v>
      </c>
      <c r="BA106" s="17">
        <f>Sizing!IV120</f>
        <v>1.5748031496062995E-2</v>
      </c>
      <c r="BB106" s="216">
        <f t="shared" si="13"/>
        <v>2.4179687736685367E-3</v>
      </c>
      <c r="BC106" s="138">
        <f t="shared" si="14"/>
        <v>7.2254596295506844E-4</v>
      </c>
      <c r="BD106" s="138">
        <f t="shared" si="15"/>
        <v>3.1405147366236051E-3</v>
      </c>
      <c r="BE106" s="311">
        <f t="shared" si="16"/>
        <v>3.0383767356473679E-2</v>
      </c>
      <c r="BF106" s="11">
        <f t="shared" si="17"/>
        <v>9.0793845982874277E-3</v>
      </c>
      <c r="BG106" s="21">
        <f t="shared" si="18"/>
        <v>3.9463151954761105E-2</v>
      </c>
      <c r="BH106" s="21">
        <f t="shared" si="19"/>
        <v>1.5628931076792549E-3</v>
      </c>
      <c r="BI106" s="21">
        <f t="shared" si="20"/>
        <v>1.5628931076792549E-3</v>
      </c>
      <c r="BJ106" s="561"/>
      <c r="BK106">
        <f t="shared" si="21"/>
        <v>2.0086942900000002</v>
      </c>
      <c r="BL106">
        <f t="shared" si="22"/>
        <v>2.0086942900000002</v>
      </c>
      <c r="BM106">
        <f>C106*'Inputs-Imperial'!$E$12</f>
        <v>1.0043471450000001</v>
      </c>
      <c r="BN106">
        <f>C106*'Inputs-Imperial'!$E$12</f>
        <v>1.0043471450000001</v>
      </c>
      <c r="BO106">
        <f>C106*'Inputs-Imperial'!$E$12</f>
        <v>1.0043471450000001</v>
      </c>
      <c r="BP106">
        <f>C106*'Weight '!$E$15</f>
        <v>2.0086942900000002</v>
      </c>
      <c r="BQ106">
        <f>C106*'Weight '!$E$15</f>
        <v>2.0086942900000002</v>
      </c>
      <c r="BR106">
        <f>C106*'Weight '!$E$15</f>
        <v>2.0086942900000002</v>
      </c>
      <c r="BS106">
        <f t="shared" si="23"/>
        <v>4.659064107254193</v>
      </c>
      <c r="BT106" s="564">
        <f t="shared" si="24"/>
        <v>2.493188824390379</v>
      </c>
      <c r="BU106">
        <f t="shared" si="40"/>
        <v>1.8687169065076337</v>
      </c>
    </row>
    <row r="107" spans="1:73" x14ac:dyDescent="0.25">
      <c r="A107" s="186">
        <v>61</v>
      </c>
      <c r="B107" s="187">
        <f>A107/100*'Inputs-Imperial'!$E$5</f>
        <v>14.689633015999998</v>
      </c>
      <c r="C107" s="188">
        <f>'Inputs-Imperial'!$E$10+('Inputs-Imperial'!$E$9-'Inputs-Imperial'!$E$10)*(100-A107)/100</f>
        <v>3.9995900230000005</v>
      </c>
      <c r="D107" s="187">
        <f t="shared" si="25"/>
        <v>0.24081365600000026</v>
      </c>
      <c r="E107" s="188">
        <f t="shared" si="26"/>
        <v>0.96529896373110258</v>
      </c>
      <c r="F107" s="423">
        <f>Sizing!F121</f>
        <v>297.98216264181809</v>
      </c>
      <c r="G107" s="423">
        <f>Sizing!G121</f>
        <v>2979.8216264181801</v>
      </c>
      <c r="H107" s="423">
        <f>Sizing!H121</f>
        <v>12942.25642305092</v>
      </c>
      <c r="I107" s="423">
        <f>Sizing!I121</f>
        <v>-5538.1942032832612</v>
      </c>
      <c r="J107" s="189">
        <f>Sizing!J121</f>
        <v>1294.2256423050922</v>
      </c>
      <c r="K107" s="128">
        <v>61</v>
      </c>
      <c r="L107" s="12">
        <f t="shared" si="5"/>
        <v>176.27559619199997</v>
      </c>
      <c r="M107" s="11">
        <f t="shared" si="5"/>
        <v>47.99508027600001</v>
      </c>
      <c r="N107" s="11">
        <f t="shared" si="5"/>
        <v>2.8897638720000032</v>
      </c>
      <c r="O107" s="152">
        <f t="shared" si="27"/>
        <v>139.00305077727876</v>
      </c>
      <c r="P107" s="8">
        <f t="shared" si="41"/>
        <v>8.639114449680001</v>
      </c>
      <c r="Q107" s="12">
        <f t="shared" si="28"/>
        <v>25.020549139910177</v>
      </c>
      <c r="R107" s="8">
        <f t="shared" si="42"/>
        <v>4.3195572248400005</v>
      </c>
      <c r="S107" s="12">
        <f t="shared" si="29"/>
        <v>12.510274569955088</v>
      </c>
      <c r="T107" s="17">
        <f>Sizing!CN121</f>
        <v>1.5</v>
      </c>
      <c r="U107" s="17">
        <f>Sizing!CO121</f>
        <v>2.3622047244094495E-2</v>
      </c>
      <c r="V107" s="17">
        <f>Sizing!CP121</f>
        <v>1.5748031496062995E-2</v>
      </c>
      <c r="W107" s="128">
        <f t="shared" si="6"/>
        <v>3.0224609670856709E-3</v>
      </c>
      <c r="X107" s="2">
        <f t="shared" si="7"/>
        <v>4.3352757777304109E-3</v>
      </c>
      <c r="Y107" s="2">
        <f t="shared" si="8"/>
        <v>7.3577367448160822E-3</v>
      </c>
      <c r="Z107" s="216">
        <f t="shared" si="30"/>
        <v>0.43379710444530922</v>
      </c>
      <c r="AA107" s="138">
        <f t="shared" si="31"/>
        <v>0.62221815263496583</v>
      </c>
      <c r="AB107" s="17">
        <f t="shared" si="32"/>
        <v>1.056015257080275</v>
      </c>
      <c r="AC107" s="311">
        <f t="shared" si="33"/>
        <v>0.42631784402383838</v>
      </c>
      <c r="AD107" s="316">
        <f t="shared" si="34"/>
        <v>0.61149025345160435</v>
      </c>
      <c r="AE107" s="21">
        <f t="shared" si="35"/>
        <v>1.0378080974754427</v>
      </c>
      <c r="AF107" s="170">
        <f>Sizing!DU121</f>
        <v>0.53422373583376614</v>
      </c>
      <c r="AG107" s="170">
        <f>Sizing!DV121</f>
        <v>0.73090610603125084</v>
      </c>
      <c r="AH107" s="170">
        <f>Sizing!DW121</f>
        <v>0.53422373583376614</v>
      </c>
      <c r="AI107" s="272">
        <f>Sizing!DX121</f>
        <v>0.73090610603125084</v>
      </c>
      <c r="AJ107" s="216">
        <f>Sizing!GJ121</f>
        <v>0.5</v>
      </c>
      <c r="AK107" s="216">
        <f>Sizing!GK121</f>
        <v>3.1496062992125991E-2</v>
      </c>
      <c r="AL107" s="17">
        <f>Sizing!GL121</f>
        <v>3.1496062992125991E-2</v>
      </c>
      <c r="AM107" s="216">
        <f t="shared" si="9"/>
        <v>4.8359375473370735E-3</v>
      </c>
      <c r="AN107" s="138">
        <f t="shared" si="10"/>
        <v>1.4450919259101369E-3</v>
      </c>
      <c r="AO107" s="138">
        <f t="shared" si="11"/>
        <v>6.2810294732472101E-3</v>
      </c>
      <c r="AP107" s="311">
        <f t="shared" si="36"/>
        <v>0.12099781304068394</v>
      </c>
      <c r="AQ107" s="11">
        <f t="shared" si="37"/>
        <v>3.6156993543922017E-2</v>
      </c>
      <c r="AR107" s="21">
        <f t="shared" si="38"/>
        <v>0.15715480658460595</v>
      </c>
      <c r="AS107" s="11">
        <f t="shared" si="12"/>
        <v>9.4813448290687261E-2</v>
      </c>
      <c r="AT107" s="21">
        <f t="shared" si="39"/>
        <v>9.4813448290687261E-2</v>
      </c>
      <c r="AU107" s="170">
        <f>Sizing!JC121</f>
        <v>8.8060777215215446E-3</v>
      </c>
      <c r="AV107" s="272">
        <f>Sizing!JD121</f>
        <v>9.3840703969660974E-2</v>
      </c>
      <c r="AW107" s="170">
        <f>Sizing!JC121</f>
        <v>8.8060777215215446E-3</v>
      </c>
      <c r="AX107" s="272">
        <f>Sizing!JD121</f>
        <v>9.3840703969660974E-2</v>
      </c>
      <c r="AY107" s="216">
        <f>Sizing!IT121</f>
        <v>0.25</v>
      </c>
      <c r="AZ107" s="216">
        <f>Sizing!IU121</f>
        <v>1.5748031496062995E-2</v>
      </c>
      <c r="BA107" s="17">
        <f>Sizing!IV121</f>
        <v>1.5748031496062995E-2</v>
      </c>
      <c r="BB107" s="216">
        <f t="shared" si="13"/>
        <v>2.4179687736685367E-3</v>
      </c>
      <c r="BC107" s="138">
        <f t="shared" si="14"/>
        <v>7.2254596295506844E-4</v>
      </c>
      <c r="BD107" s="138">
        <f t="shared" si="15"/>
        <v>3.1405147366236051E-3</v>
      </c>
      <c r="BE107" s="311">
        <f t="shared" si="16"/>
        <v>3.0249453260170985E-2</v>
      </c>
      <c r="BF107" s="11">
        <f t="shared" si="17"/>
        <v>9.0392483859805042E-3</v>
      </c>
      <c r="BG107" s="21">
        <f t="shared" si="18"/>
        <v>3.9288701646151489E-2</v>
      </c>
      <c r="BH107" s="21">
        <f t="shared" si="19"/>
        <v>1.5628931076792549E-3</v>
      </c>
      <c r="BI107" s="21">
        <f t="shared" si="20"/>
        <v>1.5628931076792549E-3</v>
      </c>
      <c r="BJ107" s="561"/>
      <c r="BK107">
        <f t="shared" si="21"/>
        <v>1.9997950115000003</v>
      </c>
      <c r="BL107">
        <f t="shared" si="22"/>
        <v>1.9997950115000003</v>
      </c>
      <c r="BM107">
        <f>C107*'Inputs-Imperial'!$E$12</f>
        <v>0.99989750575000014</v>
      </c>
      <c r="BN107">
        <f>C107*'Inputs-Imperial'!$E$12</f>
        <v>0.99989750575000014</v>
      </c>
      <c r="BO107">
        <f>C107*'Inputs-Imperial'!$E$12</f>
        <v>0.99989750575000014</v>
      </c>
      <c r="BP107">
        <f>C107*'Weight '!$E$15</f>
        <v>1.9997950115000003</v>
      </c>
      <c r="BQ107">
        <f>C107*'Weight '!$E$15</f>
        <v>1.9997950115000003</v>
      </c>
      <c r="BR107">
        <f>C107*'Weight '!$E$15</f>
        <v>1.9997950115000003</v>
      </c>
      <c r="BS107">
        <f t="shared" si="23"/>
        <v>4.6187839406788962</v>
      </c>
      <c r="BT107" s="564">
        <f t="shared" si="24"/>
        <v>2.4830195455832076</v>
      </c>
      <c r="BU107">
        <f t="shared" si="40"/>
        <v>1.860148039871367</v>
      </c>
    </row>
    <row r="108" spans="1:73" x14ac:dyDescent="0.25">
      <c r="A108" s="186">
        <v>62</v>
      </c>
      <c r="B108" s="187">
        <f>A108/100*'Inputs-Imperial'!$E$5</f>
        <v>14.930446671999999</v>
      </c>
      <c r="C108" s="188">
        <f>'Inputs-Imperial'!$E$10+('Inputs-Imperial'!$E$9-'Inputs-Imperial'!$E$10)*(100-A108)/100</f>
        <v>3.9817914660000007</v>
      </c>
      <c r="D108" s="187">
        <f t="shared" si="25"/>
        <v>0.24081365600000026</v>
      </c>
      <c r="E108" s="188">
        <f t="shared" si="26"/>
        <v>0.96101282814840805</v>
      </c>
      <c r="F108" s="423">
        <f>Sizing!F122</f>
        <v>288.49024693236646</v>
      </c>
      <c r="G108" s="423">
        <f>Sizing!G122</f>
        <v>2884.9024693236638</v>
      </c>
      <c r="H108" s="423">
        <f>Sizing!H122</f>
        <v>12224.674682965291</v>
      </c>
      <c r="I108" s="423">
        <f>Sizing!I122</f>
        <v>-5324.8585830968495</v>
      </c>
      <c r="J108" s="189">
        <f>Sizing!J122</f>
        <v>1222.4674682965292</v>
      </c>
      <c r="K108" s="128">
        <v>62</v>
      </c>
      <c r="L108" s="12">
        <f t="shared" si="5"/>
        <v>179.16536006399997</v>
      </c>
      <c r="M108" s="11">
        <f t="shared" si="5"/>
        <v>47.781497592000008</v>
      </c>
      <c r="N108" s="11">
        <f t="shared" si="5"/>
        <v>2.8897638720000032</v>
      </c>
      <c r="O108" s="152">
        <f t="shared" si="27"/>
        <v>138.38584725337077</v>
      </c>
      <c r="P108" s="8">
        <f t="shared" si="41"/>
        <v>8.6006695665600006</v>
      </c>
      <c r="Q108" s="12">
        <f t="shared" si="28"/>
        <v>24.909452505606737</v>
      </c>
      <c r="R108" s="8">
        <f t="shared" si="42"/>
        <v>4.3003347832800003</v>
      </c>
      <c r="S108" s="12">
        <f t="shared" si="29"/>
        <v>12.454726252803368</v>
      </c>
      <c r="T108" s="17">
        <f>Sizing!CN122</f>
        <v>1.5</v>
      </c>
      <c r="U108" s="17">
        <f>Sizing!CO122</f>
        <v>2.3622047244094495E-2</v>
      </c>
      <c r="V108" s="17">
        <f>Sizing!CP122</f>
        <v>1.5748031496062995E-2</v>
      </c>
      <c r="W108" s="128">
        <f t="shared" si="6"/>
        <v>3.0224609670856709E-3</v>
      </c>
      <c r="X108" s="2">
        <f t="shared" si="7"/>
        <v>4.3352757777304109E-3</v>
      </c>
      <c r="Y108" s="2">
        <f t="shared" si="8"/>
        <v>7.3577367448160822E-3</v>
      </c>
      <c r="Z108" s="216">
        <f t="shared" si="30"/>
        <v>0.43187095174558388</v>
      </c>
      <c r="AA108" s="138">
        <f t="shared" si="31"/>
        <v>0.61945536984495964</v>
      </c>
      <c r="AB108" s="17">
        <f t="shared" si="32"/>
        <v>1.0513263215905435</v>
      </c>
      <c r="AC108" s="311">
        <f t="shared" si="33"/>
        <v>0.42442490085341855</v>
      </c>
      <c r="AD108" s="316">
        <f t="shared" si="34"/>
        <v>0.60877510484763264</v>
      </c>
      <c r="AE108" s="21">
        <f t="shared" si="35"/>
        <v>1.0332000057010513</v>
      </c>
      <c r="AF108" s="170">
        <f>Sizing!DU122</f>
        <v>0.53422373583376614</v>
      </c>
      <c r="AG108" s="170">
        <f>Sizing!DV122</f>
        <v>0.73090610603125084</v>
      </c>
      <c r="AH108" s="170">
        <f>Sizing!DW122</f>
        <v>0.53422373583376614</v>
      </c>
      <c r="AI108" s="272">
        <f>Sizing!DX122</f>
        <v>0.73090610603125084</v>
      </c>
      <c r="AJ108" s="216">
        <f>Sizing!GJ122</f>
        <v>0.5</v>
      </c>
      <c r="AK108" s="216">
        <f>Sizing!GK122</f>
        <v>3.1496062992125991E-2</v>
      </c>
      <c r="AL108" s="17">
        <f>Sizing!GL122</f>
        <v>3.1496062992125991E-2</v>
      </c>
      <c r="AM108" s="216">
        <f t="shared" si="9"/>
        <v>4.8359375473370735E-3</v>
      </c>
      <c r="AN108" s="138">
        <f t="shared" si="10"/>
        <v>1.4450919259101369E-3</v>
      </c>
      <c r="AO108" s="138">
        <f t="shared" si="11"/>
        <v>6.2810294732472101E-3</v>
      </c>
      <c r="AP108" s="311">
        <f t="shared" si="36"/>
        <v>0.12046055665547316</v>
      </c>
      <c r="AQ108" s="11">
        <f t="shared" si="37"/>
        <v>3.5996448694694323E-2</v>
      </c>
      <c r="AR108" s="21">
        <f t="shared" si="38"/>
        <v>0.15645700535016749</v>
      </c>
      <c r="AS108" s="11">
        <f t="shared" si="12"/>
        <v>9.4813448290687261E-2</v>
      </c>
      <c r="AT108" s="21">
        <f t="shared" si="39"/>
        <v>9.4813448290687261E-2</v>
      </c>
      <c r="AU108" s="170">
        <f>Sizing!JC122</f>
        <v>8.8060777215215446E-3</v>
      </c>
      <c r="AV108" s="272">
        <f>Sizing!JD122</f>
        <v>9.3840703969660974E-2</v>
      </c>
      <c r="AW108" s="170">
        <f>Sizing!JC122</f>
        <v>8.8060777215215446E-3</v>
      </c>
      <c r="AX108" s="272">
        <f>Sizing!JD122</f>
        <v>9.3840703969660974E-2</v>
      </c>
      <c r="AY108" s="216">
        <f>Sizing!IT122</f>
        <v>0.25</v>
      </c>
      <c r="AZ108" s="216">
        <f>Sizing!IU122</f>
        <v>1.5748031496062995E-2</v>
      </c>
      <c r="BA108" s="17">
        <f>Sizing!IV122</f>
        <v>1.5748031496062995E-2</v>
      </c>
      <c r="BB108" s="216">
        <f t="shared" si="13"/>
        <v>2.4179687736685367E-3</v>
      </c>
      <c r="BC108" s="138">
        <f t="shared" si="14"/>
        <v>7.2254596295506844E-4</v>
      </c>
      <c r="BD108" s="138">
        <f t="shared" si="15"/>
        <v>3.1405147366236051E-3</v>
      </c>
      <c r="BE108" s="311">
        <f t="shared" si="16"/>
        <v>3.011513916386829E-2</v>
      </c>
      <c r="BF108" s="11">
        <f t="shared" si="17"/>
        <v>8.9991121736735808E-3</v>
      </c>
      <c r="BG108" s="21">
        <f t="shared" si="18"/>
        <v>3.9114251337541872E-2</v>
      </c>
      <c r="BH108" s="21">
        <f t="shared" si="19"/>
        <v>1.5628931076792549E-3</v>
      </c>
      <c r="BI108" s="21">
        <f t="shared" si="20"/>
        <v>1.5628931076792549E-3</v>
      </c>
      <c r="BJ108" s="561"/>
      <c r="BK108">
        <f t="shared" si="21"/>
        <v>1.9908957330000003</v>
      </c>
      <c r="BL108">
        <f t="shared" si="22"/>
        <v>1.9908957330000003</v>
      </c>
      <c r="BM108">
        <f>C108*'Inputs-Imperial'!$E$12</f>
        <v>0.99544786650000017</v>
      </c>
      <c r="BN108">
        <f>C108*'Inputs-Imperial'!$E$12</f>
        <v>0.99544786650000017</v>
      </c>
      <c r="BO108">
        <f>C108*'Inputs-Imperial'!$E$12</f>
        <v>0.99544786650000017</v>
      </c>
      <c r="BP108">
        <f>C108*'Weight '!$E$15</f>
        <v>1.9908957330000003</v>
      </c>
      <c r="BQ108">
        <f>C108*'Weight '!$E$15</f>
        <v>1.9908957330000003</v>
      </c>
      <c r="BR108">
        <f>C108*'Weight '!$E$15</f>
        <v>1.9908957330000003</v>
      </c>
      <c r="BS108">
        <f t="shared" si="23"/>
        <v>4.5786785626645763</v>
      </c>
      <c r="BT108" s="564">
        <f t="shared" si="24"/>
        <v>2.472850266776037</v>
      </c>
      <c r="BU108">
        <f t="shared" si="40"/>
        <v>1.8515793795448843</v>
      </c>
    </row>
    <row r="109" spans="1:73" x14ac:dyDescent="0.25">
      <c r="A109" s="186">
        <v>63</v>
      </c>
      <c r="B109" s="187">
        <f>A109/100*'Inputs-Imperial'!$E$5</f>
        <v>15.171260327999999</v>
      </c>
      <c r="C109" s="188">
        <f>'Inputs-Imperial'!$E$10+('Inputs-Imperial'!$E$9-'Inputs-Imperial'!$E$10)*(100-A109)/100</f>
        <v>3.9639929090000003</v>
      </c>
      <c r="D109" s="187">
        <f t="shared" si="25"/>
        <v>0.24081365600000026</v>
      </c>
      <c r="E109" s="188">
        <f t="shared" si="26"/>
        <v>0.95672669256571363</v>
      </c>
      <c r="F109" s="423">
        <f>Sizing!F123</f>
        <v>279.06777912029941</v>
      </c>
      <c r="G109" s="423">
        <f>Sizing!G123</f>
        <v>2790.6777912029929</v>
      </c>
      <c r="H109" s="423">
        <f>Sizing!H123</f>
        <v>11529.950772124032</v>
      </c>
      <c r="I109" s="423">
        <f>Sizing!I123</f>
        <v>-5114.6532635484818</v>
      </c>
      <c r="J109" s="189">
        <f>Sizing!J123</f>
        <v>1152.9950772124032</v>
      </c>
      <c r="K109" s="128">
        <v>63</v>
      </c>
      <c r="L109" s="12">
        <f t="shared" si="5"/>
        <v>182.05512393599997</v>
      </c>
      <c r="M109" s="11">
        <f t="shared" si="5"/>
        <v>47.567914908000006</v>
      </c>
      <c r="N109" s="11">
        <f t="shared" si="5"/>
        <v>2.8897638720000032</v>
      </c>
      <c r="O109" s="152">
        <f t="shared" si="27"/>
        <v>137.76864372946275</v>
      </c>
      <c r="P109" s="8">
        <f t="shared" si="41"/>
        <v>8.5622246834400002</v>
      </c>
      <c r="Q109" s="12">
        <f t="shared" si="28"/>
        <v>24.798355871303297</v>
      </c>
      <c r="R109" s="8">
        <f t="shared" si="42"/>
        <v>4.2811123417200001</v>
      </c>
      <c r="S109" s="12">
        <f t="shared" si="29"/>
        <v>12.399177935651648</v>
      </c>
      <c r="T109" s="17">
        <f>Sizing!CN123</f>
        <v>1.5</v>
      </c>
      <c r="U109" s="17">
        <f>Sizing!CO123</f>
        <v>2.3622047244094495E-2</v>
      </c>
      <c r="V109" s="17">
        <f>Sizing!CP123</f>
        <v>1.5748031496062995E-2</v>
      </c>
      <c r="W109" s="128">
        <f t="shared" si="6"/>
        <v>3.0224609670856709E-3</v>
      </c>
      <c r="X109" s="2">
        <f t="shared" si="7"/>
        <v>4.3352757777304109E-3</v>
      </c>
      <c r="Y109" s="2">
        <f t="shared" si="8"/>
        <v>7.3577367448160822E-3</v>
      </c>
      <c r="Z109" s="216">
        <f t="shared" si="30"/>
        <v>0.42994479904585831</v>
      </c>
      <c r="AA109" s="138">
        <f t="shared" si="31"/>
        <v>0.61669258705495333</v>
      </c>
      <c r="AB109" s="17">
        <f t="shared" si="32"/>
        <v>1.0466373861008118</v>
      </c>
      <c r="AC109" s="311">
        <f t="shared" si="33"/>
        <v>0.42253195768299867</v>
      </c>
      <c r="AD109" s="316">
        <f t="shared" si="34"/>
        <v>0.60605995624366105</v>
      </c>
      <c r="AE109" s="21">
        <f t="shared" si="35"/>
        <v>1.0285919139266597</v>
      </c>
      <c r="AF109" s="170">
        <f>Sizing!DU123</f>
        <v>0.53422373583376614</v>
      </c>
      <c r="AG109" s="170">
        <f>Sizing!DV123</f>
        <v>0.73090610603125084</v>
      </c>
      <c r="AH109" s="170">
        <f>Sizing!DW123</f>
        <v>0.53422373583376614</v>
      </c>
      <c r="AI109" s="272">
        <f>Sizing!DX123</f>
        <v>0.73090610603125084</v>
      </c>
      <c r="AJ109" s="216">
        <f>Sizing!GJ123</f>
        <v>0.5</v>
      </c>
      <c r="AK109" s="216">
        <f>Sizing!GK123</f>
        <v>3.1496062992125991E-2</v>
      </c>
      <c r="AL109" s="17">
        <f>Sizing!GL123</f>
        <v>3.1496062992125991E-2</v>
      </c>
      <c r="AM109" s="216">
        <f t="shared" si="9"/>
        <v>4.8359375473370735E-3</v>
      </c>
      <c r="AN109" s="138">
        <f t="shared" si="10"/>
        <v>1.4450919259101369E-3</v>
      </c>
      <c r="AO109" s="138">
        <f t="shared" si="11"/>
        <v>6.2810294732472101E-3</v>
      </c>
      <c r="AP109" s="311">
        <f t="shared" si="36"/>
        <v>0.11992330027026238</v>
      </c>
      <c r="AQ109" s="11">
        <f t="shared" si="37"/>
        <v>3.583590384546663E-2</v>
      </c>
      <c r="AR109" s="21">
        <f t="shared" si="38"/>
        <v>0.15575920411572899</v>
      </c>
      <c r="AS109" s="11">
        <f t="shared" si="12"/>
        <v>9.4813448290687261E-2</v>
      </c>
      <c r="AT109" s="21">
        <f t="shared" si="39"/>
        <v>9.4813448290687261E-2</v>
      </c>
      <c r="AU109" s="170">
        <f>Sizing!JC123</f>
        <v>8.8060777215215446E-3</v>
      </c>
      <c r="AV109" s="272">
        <f>Sizing!JD123</f>
        <v>9.3840703969660974E-2</v>
      </c>
      <c r="AW109" s="170">
        <f>Sizing!JC123</f>
        <v>8.8060777215215446E-3</v>
      </c>
      <c r="AX109" s="272">
        <f>Sizing!JD123</f>
        <v>9.3840703969660974E-2</v>
      </c>
      <c r="AY109" s="216">
        <f>Sizing!IT123</f>
        <v>0.25</v>
      </c>
      <c r="AZ109" s="216">
        <f>Sizing!IU123</f>
        <v>1.5748031496062995E-2</v>
      </c>
      <c r="BA109" s="17">
        <f>Sizing!IV123</f>
        <v>1.5748031496062995E-2</v>
      </c>
      <c r="BB109" s="216">
        <f t="shared" si="13"/>
        <v>2.4179687736685367E-3</v>
      </c>
      <c r="BC109" s="138">
        <f t="shared" si="14"/>
        <v>7.2254596295506844E-4</v>
      </c>
      <c r="BD109" s="138">
        <f t="shared" si="15"/>
        <v>3.1405147366236051E-3</v>
      </c>
      <c r="BE109" s="311">
        <f t="shared" si="16"/>
        <v>2.9980825067565595E-2</v>
      </c>
      <c r="BF109" s="11">
        <f t="shared" si="17"/>
        <v>8.9589759613666574E-3</v>
      </c>
      <c r="BG109" s="21">
        <f t="shared" si="18"/>
        <v>3.8939801028932249E-2</v>
      </c>
      <c r="BH109" s="21">
        <f t="shared" si="19"/>
        <v>1.5628931076792549E-3</v>
      </c>
      <c r="BI109" s="21">
        <f t="shared" si="20"/>
        <v>1.5628931076792549E-3</v>
      </c>
      <c r="BJ109" s="561"/>
      <c r="BK109">
        <f t="shared" si="21"/>
        <v>1.9819964545000002</v>
      </c>
      <c r="BL109">
        <f t="shared" si="22"/>
        <v>1.9819964545000002</v>
      </c>
      <c r="BM109">
        <f>C109*'Inputs-Imperial'!$E$12</f>
        <v>0.99099822725000009</v>
      </c>
      <c r="BN109">
        <f>C109*'Inputs-Imperial'!$E$12</f>
        <v>0.99099822725000009</v>
      </c>
      <c r="BO109">
        <f>C109*'Inputs-Imperial'!$E$12</f>
        <v>0.99099822725000009</v>
      </c>
      <c r="BP109">
        <f>C109*'Weight '!$E$15</f>
        <v>1.9819964545000002</v>
      </c>
      <c r="BQ109">
        <f>C109*'Weight '!$E$15</f>
        <v>1.9819964545000002</v>
      </c>
      <c r="BR109">
        <f>C109*'Weight '!$E$15</f>
        <v>1.9819964545000002</v>
      </c>
      <c r="BS109">
        <f t="shared" si="23"/>
        <v>4.5387479732112306</v>
      </c>
      <c r="BT109" s="564">
        <f t="shared" si="24"/>
        <v>2.4626809879688651</v>
      </c>
      <c r="BU109">
        <f t="shared" si="40"/>
        <v>1.8430109280839637</v>
      </c>
    </row>
    <row r="110" spans="1:73" x14ac:dyDescent="0.25">
      <c r="A110" s="186">
        <v>64</v>
      </c>
      <c r="B110" s="187">
        <f>A110/100*'Inputs-Imperial'!$E$5</f>
        <v>15.412073983999999</v>
      </c>
      <c r="C110" s="188">
        <f>'Inputs-Imperial'!$E$10+('Inputs-Imperial'!$E$9-'Inputs-Imperial'!$E$10)*(100-A110)/100</f>
        <v>3.946194352</v>
      </c>
      <c r="D110" s="187">
        <f t="shared" si="25"/>
        <v>0.24081365600000026</v>
      </c>
      <c r="E110" s="188">
        <f t="shared" si="26"/>
        <v>0.95244055698301922</v>
      </c>
      <c r="F110" s="423">
        <f>Sizing!F124</f>
        <v>269.71605919969051</v>
      </c>
      <c r="G110" s="423">
        <f>Sizing!G124</f>
        <v>2697.1605919969038</v>
      </c>
      <c r="H110" s="423">
        <f>Sizing!H124</f>
        <v>10857.917450506433</v>
      </c>
      <c r="I110" s="423">
        <f>Sizing!I124</f>
        <v>-4907.613230683909</v>
      </c>
      <c r="J110" s="189">
        <f>Sizing!J124</f>
        <v>1085.7917450506434</v>
      </c>
      <c r="K110" s="128">
        <v>64</v>
      </c>
      <c r="L110" s="12">
        <f t="shared" si="5"/>
        <v>184.94488780799998</v>
      </c>
      <c r="M110" s="11">
        <f t="shared" si="5"/>
        <v>47.354332224000004</v>
      </c>
      <c r="N110" s="11">
        <f t="shared" si="5"/>
        <v>2.8897638720000032</v>
      </c>
      <c r="O110" s="152">
        <f t="shared" si="27"/>
        <v>137.15144020555476</v>
      </c>
      <c r="P110" s="8">
        <f t="shared" ref="P110:P123" si="43">M110*$E$17</f>
        <v>8.5237798003199998</v>
      </c>
      <c r="Q110" s="12">
        <f t="shared" si="28"/>
        <v>24.687259236999857</v>
      </c>
      <c r="R110" s="8">
        <f t="shared" ref="R110:R123" si="44">M110*$E$21</f>
        <v>4.2618899001599999</v>
      </c>
      <c r="S110" s="12">
        <f t="shared" si="29"/>
        <v>12.343629618499929</v>
      </c>
      <c r="T110" s="17">
        <f>Sizing!CN124</f>
        <v>1.5</v>
      </c>
      <c r="U110" s="17">
        <f>Sizing!CO124</f>
        <v>2.3622047244094495E-2</v>
      </c>
      <c r="V110" s="17">
        <f>Sizing!CP124</f>
        <v>1.5748031496062995E-2</v>
      </c>
      <c r="W110" s="128">
        <f t="shared" si="6"/>
        <v>3.0224609670856709E-3</v>
      </c>
      <c r="X110" s="2">
        <f t="shared" si="7"/>
        <v>4.3352757777304109E-3</v>
      </c>
      <c r="Y110" s="2">
        <f t="shared" si="8"/>
        <v>7.3577367448160822E-3</v>
      </c>
      <c r="Z110" s="216">
        <f t="shared" si="30"/>
        <v>0.42801864634613285</v>
      </c>
      <c r="AA110" s="138">
        <f t="shared" si="31"/>
        <v>0.61392980426494714</v>
      </c>
      <c r="AB110" s="17">
        <f t="shared" si="32"/>
        <v>1.0419484506110801</v>
      </c>
      <c r="AC110" s="311">
        <f t="shared" si="33"/>
        <v>0.42063901451257879</v>
      </c>
      <c r="AD110" s="316">
        <f t="shared" si="34"/>
        <v>0.60334480763968934</v>
      </c>
      <c r="AE110" s="21">
        <f t="shared" si="35"/>
        <v>1.0239838221522684</v>
      </c>
      <c r="AF110" s="170">
        <f>Sizing!DU124</f>
        <v>0.53422373583376614</v>
      </c>
      <c r="AG110" s="170">
        <f>Sizing!DV124</f>
        <v>0.73090610603125084</v>
      </c>
      <c r="AH110" s="170">
        <f>Sizing!DW124</f>
        <v>0.53422373583376614</v>
      </c>
      <c r="AI110" s="272">
        <f>Sizing!DX124</f>
        <v>0.73090610603125084</v>
      </c>
      <c r="AJ110" s="216">
        <f>Sizing!GJ124</f>
        <v>0.5</v>
      </c>
      <c r="AK110" s="216">
        <f>Sizing!GK124</f>
        <v>3.1496062992125991E-2</v>
      </c>
      <c r="AL110" s="17">
        <f>Sizing!GL124</f>
        <v>3.1496062992125991E-2</v>
      </c>
      <c r="AM110" s="216">
        <f t="shared" si="9"/>
        <v>4.8359375473370735E-3</v>
      </c>
      <c r="AN110" s="138">
        <f t="shared" si="10"/>
        <v>1.4450919259101369E-3</v>
      </c>
      <c r="AO110" s="138">
        <f t="shared" si="11"/>
        <v>6.2810294732472101E-3</v>
      </c>
      <c r="AP110" s="311">
        <f t="shared" si="36"/>
        <v>0.1193860438850516</v>
      </c>
      <c r="AQ110" s="11">
        <f t="shared" si="37"/>
        <v>3.5675358996238943E-2</v>
      </c>
      <c r="AR110" s="21">
        <f t="shared" si="38"/>
        <v>0.15506140288129053</v>
      </c>
      <c r="AS110" s="11">
        <f t="shared" si="12"/>
        <v>9.4813448290687261E-2</v>
      </c>
      <c r="AT110" s="21">
        <f t="shared" si="39"/>
        <v>9.4813448290687261E-2</v>
      </c>
      <c r="AU110" s="170">
        <f>Sizing!JC124</f>
        <v>8.8060777215215446E-3</v>
      </c>
      <c r="AV110" s="272">
        <f>Sizing!JD124</f>
        <v>9.3840703969660974E-2</v>
      </c>
      <c r="AW110" s="170">
        <f>Sizing!JC124</f>
        <v>8.8060777215215446E-3</v>
      </c>
      <c r="AX110" s="272">
        <f>Sizing!JD124</f>
        <v>9.3840703969660974E-2</v>
      </c>
      <c r="AY110" s="216">
        <f>Sizing!IT124</f>
        <v>0.25</v>
      </c>
      <c r="AZ110" s="216">
        <f>Sizing!IU124</f>
        <v>1.5748031496062995E-2</v>
      </c>
      <c r="BA110" s="17">
        <f>Sizing!IV124</f>
        <v>1.5748031496062995E-2</v>
      </c>
      <c r="BB110" s="216">
        <f t="shared" si="13"/>
        <v>2.4179687736685367E-3</v>
      </c>
      <c r="BC110" s="138">
        <f t="shared" si="14"/>
        <v>7.2254596295506844E-4</v>
      </c>
      <c r="BD110" s="138">
        <f t="shared" si="15"/>
        <v>3.1405147366236051E-3</v>
      </c>
      <c r="BE110" s="311">
        <f t="shared" si="16"/>
        <v>2.98465109712629E-2</v>
      </c>
      <c r="BF110" s="11">
        <f t="shared" si="17"/>
        <v>8.9188397490597357E-3</v>
      </c>
      <c r="BG110" s="21">
        <f t="shared" si="18"/>
        <v>3.8765350720322632E-2</v>
      </c>
      <c r="BH110" s="21">
        <f t="shared" si="19"/>
        <v>1.5628931076792549E-3</v>
      </c>
      <c r="BI110" s="21">
        <f t="shared" si="20"/>
        <v>1.5628931076792549E-3</v>
      </c>
      <c r="BJ110" s="561"/>
      <c r="BK110">
        <f t="shared" si="21"/>
        <v>1.973097176</v>
      </c>
      <c r="BL110">
        <f t="shared" si="22"/>
        <v>1.973097176</v>
      </c>
      <c r="BM110">
        <f>C110*'Inputs-Imperial'!$E$12</f>
        <v>0.986548588</v>
      </c>
      <c r="BN110">
        <f>C110*'Inputs-Imperial'!$E$12</f>
        <v>0.986548588</v>
      </c>
      <c r="BO110">
        <f>C110*'Inputs-Imperial'!$E$12</f>
        <v>0.986548588</v>
      </c>
      <c r="BP110">
        <f>C110*'Weight '!$E$15</f>
        <v>1.973097176</v>
      </c>
      <c r="BQ110">
        <f>C110*'Weight '!$E$15</f>
        <v>1.973097176</v>
      </c>
      <c r="BR110">
        <f>C110*'Weight '!$E$15</f>
        <v>1.973097176</v>
      </c>
      <c r="BS110">
        <f t="shared" si="23"/>
        <v>4.4989921723188591</v>
      </c>
      <c r="BT110" s="564">
        <f t="shared" si="24"/>
        <v>2.4525117091616941</v>
      </c>
      <c r="BU110">
        <f t="shared" si="40"/>
        <v>1.8344426880867708</v>
      </c>
    </row>
    <row r="111" spans="1:73" x14ac:dyDescent="0.25">
      <c r="A111" s="186">
        <v>65</v>
      </c>
      <c r="B111" s="187">
        <f>A111/100*'Inputs-Imperial'!$E$5</f>
        <v>15.652887639999999</v>
      </c>
      <c r="C111" s="188">
        <f>'Inputs-Imperial'!$E$10+('Inputs-Imperial'!$E$9-'Inputs-Imperial'!$E$10)*(100-A111)/100</f>
        <v>3.9283957950000001</v>
      </c>
      <c r="D111" s="187">
        <f t="shared" si="25"/>
        <v>0.24081365600000026</v>
      </c>
      <c r="E111" s="188">
        <f t="shared" si="26"/>
        <v>0.9481544214003248</v>
      </c>
      <c r="F111" s="423">
        <f>Sizing!F125</f>
        <v>260.43642858887421</v>
      </c>
      <c r="G111" s="423">
        <f>Sizing!G125</f>
        <v>2604.3642858887411</v>
      </c>
      <c r="H111" s="423">
        <f>Sizing!H125</f>
        <v>10208.404347528534</v>
      </c>
      <c r="I111" s="423">
        <f>Sizing!I125</f>
        <v>-4703.7739975081004</v>
      </c>
      <c r="J111" s="189">
        <f>Sizing!J125</f>
        <v>1020.8404347528535</v>
      </c>
      <c r="K111" s="128">
        <v>65</v>
      </c>
      <c r="L111" s="12">
        <f t="shared" ref="L111:N146" si="45">B111*12</f>
        <v>187.83465167999998</v>
      </c>
      <c r="M111" s="11">
        <f t="shared" si="45"/>
        <v>47.140749540000002</v>
      </c>
      <c r="N111" s="11">
        <f t="shared" si="45"/>
        <v>2.8897638720000032</v>
      </c>
      <c r="O111" s="152">
        <f t="shared" ref="O111:O146" si="46">E111*12*12</f>
        <v>136.53423668164675</v>
      </c>
      <c r="P111" s="8">
        <f t="shared" si="43"/>
        <v>8.4853349171999994</v>
      </c>
      <c r="Q111" s="12">
        <f t="shared" si="28"/>
        <v>24.576162602696417</v>
      </c>
      <c r="R111" s="8">
        <f t="shared" si="44"/>
        <v>4.2426674585999997</v>
      </c>
      <c r="S111" s="12">
        <f t="shared" si="29"/>
        <v>12.288081301348209</v>
      </c>
      <c r="T111" s="17">
        <f>Sizing!CN125</f>
        <v>1.5</v>
      </c>
      <c r="U111" s="17">
        <f>Sizing!CO125</f>
        <v>2.3622047244094495E-2</v>
      </c>
      <c r="V111" s="17">
        <f>Sizing!CP125</f>
        <v>1.5748031496062995E-2</v>
      </c>
      <c r="W111" s="128">
        <f t="shared" ref="W111:W146" si="47">(U111*$E$30+V111*$E$30)*$E$35</f>
        <v>3.0224609670856709E-3</v>
      </c>
      <c r="X111" s="2">
        <f t="shared" ref="X111:X146" si="48">T111*$E$34*$E$35</f>
        <v>4.3352757777304109E-3</v>
      </c>
      <c r="Y111" s="2">
        <f t="shared" ref="Y111:Y146" si="49">W111+X111</f>
        <v>7.3577367448160822E-3</v>
      </c>
      <c r="Z111" s="216">
        <f t="shared" si="30"/>
        <v>0.42609249364640733</v>
      </c>
      <c r="AA111" s="138">
        <f t="shared" si="31"/>
        <v>0.61116702147494084</v>
      </c>
      <c r="AB111" s="17">
        <f t="shared" si="32"/>
        <v>1.0372595151213482</v>
      </c>
      <c r="AC111" s="311">
        <f t="shared" si="33"/>
        <v>0.41874607134215897</v>
      </c>
      <c r="AD111" s="316">
        <f t="shared" si="34"/>
        <v>0.60062965903571774</v>
      </c>
      <c r="AE111" s="21">
        <f t="shared" si="35"/>
        <v>1.0193757303778768</v>
      </c>
      <c r="AF111" s="170">
        <f>Sizing!DU125</f>
        <v>0.53422373583376614</v>
      </c>
      <c r="AG111" s="170">
        <f>Sizing!DV125</f>
        <v>0.73090610603125084</v>
      </c>
      <c r="AH111" s="170">
        <f>Sizing!DW125</f>
        <v>0.53422373583376614</v>
      </c>
      <c r="AI111" s="272">
        <f>Sizing!DX125</f>
        <v>0.73090610603125084</v>
      </c>
      <c r="AJ111" s="216">
        <f>Sizing!GJ125</f>
        <v>0.5</v>
      </c>
      <c r="AK111" s="216">
        <f>Sizing!GK125</f>
        <v>3.1496062992125991E-2</v>
      </c>
      <c r="AL111" s="17">
        <f>Sizing!GL125</f>
        <v>3.1496062992125991E-2</v>
      </c>
      <c r="AM111" s="216">
        <f t="shared" ref="AM111:AM146" si="50">(AK111*$E$30+AL111*$E$30)*$E$35</f>
        <v>4.8359375473370735E-3</v>
      </c>
      <c r="AN111" s="138">
        <f t="shared" ref="AN111:AN146" si="51">AJ111*$E$34*$E$35</f>
        <v>1.4450919259101369E-3</v>
      </c>
      <c r="AO111" s="138">
        <f t="shared" ref="AO111:AO146" si="52">AM111+AN111</f>
        <v>6.2810294732472101E-3</v>
      </c>
      <c r="AP111" s="311">
        <f t="shared" si="36"/>
        <v>0.11884878749984082</v>
      </c>
      <c r="AQ111" s="11">
        <f t="shared" si="37"/>
        <v>3.5514814147011249E-2</v>
      </c>
      <c r="AR111" s="21">
        <f t="shared" si="38"/>
        <v>0.15436360164685206</v>
      </c>
      <c r="AS111" s="11">
        <f t="shared" ref="AS111:AS146" si="53">AF111*$N111*$E$26</f>
        <v>9.4813448290687261E-2</v>
      </c>
      <c r="AT111" s="21">
        <f t="shared" ref="AT111:AT146" si="54">AH111*$N111*$E$26</f>
        <v>9.4813448290687261E-2</v>
      </c>
      <c r="AU111" s="170">
        <f>Sizing!JC125</f>
        <v>8.8060777215215446E-3</v>
      </c>
      <c r="AV111" s="272">
        <f>Sizing!JD125</f>
        <v>9.3840703969660974E-2</v>
      </c>
      <c r="AW111" s="170">
        <f>Sizing!JC125</f>
        <v>8.8060777215215446E-3</v>
      </c>
      <c r="AX111" s="272">
        <f>Sizing!JD125</f>
        <v>9.3840703969660974E-2</v>
      </c>
      <c r="AY111" s="216">
        <f>Sizing!IT125</f>
        <v>0.25</v>
      </c>
      <c r="AZ111" s="216">
        <f>Sizing!IU125</f>
        <v>1.5748031496062995E-2</v>
      </c>
      <c r="BA111" s="17">
        <f>Sizing!IV125</f>
        <v>1.5748031496062995E-2</v>
      </c>
      <c r="BB111" s="216">
        <f t="shared" ref="BB111:BB146" si="55">(AZ111*$E$30+BA111*$E$30)*$E$35</f>
        <v>2.4179687736685367E-3</v>
      </c>
      <c r="BC111" s="138">
        <f t="shared" ref="BC111:BC146" si="56">AY111*$E$34*$E$35</f>
        <v>7.2254596295506844E-4</v>
      </c>
      <c r="BD111" s="138">
        <f t="shared" ref="BD111:BD146" si="57">BB111+BC111</f>
        <v>3.1405147366236051E-3</v>
      </c>
      <c r="BE111" s="311">
        <f t="shared" ref="BE111:BE146" si="58">BB111*$S111</f>
        <v>2.9712196874960205E-2</v>
      </c>
      <c r="BF111" s="11">
        <f t="shared" ref="BF111:BF146" si="59">BC111*$S111</f>
        <v>8.8787035367528123E-3</v>
      </c>
      <c r="BG111" s="21">
        <f t="shared" ref="BG111:BG146" si="60">BD111*$S111</f>
        <v>3.8590900411713015E-2</v>
      </c>
      <c r="BH111" s="21">
        <f t="shared" ref="BH111:BH146" si="61">AU111*$N111*$E$26</f>
        <v>1.5628931076792549E-3</v>
      </c>
      <c r="BI111" s="21">
        <f t="shared" ref="BI111:BI146" si="62">AW111*$N111*$E$26</f>
        <v>1.5628931076792549E-3</v>
      </c>
      <c r="BJ111" s="561"/>
      <c r="BK111">
        <f t="shared" ref="BK111:BK146" si="63">0.5*C111</f>
        <v>1.9641978975000001</v>
      </c>
      <c r="BL111">
        <f t="shared" ref="BL111:BL146" si="64">0.5*C111</f>
        <v>1.9641978975000001</v>
      </c>
      <c r="BM111">
        <f>C111*'Inputs-Imperial'!$E$12</f>
        <v>0.98209894875000003</v>
      </c>
      <c r="BN111">
        <f>C111*'Inputs-Imperial'!$E$12</f>
        <v>0.98209894875000003</v>
      </c>
      <c r="BO111">
        <f>C111*'Inputs-Imperial'!$E$12</f>
        <v>0.98209894875000003</v>
      </c>
      <c r="BP111">
        <f>C111*'Weight '!$E$15</f>
        <v>1.9641978975000001</v>
      </c>
      <c r="BQ111">
        <f>C111*'Weight '!$E$15</f>
        <v>1.9641978975000001</v>
      </c>
      <c r="BR111">
        <f>C111*'Weight '!$E$15</f>
        <v>1.9641978975000001</v>
      </c>
      <c r="BS111">
        <f t="shared" ref="BS111:BS146" si="65">(BK111*AB111+BL111*AE111+BM111*AR111+BN111*AS111+BO111*AT111+BP111*BG111+BQ111*BH111+BR111*BI111)</f>
        <v>4.4594111599874653</v>
      </c>
      <c r="BT111" s="564">
        <f t="shared" ref="BT111:BT146" si="66">(AB111 +AE111+AR111+AS111+AT111+BG111+BH111+BI111)</f>
        <v>2.4423424303545223</v>
      </c>
      <c r="BU111">
        <f t="shared" ref="BU111:BU146" si="67">BS111/BT111</f>
        <v>1.8258746621947488</v>
      </c>
    </row>
    <row r="112" spans="1:73" x14ac:dyDescent="0.25">
      <c r="A112" s="186">
        <v>66</v>
      </c>
      <c r="B112" s="187">
        <f>A112/100*'Inputs-Imperial'!$E$5</f>
        <v>15.893701296</v>
      </c>
      <c r="C112" s="188">
        <f>'Inputs-Imperial'!$E$10+('Inputs-Imperial'!$E$9-'Inputs-Imperial'!$E$10)*(100-A112)/100</f>
        <v>3.9105972380000003</v>
      </c>
      <c r="D112" s="187">
        <f t="shared" ref="D112:D146" si="68">B112-B111</f>
        <v>0.24081365600000026</v>
      </c>
      <c r="E112" s="188">
        <f t="shared" ref="E112:E146" si="69">D112*AVERAGE(C111:C112)</f>
        <v>0.94386828581763038</v>
      </c>
      <c r="F112" s="423">
        <f>Sizing!F126</f>
        <v>251.23027309151016</v>
      </c>
      <c r="G112" s="423">
        <f>Sizing!G126</f>
        <v>2512.3027309151007</v>
      </c>
      <c r="H112" s="423">
        <f>Sizing!H126</f>
        <v>9581.2378622878368</v>
      </c>
      <c r="I112" s="423">
        <f>Sizing!I126</f>
        <v>-4503.1716527902945</v>
      </c>
      <c r="J112" s="189">
        <f>Sizing!J126</f>
        <v>958.12378622878373</v>
      </c>
      <c r="K112" s="128">
        <v>66</v>
      </c>
      <c r="L112" s="12">
        <f t="shared" si="45"/>
        <v>190.72441555199998</v>
      </c>
      <c r="M112" s="11">
        <f t="shared" si="45"/>
        <v>46.927166855999999</v>
      </c>
      <c r="N112" s="11">
        <f t="shared" si="45"/>
        <v>2.8897638720000032</v>
      </c>
      <c r="O112" s="152">
        <f t="shared" si="46"/>
        <v>135.91703315773879</v>
      </c>
      <c r="P112" s="8">
        <f t="shared" si="43"/>
        <v>8.4468900340799991</v>
      </c>
      <c r="Q112" s="12">
        <f t="shared" ref="Q112:Q146" si="70">AVERAGE(P111:P112)*$N112</f>
        <v>24.465065968392977</v>
      </c>
      <c r="R112" s="8">
        <f t="shared" si="44"/>
        <v>4.2234450170399995</v>
      </c>
      <c r="S112" s="12">
        <f t="shared" ref="S112:S146" si="71">AVERAGE(R111:R112)*$N112</f>
        <v>12.232532984196489</v>
      </c>
      <c r="T112" s="17">
        <f>Sizing!CN126</f>
        <v>1.5</v>
      </c>
      <c r="U112" s="17">
        <f>Sizing!CO126</f>
        <v>2.3622047244094495E-2</v>
      </c>
      <c r="V112" s="17">
        <f>Sizing!CP126</f>
        <v>1.5748031496062995E-2</v>
      </c>
      <c r="W112" s="128">
        <f t="shared" si="47"/>
        <v>3.0224609670856709E-3</v>
      </c>
      <c r="X112" s="2">
        <f t="shared" si="48"/>
        <v>4.3352757777304109E-3</v>
      </c>
      <c r="Y112" s="2">
        <f t="shared" si="49"/>
        <v>7.3577367448160822E-3</v>
      </c>
      <c r="Z112" s="216">
        <f t="shared" ref="Z112:Z146" si="72">$O112*$E$39*W112</f>
        <v>0.42416634094668204</v>
      </c>
      <c r="AA112" s="138">
        <f t="shared" ref="AA112:AA146" si="73">$O112*$E$39*X112</f>
        <v>0.60840423868493487</v>
      </c>
      <c r="AB112" s="17">
        <f t="shared" ref="AB112:AB146" si="74">$O112*$E$39*Y112</f>
        <v>1.0325705796316169</v>
      </c>
      <c r="AC112" s="311">
        <f t="shared" ref="AC112:AC146" si="75">$O112*$E$40*W112</f>
        <v>0.41685312817173914</v>
      </c>
      <c r="AD112" s="316">
        <f t="shared" ref="AD112:AD146" si="76">$O112*$E$40*X112</f>
        <v>0.59791451043174626</v>
      </c>
      <c r="AE112" s="21">
        <f t="shared" ref="AE112:AE146" si="77">$O112*$E$40*Y112</f>
        <v>1.0147676386034854</v>
      </c>
      <c r="AF112" s="170">
        <f>Sizing!DU126</f>
        <v>0.53422373583376614</v>
      </c>
      <c r="AG112" s="170">
        <f>Sizing!DV126</f>
        <v>0.73090610603125084</v>
      </c>
      <c r="AH112" s="170">
        <f>Sizing!DW126</f>
        <v>0.53422373583376614</v>
      </c>
      <c r="AI112" s="272">
        <f>Sizing!DX126</f>
        <v>0.73090610603125084</v>
      </c>
      <c r="AJ112" s="216">
        <f>Sizing!GJ126</f>
        <v>0.5</v>
      </c>
      <c r="AK112" s="216">
        <f>Sizing!GK126</f>
        <v>3.1496062992125991E-2</v>
      </c>
      <c r="AL112" s="17">
        <f>Sizing!GL126</f>
        <v>3.1496062992125991E-2</v>
      </c>
      <c r="AM112" s="216">
        <f t="shared" si="50"/>
        <v>4.8359375473370735E-3</v>
      </c>
      <c r="AN112" s="138">
        <f t="shared" si="51"/>
        <v>1.4450919259101369E-3</v>
      </c>
      <c r="AO112" s="138">
        <f t="shared" si="52"/>
        <v>6.2810294732472101E-3</v>
      </c>
      <c r="AP112" s="311">
        <f t="shared" ref="AP112:AP146" si="78">AM112*$Q112</f>
        <v>0.11831153111463004</v>
      </c>
      <c r="AQ112" s="11">
        <f t="shared" ref="AQ112:AQ146" si="79">AN112*$Q112</f>
        <v>3.5354269297783555E-2</v>
      </c>
      <c r="AR112" s="21">
        <f t="shared" ref="AR112:AR146" si="80">AO112*$Q112</f>
        <v>0.15366580041241359</v>
      </c>
      <c r="AS112" s="11">
        <f t="shared" si="53"/>
        <v>9.4813448290687261E-2</v>
      </c>
      <c r="AT112" s="21">
        <f t="shared" si="54"/>
        <v>9.4813448290687261E-2</v>
      </c>
      <c r="AU112" s="170">
        <f>Sizing!JC126</f>
        <v>8.8060777215215446E-3</v>
      </c>
      <c r="AV112" s="272">
        <f>Sizing!JD126</f>
        <v>9.3840703969660974E-2</v>
      </c>
      <c r="AW112" s="170">
        <f>Sizing!JC126</f>
        <v>8.8060777215215446E-3</v>
      </c>
      <c r="AX112" s="272">
        <f>Sizing!JD126</f>
        <v>9.3840703969660974E-2</v>
      </c>
      <c r="AY112" s="216">
        <f>Sizing!IT126</f>
        <v>0.25</v>
      </c>
      <c r="AZ112" s="216">
        <f>Sizing!IU126</f>
        <v>1.5748031496062995E-2</v>
      </c>
      <c r="BA112" s="17">
        <f>Sizing!IV126</f>
        <v>1.5748031496062995E-2</v>
      </c>
      <c r="BB112" s="216">
        <f t="shared" si="55"/>
        <v>2.4179687736685367E-3</v>
      </c>
      <c r="BC112" s="138">
        <f t="shared" si="56"/>
        <v>7.2254596295506844E-4</v>
      </c>
      <c r="BD112" s="138">
        <f t="shared" si="57"/>
        <v>3.1405147366236051E-3</v>
      </c>
      <c r="BE112" s="311">
        <f t="shared" si="58"/>
        <v>2.957788277865751E-2</v>
      </c>
      <c r="BF112" s="11">
        <f t="shared" si="59"/>
        <v>8.8385673244458889E-3</v>
      </c>
      <c r="BG112" s="21">
        <f t="shared" si="60"/>
        <v>3.8416450103103399E-2</v>
      </c>
      <c r="BH112" s="21">
        <f t="shared" si="61"/>
        <v>1.5628931076792549E-3</v>
      </c>
      <c r="BI112" s="21">
        <f t="shared" si="62"/>
        <v>1.5628931076792549E-3</v>
      </c>
      <c r="BJ112" s="561"/>
      <c r="BK112">
        <f t="shared" si="63"/>
        <v>1.9552986190000001</v>
      </c>
      <c r="BL112">
        <f t="shared" si="64"/>
        <v>1.9552986190000001</v>
      </c>
      <c r="BM112">
        <f>C112*'Inputs-Imperial'!$E$12</f>
        <v>0.97764930950000006</v>
      </c>
      <c r="BN112">
        <f>C112*'Inputs-Imperial'!$E$12</f>
        <v>0.97764930950000006</v>
      </c>
      <c r="BO112">
        <f>C112*'Inputs-Imperial'!$E$12</f>
        <v>0.97764930950000006</v>
      </c>
      <c r="BP112">
        <f>C112*'Weight '!$E$15</f>
        <v>1.9552986190000001</v>
      </c>
      <c r="BQ112">
        <f>C112*'Weight '!$E$15</f>
        <v>1.9552986190000001</v>
      </c>
      <c r="BR112">
        <f>C112*'Weight '!$E$15</f>
        <v>1.9552986190000001</v>
      </c>
      <c r="BS112">
        <f t="shared" si="65"/>
        <v>4.4200049362170466</v>
      </c>
      <c r="BT112" s="564">
        <f t="shared" si="66"/>
        <v>2.4321731515473517</v>
      </c>
      <c r="BU112">
        <f t="shared" si="67"/>
        <v>1.8173068530935117</v>
      </c>
    </row>
    <row r="113" spans="1:73" x14ac:dyDescent="0.25">
      <c r="A113" s="186">
        <v>67</v>
      </c>
      <c r="B113" s="187">
        <f>A113/100*'Inputs-Imperial'!$E$5</f>
        <v>16.134514952</v>
      </c>
      <c r="C113" s="188">
        <f>'Inputs-Imperial'!$E$10+('Inputs-Imperial'!$E$9-'Inputs-Imperial'!$E$10)*(100-A113)/100</f>
        <v>3.8927986810000004</v>
      </c>
      <c r="D113" s="187">
        <f t="shared" si="68"/>
        <v>0.24081365600000026</v>
      </c>
      <c r="E113" s="188">
        <f t="shared" si="69"/>
        <v>0.93958215023493608</v>
      </c>
      <c r="F113" s="423">
        <f>Sizing!F127</f>
        <v>242.0990261543362</v>
      </c>
      <c r="G113" s="423">
        <f>Sizing!G127</f>
        <v>2420.9902615433612</v>
      </c>
      <c r="H113" s="423">
        <f>Sizing!H127</f>
        <v>8976.241056677387</v>
      </c>
      <c r="I113" s="423">
        <f>Sizing!I127</f>
        <v>-4305.8429149492904</v>
      </c>
      <c r="J113" s="189">
        <f>Sizing!J127</f>
        <v>897.62410566773872</v>
      </c>
      <c r="K113" s="128">
        <v>67</v>
      </c>
      <c r="L113" s="12">
        <f t="shared" si="45"/>
        <v>193.61417942399999</v>
      </c>
      <c r="M113" s="11">
        <f t="shared" si="45"/>
        <v>46.713584172000004</v>
      </c>
      <c r="N113" s="11">
        <f t="shared" si="45"/>
        <v>2.8897638720000032</v>
      </c>
      <c r="O113" s="152">
        <f t="shared" si="46"/>
        <v>135.2998296338308</v>
      </c>
      <c r="P113" s="8">
        <f t="shared" si="43"/>
        <v>8.4084451509600004</v>
      </c>
      <c r="Q113" s="12">
        <f t="shared" si="70"/>
        <v>24.353969334089538</v>
      </c>
      <c r="R113" s="8">
        <f t="shared" si="44"/>
        <v>4.2042225754800002</v>
      </c>
      <c r="S113" s="12">
        <f t="shared" si="71"/>
        <v>12.176984667044769</v>
      </c>
      <c r="T113" s="17">
        <f>Sizing!CN127</f>
        <v>1.5</v>
      </c>
      <c r="U113" s="17">
        <f>Sizing!CO127</f>
        <v>2.3622047244094495E-2</v>
      </c>
      <c r="V113" s="17">
        <f>Sizing!CP127</f>
        <v>1.5748031496062995E-2</v>
      </c>
      <c r="W113" s="128">
        <f t="shared" si="47"/>
        <v>3.0224609670856709E-3</v>
      </c>
      <c r="X113" s="2">
        <f t="shared" si="48"/>
        <v>4.3352757777304109E-3</v>
      </c>
      <c r="Y113" s="2">
        <f t="shared" si="49"/>
        <v>7.3577367448160822E-3</v>
      </c>
      <c r="Z113" s="216">
        <f t="shared" si="72"/>
        <v>0.42224018824695658</v>
      </c>
      <c r="AA113" s="138">
        <f t="shared" si="73"/>
        <v>0.60564145589492868</v>
      </c>
      <c r="AB113" s="17">
        <f t="shared" si="74"/>
        <v>1.0278816441418852</v>
      </c>
      <c r="AC113" s="311">
        <f t="shared" si="75"/>
        <v>0.41496018500131937</v>
      </c>
      <c r="AD113" s="316">
        <f t="shared" si="76"/>
        <v>0.59519936182777466</v>
      </c>
      <c r="AE113" s="21">
        <f t="shared" si="77"/>
        <v>1.010159546829094</v>
      </c>
      <c r="AF113" s="170">
        <f>Sizing!DU127</f>
        <v>0.53422373583376614</v>
      </c>
      <c r="AG113" s="170">
        <f>Sizing!DV127</f>
        <v>0.73090610603125084</v>
      </c>
      <c r="AH113" s="170">
        <f>Sizing!DW127</f>
        <v>0.53422373583376614</v>
      </c>
      <c r="AI113" s="272">
        <f>Sizing!DX127</f>
        <v>0.73090610603125084</v>
      </c>
      <c r="AJ113" s="216">
        <f>Sizing!GJ127</f>
        <v>0.5</v>
      </c>
      <c r="AK113" s="216">
        <f>Sizing!GK127</f>
        <v>3.1496062992125991E-2</v>
      </c>
      <c r="AL113" s="17">
        <f>Sizing!GL127</f>
        <v>3.1496062992125991E-2</v>
      </c>
      <c r="AM113" s="216">
        <f t="shared" si="50"/>
        <v>4.8359375473370735E-3</v>
      </c>
      <c r="AN113" s="138">
        <f t="shared" si="51"/>
        <v>1.4450919259101369E-3</v>
      </c>
      <c r="AO113" s="138">
        <f t="shared" si="52"/>
        <v>6.2810294732472101E-3</v>
      </c>
      <c r="AP113" s="311">
        <f t="shared" si="78"/>
        <v>0.11777427472941926</v>
      </c>
      <c r="AQ113" s="11">
        <f t="shared" si="79"/>
        <v>3.5193724448555862E-2</v>
      </c>
      <c r="AR113" s="21">
        <f t="shared" si="80"/>
        <v>0.15296799917797513</v>
      </c>
      <c r="AS113" s="11">
        <f t="shared" si="53"/>
        <v>9.4813448290687261E-2</v>
      </c>
      <c r="AT113" s="21">
        <f t="shared" si="54"/>
        <v>9.4813448290687261E-2</v>
      </c>
      <c r="AU113" s="170">
        <f>Sizing!JC127</f>
        <v>8.8060777215215446E-3</v>
      </c>
      <c r="AV113" s="272">
        <f>Sizing!JD127</f>
        <v>9.3840703969660974E-2</v>
      </c>
      <c r="AW113" s="170">
        <f>Sizing!JC127</f>
        <v>8.8060777215215446E-3</v>
      </c>
      <c r="AX113" s="272">
        <f>Sizing!JD127</f>
        <v>9.3840703969660974E-2</v>
      </c>
      <c r="AY113" s="216">
        <f>Sizing!IT127</f>
        <v>0.25</v>
      </c>
      <c r="AZ113" s="216">
        <f>Sizing!IU127</f>
        <v>1.5748031496062995E-2</v>
      </c>
      <c r="BA113" s="17">
        <f>Sizing!IV127</f>
        <v>1.5748031496062995E-2</v>
      </c>
      <c r="BB113" s="216">
        <f t="shared" si="55"/>
        <v>2.4179687736685367E-3</v>
      </c>
      <c r="BC113" s="138">
        <f t="shared" si="56"/>
        <v>7.2254596295506844E-4</v>
      </c>
      <c r="BD113" s="138">
        <f t="shared" si="57"/>
        <v>3.1405147366236051E-3</v>
      </c>
      <c r="BE113" s="311">
        <f t="shared" si="58"/>
        <v>2.9443568682354815E-2</v>
      </c>
      <c r="BF113" s="11">
        <f t="shared" si="59"/>
        <v>8.7984311121389654E-3</v>
      </c>
      <c r="BG113" s="21">
        <f t="shared" si="60"/>
        <v>3.8241999794493782E-2</v>
      </c>
      <c r="BH113" s="21">
        <f t="shared" si="61"/>
        <v>1.5628931076792549E-3</v>
      </c>
      <c r="BI113" s="21">
        <f t="shared" si="62"/>
        <v>1.5628931076792549E-3</v>
      </c>
      <c r="BJ113" s="561"/>
      <c r="BK113">
        <f t="shared" si="63"/>
        <v>1.9463993405000002</v>
      </c>
      <c r="BL113">
        <f t="shared" si="64"/>
        <v>1.9463993405000002</v>
      </c>
      <c r="BM113">
        <f>C113*'Inputs-Imperial'!$E$12</f>
        <v>0.97319967025000009</v>
      </c>
      <c r="BN113">
        <f>C113*'Inputs-Imperial'!$E$12</f>
        <v>0.97319967025000009</v>
      </c>
      <c r="BO113">
        <f>C113*'Inputs-Imperial'!$E$12</f>
        <v>0.97319967025000009</v>
      </c>
      <c r="BP113">
        <f>C113*'Weight '!$E$15</f>
        <v>1.9463993405000002</v>
      </c>
      <c r="BQ113">
        <f>C113*'Weight '!$E$15</f>
        <v>1.9463993405000002</v>
      </c>
      <c r="BR113">
        <f>C113*'Weight '!$E$15</f>
        <v>1.9463993405000002</v>
      </c>
      <c r="BS113">
        <f t="shared" si="65"/>
        <v>4.380773501007603</v>
      </c>
      <c r="BT113" s="564">
        <f t="shared" si="66"/>
        <v>2.4220038727401807</v>
      </c>
      <c r="BU113">
        <f t="shared" si="67"/>
        <v>1.8087392635137822</v>
      </c>
    </row>
    <row r="114" spans="1:73" x14ac:dyDescent="0.25">
      <c r="A114" s="186">
        <v>68</v>
      </c>
      <c r="B114" s="187">
        <f>A114/100*'Inputs-Imperial'!$E$5</f>
        <v>16.375328608</v>
      </c>
      <c r="C114" s="188">
        <f>'Inputs-Imperial'!$E$10+('Inputs-Imperial'!$E$9-'Inputs-Imperial'!$E$10)*(100-A114)/100</f>
        <v>3.8750001240000005</v>
      </c>
      <c r="D114" s="187">
        <f t="shared" si="68"/>
        <v>0.24081365600000026</v>
      </c>
      <c r="E114" s="188">
        <f t="shared" si="69"/>
        <v>0.93529601465224166</v>
      </c>
      <c r="F114" s="423">
        <f>Sizing!F128</f>
        <v>233.04417246156717</v>
      </c>
      <c r="G114" s="423">
        <f>Sizing!G128</f>
        <v>2330.4417246156709</v>
      </c>
      <c r="H114" s="423">
        <f>Sizing!H128</f>
        <v>8393.2335406547336</v>
      </c>
      <c r="I114" s="423">
        <f>Sizing!I128</f>
        <v>-4111.8251917259577</v>
      </c>
      <c r="J114" s="189">
        <f>Sizing!J128</f>
        <v>839.32335406547338</v>
      </c>
      <c r="K114" s="128">
        <v>68</v>
      </c>
      <c r="L114" s="12">
        <f t="shared" si="45"/>
        <v>196.50394329599999</v>
      </c>
      <c r="M114" s="11">
        <f t="shared" si="45"/>
        <v>46.500001488000009</v>
      </c>
      <c r="N114" s="11">
        <f t="shared" si="45"/>
        <v>2.8897638720000032</v>
      </c>
      <c r="O114" s="152">
        <f t="shared" si="46"/>
        <v>134.68262610992281</v>
      </c>
      <c r="P114" s="8">
        <f t="shared" si="43"/>
        <v>8.3700002678400018</v>
      </c>
      <c r="Q114" s="12">
        <f t="shared" si="70"/>
        <v>24.242872699786108</v>
      </c>
      <c r="R114" s="8">
        <f t="shared" si="44"/>
        <v>4.1850001339200009</v>
      </c>
      <c r="S114" s="12">
        <f t="shared" si="71"/>
        <v>12.121436349893054</v>
      </c>
      <c r="T114" s="17">
        <f>Sizing!CN128</f>
        <v>1.5</v>
      </c>
      <c r="U114" s="17">
        <f>Sizing!CO128</f>
        <v>2.3622047244094495E-2</v>
      </c>
      <c r="V114" s="17">
        <f>Sizing!CP128</f>
        <v>1.5748031496062995E-2</v>
      </c>
      <c r="W114" s="128">
        <f t="shared" si="47"/>
        <v>3.0224609670856709E-3</v>
      </c>
      <c r="X114" s="2">
        <f t="shared" si="48"/>
        <v>4.3352757777304109E-3</v>
      </c>
      <c r="Y114" s="2">
        <f t="shared" si="49"/>
        <v>7.3577367448160822E-3</v>
      </c>
      <c r="Z114" s="216">
        <f t="shared" si="72"/>
        <v>0.42031403554723112</v>
      </c>
      <c r="AA114" s="138">
        <f t="shared" si="73"/>
        <v>0.60287867310492249</v>
      </c>
      <c r="AB114" s="17">
        <f t="shared" si="74"/>
        <v>1.0231927086521537</v>
      </c>
      <c r="AC114" s="311">
        <f t="shared" si="75"/>
        <v>0.41306724183089955</v>
      </c>
      <c r="AD114" s="316">
        <f t="shared" si="76"/>
        <v>0.59248421322380307</v>
      </c>
      <c r="AE114" s="21">
        <f t="shared" si="77"/>
        <v>1.0055514550547027</v>
      </c>
      <c r="AF114" s="170">
        <f>Sizing!DU128</f>
        <v>0.53422373583376614</v>
      </c>
      <c r="AG114" s="170">
        <f>Sizing!DV128</f>
        <v>0.73090610603125084</v>
      </c>
      <c r="AH114" s="170">
        <f>Sizing!DW128</f>
        <v>0.53422373583376614</v>
      </c>
      <c r="AI114" s="272">
        <f>Sizing!DX128</f>
        <v>0.73090610603125084</v>
      </c>
      <c r="AJ114" s="216">
        <f>Sizing!GJ128</f>
        <v>0.5</v>
      </c>
      <c r="AK114" s="216">
        <f>Sizing!GK128</f>
        <v>3.1496062992125991E-2</v>
      </c>
      <c r="AL114" s="17">
        <f>Sizing!GL128</f>
        <v>3.1496062992125991E-2</v>
      </c>
      <c r="AM114" s="216">
        <f t="shared" si="50"/>
        <v>4.8359375473370735E-3</v>
      </c>
      <c r="AN114" s="138">
        <f t="shared" si="51"/>
        <v>1.4450919259101369E-3</v>
      </c>
      <c r="AO114" s="138">
        <f t="shared" si="52"/>
        <v>6.2810294732472101E-3</v>
      </c>
      <c r="AP114" s="311">
        <f t="shared" si="78"/>
        <v>0.11723701834420854</v>
      </c>
      <c r="AQ114" s="11">
        <f t="shared" si="79"/>
        <v>3.5033179599328189E-2</v>
      </c>
      <c r="AR114" s="21">
        <f t="shared" si="80"/>
        <v>0.15227019794353672</v>
      </c>
      <c r="AS114" s="11">
        <f t="shared" si="53"/>
        <v>9.4813448290687261E-2</v>
      </c>
      <c r="AT114" s="21">
        <f t="shared" si="54"/>
        <v>9.4813448290687261E-2</v>
      </c>
      <c r="AU114" s="170">
        <f>Sizing!JC128</f>
        <v>8.8060777215215446E-3</v>
      </c>
      <c r="AV114" s="272">
        <f>Sizing!JD128</f>
        <v>9.3840703969660974E-2</v>
      </c>
      <c r="AW114" s="170">
        <f>Sizing!JC128</f>
        <v>8.8060777215215446E-3</v>
      </c>
      <c r="AX114" s="272">
        <f>Sizing!JD128</f>
        <v>9.3840703969660974E-2</v>
      </c>
      <c r="AY114" s="216">
        <f>Sizing!IT128</f>
        <v>0.25</v>
      </c>
      <c r="AZ114" s="216">
        <f>Sizing!IU128</f>
        <v>1.5748031496062995E-2</v>
      </c>
      <c r="BA114" s="17">
        <f>Sizing!IV128</f>
        <v>1.5748031496062995E-2</v>
      </c>
      <c r="BB114" s="216">
        <f t="shared" si="55"/>
        <v>2.4179687736685367E-3</v>
      </c>
      <c r="BC114" s="138">
        <f t="shared" si="56"/>
        <v>7.2254596295506844E-4</v>
      </c>
      <c r="BD114" s="138">
        <f t="shared" si="57"/>
        <v>3.1405147366236051E-3</v>
      </c>
      <c r="BE114" s="311">
        <f t="shared" si="58"/>
        <v>2.9309254586052134E-2</v>
      </c>
      <c r="BF114" s="11">
        <f t="shared" si="59"/>
        <v>8.7582948998320472E-3</v>
      </c>
      <c r="BG114" s="21">
        <f t="shared" si="60"/>
        <v>3.8067549485884179E-2</v>
      </c>
      <c r="BH114" s="21">
        <f t="shared" si="61"/>
        <v>1.5628931076792549E-3</v>
      </c>
      <c r="BI114" s="21">
        <f t="shared" si="62"/>
        <v>1.5628931076792549E-3</v>
      </c>
      <c r="BJ114" s="561"/>
      <c r="BK114">
        <f t="shared" si="63"/>
        <v>1.9375000620000002</v>
      </c>
      <c r="BL114">
        <f t="shared" si="64"/>
        <v>1.9375000620000002</v>
      </c>
      <c r="BM114">
        <f>C114*'Inputs-Imperial'!$E$12</f>
        <v>0.96875003100000012</v>
      </c>
      <c r="BN114">
        <f>C114*'Inputs-Imperial'!$E$12</f>
        <v>0.96875003100000012</v>
      </c>
      <c r="BO114">
        <f>C114*'Inputs-Imperial'!$E$12</f>
        <v>0.96875003100000012</v>
      </c>
      <c r="BP114">
        <f>C114*'Weight '!$E$15</f>
        <v>1.9375000620000002</v>
      </c>
      <c r="BQ114">
        <f>C114*'Weight '!$E$15</f>
        <v>1.9375000620000002</v>
      </c>
      <c r="BR114">
        <f>C114*'Weight '!$E$15</f>
        <v>1.9375000620000002</v>
      </c>
      <c r="BS114">
        <f t="shared" si="65"/>
        <v>4.3417168543591353</v>
      </c>
      <c r="BT114" s="564">
        <f t="shared" si="66"/>
        <v>2.4118345939330101</v>
      </c>
      <c r="BU114">
        <f t="shared" si="67"/>
        <v>1.800171896232337</v>
      </c>
    </row>
    <row r="115" spans="1:73" x14ac:dyDescent="0.25">
      <c r="A115" s="186">
        <v>69</v>
      </c>
      <c r="B115" s="187">
        <f>A115/100*'Inputs-Imperial'!$E$5</f>
        <v>16.616142263999997</v>
      </c>
      <c r="C115" s="188">
        <f>'Inputs-Imperial'!$E$10+('Inputs-Imperial'!$E$9-'Inputs-Imperial'!$E$10)*(100-A115)/100</f>
        <v>3.8572015670000006</v>
      </c>
      <c r="D115" s="187">
        <f t="shared" si="68"/>
        <v>0.24081365599999671</v>
      </c>
      <c r="E115" s="188">
        <f t="shared" si="69"/>
        <v>0.93100987906953359</v>
      </c>
      <c r="F115" s="423">
        <f>Sizing!F129</f>
        <v>224.06725191268799</v>
      </c>
      <c r="G115" s="423">
        <f>Sizing!G129</f>
        <v>2240.6725191268793</v>
      </c>
      <c r="H115" s="423">
        <f>Sizing!H129</f>
        <v>7832.0313488550964</v>
      </c>
      <c r="I115" s="423">
        <f>Sizing!I129</f>
        <v>-3921.1566464726652</v>
      </c>
      <c r="J115" s="189">
        <f>Sizing!J129</f>
        <v>783.2031348855096</v>
      </c>
      <c r="K115" s="128">
        <v>69</v>
      </c>
      <c r="L115" s="12">
        <f t="shared" si="45"/>
        <v>199.39370716799996</v>
      </c>
      <c r="M115" s="11">
        <f t="shared" si="45"/>
        <v>46.286418804000007</v>
      </c>
      <c r="N115" s="11">
        <f t="shared" si="45"/>
        <v>2.8897638719999605</v>
      </c>
      <c r="O115" s="152">
        <f t="shared" si="46"/>
        <v>134.06542258601283</v>
      </c>
      <c r="P115" s="8">
        <f t="shared" si="43"/>
        <v>8.3315553847200015</v>
      </c>
      <c r="Q115" s="12">
        <f t="shared" si="70"/>
        <v>24.13177606548231</v>
      </c>
      <c r="R115" s="8">
        <f t="shared" si="44"/>
        <v>4.1657776923600007</v>
      </c>
      <c r="S115" s="12">
        <f t="shared" si="71"/>
        <v>12.065888032741155</v>
      </c>
      <c r="T115" s="17">
        <f>Sizing!CN129</f>
        <v>1.5</v>
      </c>
      <c r="U115" s="17">
        <f>Sizing!CO129</f>
        <v>2.3622047244094495E-2</v>
      </c>
      <c r="V115" s="17">
        <f>Sizing!CP129</f>
        <v>1.5748031496062995E-2</v>
      </c>
      <c r="W115" s="128">
        <f t="shared" si="47"/>
        <v>3.0224609670856709E-3</v>
      </c>
      <c r="X115" s="2">
        <f t="shared" si="48"/>
        <v>4.3352757777304109E-3</v>
      </c>
      <c r="Y115" s="2">
        <f t="shared" si="49"/>
        <v>7.3577367448160822E-3</v>
      </c>
      <c r="Z115" s="216">
        <f t="shared" si="72"/>
        <v>0.4183878828474995</v>
      </c>
      <c r="AA115" s="138">
        <f t="shared" si="73"/>
        <v>0.60011589031490742</v>
      </c>
      <c r="AB115" s="17">
        <f t="shared" si="74"/>
        <v>1.0185037731624069</v>
      </c>
      <c r="AC115" s="311">
        <f t="shared" si="75"/>
        <v>0.41117429866047361</v>
      </c>
      <c r="AD115" s="316">
        <f t="shared" si="76"/>
        <v>0.58976906461982281</v>
      </c>
      <c r="AE115" s="21">
        <f t="shared" si="77"/>
        <v>1.0009433632802964</v>
      </c>
      <c r="AF115" s="170">
        <f>Sizing!DU129</f>
        <v>0.53422373583376614</v>
      </c>
      <c r="AG115" s="170">
        <f>Sizing!DV129</f>
        <v>0.73090610603125084</v>
      </c>
      <c r="AH115" s="170">
        <f>Sizing!DW129</f>
        <v>0.53422373583376614</v>
      </c>
      <c r="AI115" s="272">
        <f>Sizing!DX129</f>
        <v>0.73090610603125084</v>
      </c>
      <c r="AJ115" s="216">
        <f>Sizing!GJ129</f>
        <v>0.5</v>
      </c>
      <c r="AK115" s="216">
        <f>Sizing!GK129</f>
        <v>3.1496062992125991E-2</v>
      </c>
      <c r="AL115" s="17">
        <f>Sizing!GL129</f>
        <v>3.1496062992125991E-2</v>
      </c>
      <c r="AM115" s="216">
        <f t="shared" si="50"/>
        <v>4.8359375473370735E-3</v>
      </c>
      <c r="AN115" s="138">
        <f t="shared" si="51"/>
        <v>1.4450919259101369E-3</v>
      </c>
      <c r="AO115" s="138">
        <f t="shared" si="52"/>
        <v>6.2810294732472101E-3</v>
      </c>
      <c r="AP115" s="311">
        <f t="shared" si="78"/>
        <v>0.11669976195899601</v>
      </c>
      <c r="AQ115" s="11">
        <f t="shared" si="79"/>
        <v>3.4872634750099975E-2</v>
      </c>
      <c r="AR115" s="21">
        <f t="shared" si="80"/>
        <v>0.15157239670909597</v>
      </c>
      <c r="AS115" s="11">
        <f t="shared" si="53"/>
        <v>9.4813448290685873E-2</v>
      </c>
      <c r="AT115" s="21">
        <f t="shared" si="54"/>
        <v>9.4813448290685873E-2</v>
      </c>
      <c r="AU115" s="170">
        <f>Sizing!JC129</f>
        <v>8.8060777215215446E-3</v>
      </c>
      <c r="AV115" s="272">
        <f>Sizing!JD129</f>
        <v>9.3840703969660974E-2</v>
      </c>
      <c r="AW115" s="170">
        <f>Sizing!JC129</f>
        <v>8.8060777215215446E-3</v>
      </c>
      <c r="AX115" s="272">
        <f>Sizing!JD129</f>
        <v>9.3840703969660974E-2</v>
      </c>
      <c r="AY115" s="216">
        <f>Sizing!IT129</f>
        <v>0.25</v>
      </c>
      <c r="AZ115" s="216">
        <f>Sizing!IU129</f>
        <v>1.5748031496062995E-2</v>
      </c>
      <c r="BA115" s="17">
        <f>Sizing!IV129</f>
        <v>1.5748031496062995E-2</v>
      </c>
      <c r="BB115" s="216">
        <f t="shared" si="55"/>
        <v>2.4179687736685367E-3</v>
      </c>
      <c r="BC115" s="138">
        <f t="shared" si="56"/>
        <v>7.2254596295506844E-4</v>
      </c>
      <c r="BD115" s="138">
        <f t="shared" si="57"/>
        <v>3.1405147366236051E-3</v>
      </c>
      <c r="BE115" s="311">
        <f t="shared" si="58"/>
        <v>2.9174940489749002E-2</v>
      </c>
      <c r="BF115" s="11">
        <f t="shared" si="59"/>
        <v>8.7181586875249937E-3</v>
      </c>
      <c r="BG115" s="21">
        <f t="shared" si="60"/>
        <v>3.7893099177273994E-2</v>
      </c>
      <c r="BH115" s="21">
        <f t="shared" si="61"/>
        <v>1.5628931076792319E-3</v>
      </c>
      <c r="BI115" s="21">
        <f t="shared" si="62"/>
        <v>1.5628931076792319E-3</v>
      </c>
      <c r="BJ115" s="561"/>
      <c r="BK115">
        <f t="shared" si="63"/>
        <v>1.9286007835000003</v>
      </c>
      <c r="BL115">
        <f t="shared" si="64"/>
        <v>1.9286007835000003</v>
      </c>
      <c r="BM115">
        <f>C115*'Inputs-Imperial'!$E$12</f>
        <v>0.96430039175000015</v>
      </c>
      <c r="BN115">
        <f>C115*'Inputs-Imperial'!$E$12</f>
        <v>0.96430039175000015</v>
      </c>
      <c r="BO115">
        <f>C115*'Inputs-Imperial'!$E$12</f>
        <v>0.96430039175000015</v>
      </c>
      <c r="BP115">
        <f>C115*'Weight '!$E$15</f>
        <v>1.9286007835000003</v>
      </c>
      <c r="BQ115">
        <f>C115*'Weight '!$E$15</f>
        <v>1.9286007835000003</v>
      </c>
      <c r="BR115">
        <f>C115*'Weight '!$E$15</f>
        <v>1.9286007835000003</v>
      </c>
      <c r="BS115">
        <f t="shared" si="65"/>
        <v>4.3028349962715797</v>
      </c>
      <c r="BT115" s="564">
        <f t="shared" si="66"/>
        <v>2.4016653151258032</v>
      </c>
      <c r="BU115">
        <f t="shared" si="67"/>
        <v>1.7916047540729838</v>
      </c>
    </row>
    <row r="116" spans="1:73" x14ac:dyDescent="0.25">
      <c r="A116" s="186">
        <v>70</v>
      </c>
      <c r="B116" s="187">
        <f>A116/100*'Inputs-Imperial'!$E$5</f>
        <v>16.856955919999997</v>
      </c>
      <c r="C116" s="188">
        <f>'Inputs-Imperial'!$E$10+('Inputs-Imperial'!$E$9-'Inputs-Imperial'!$E$10)*(100-A116)/100</f>
        <v>3.8394030100000003</v>
      </c>
      <c r="D116" s="187">
        <f t="shared" si="68"/>
        <v>0.24081365600000026</v>
      </c>
      <c r="E116" s="188">
        <f t="shared" si="69"/>
        <v>0.92672374348685282</v>
      </c>
      <c r="F116" s="423">
        <f>Sizing!F130</f>
        <v>215.1698640385913</v>
      </c>
      <c r="G116" s="423">
        <f>Sizing!G130</f>
        <v>2151.6986403859123</v>
      </c>
      <c r="H116" s="423">
        <f>Sizing!H130</f>
        <v>7292.4468076254225</v>
      </c>
      <c r="I116" s="423">
        <f>Sizing!I130</f>
        <v>-3733.876272038046</v>
      </c>
      <c r="J116" s="189">
        <f>Sizing!J130</f>
        <v>729.2446807625422</v>
      </c>
      <c r="K116" s="128">
        <v>70</v>
      </c>
      <c r="L116" s="12">
        <f t="shared" si="45"/>
        <v>202.28347103999997</v>
      </c>
      <c r="M116" s="11">
        <f t="shared" si="45"/>
        <v>46.072836120000005</v>
      </c>
      <c r="N116" s="11">
        <f t="shared" si="45"/>
        <v>2.8897638720000032</v>
      </c>
      <c r="O116" s="152">
        <f t="shared" si="46"/>
        <v>133.4482190621068</v>
      </c>
      <c r="P116" s="8">
        <f t="shared" si="43"/>
        <v>8.2931105016000011</v>
      </c>
      <c r="Q116" s="12">
        <f t="shared" si="70"/>
        <v>24.020679431179229</v>
      </c>
      <c r="R116" s="8">
        <f t="shared" si="44"/>
        <v>4.1465552508000005</v>
      </c>
      <c r="S116" s="12">
        <f t="shared" si="71"/>
        <v>12.010339715589614</v>
      </c>
      <c r="T116" s="17">
        <f>Sizing!CN130</f>
        <v>1.5</v>
      </c>
      <c r="U116" s="17">
        <f>Sizing!CO130</f>
        <v>2.3622047244094495E-2</v>
      </c>
      <c r="V116" s="17">
        <f>Sizing!CP130</f>
        <v>1.5748031496062995E-2</v>
      </c>
      <c r="W116" s="128">
        <f t="shared" si="47"/>
        <v>3.0224609670856709E-3</v>
      </c>
      <c r="X116" s="2">
        <f t="shared" si="48"/>
        <v>4.3352757777304109E-3</v>
      </c>
      <c r="Y116" s="2">
        <f t="shared" si="49"/>
        <v>7.3577367448160822E-3</v>
      </c>
      <c r="Z116" s="216">
        <f t="shared" si="72"/>
        <v>0.41646173014778021</v>
      </c>
      <c r="AA116" s="138">
        <f t="shared" si="73"/>
        <v>0.59735310752491</v>
      </c>
      <c r="AB116" s="17">
        <f t="shared" si="74"/>
        <v>1.0138148376726903</v>
      </c>
      <c r="AC116" s="311">
        <f t="shared" si="75"/>
        <v>0.40928135549005978</v>
      </c>
      <c r="AD116" s="316">
        <f t="shared" si="76"/>
        <v>0.58705391601585977</v>
      </c>
      <c r="AE116" s="21">
        <f t="shared" si="77"/>
        <v>0.99633527150591961</v>
      </c>
      <c r="AF116" s="170">
        <f>Sizing!DU130</f>
        <v>0.29183693344119632</v>
      </c>
      <c r="AG116" s="170">
        <f>Sizing!DV130</f>
        <v>0.54021933827029589</v>
      </c>
      <c r="AH116" s="170">
        <f>Sizing!DW130</f>
        <v>0.29183693344119632</v>
      </c>
      <c r="AI116" s="272">
        <f>Sizing!DX130</f>
        <v>0.54021933827029589</v>
      </c>
      <c r="AJ116" s="216">
        <f>Sizing!GJ130</f>
        <v>0.5</v>
      </c>
      <c r="AK116" s="216">
        <f>Sizing!GK130</f>
        <v>3.1496062992125991E-2</v>
      </c>
      <c r="AL116" s="17">
        <f>Sizing!GL130</f>
        <v>3.1496062992125991E-2</v>
      </c>
      <c r="AM116" s="216">
        <f t="shared" si="50"/>
        <v>4.8359375473370735E-3</v>
      </c>
      <c r="AN116" s="138">
        <f t="shared" si="51"/>
        <v>1.4450919259101369E-3</v>
      </c>
      <c r="AO116" s="138">
        <f t="shared" si="52"/>
        <v>6.2810294732472101E-3</v>
      </c>
      <c r="AP116" s="311">
        <f t="shared" si="78"/>
        <v>0.11616250557378696</v>
      </c>
      <c r="AQ116" s="11">
        <f t="shared" si="79"/>
        <v>3.4712089900872801E-2</v>
      </c>
      <c r="AR116" s="21">
        <f t="shared" si="80"/>
        <v>0.15087459547465976</v>
      </c>
      <c r="AS116" s="11">
        <f t="shared" si="53"/>
        <v>5.1794901914934154E-2</v>
      </c>
      <c r="AT116" s="21">
        <f t="shared" si="54"/>
        <v>5.1794901914934154E-2</v>
      </c>
      <c r="AU116" s="170">
        <f>Sizing!JC130</f>
        <v>4.9108767457898697E-3</v>
      </c>
      <c r="AV116" s="272">
        <f>Sizing!JD130</f>
        <v>7.0077647975583982E-2</v>
      </c>
      <c r="AW116" s="170">
        <f>Sizing!JC130</f>
        <v>4.9108767457898697E-3</v>
      </c>
      <c r="AX116" s="272">
        <f>Sizing!JD130</f>
        <v>7.0077647975583982E-2</v>
      </c>
      <c r="AY116" s="216">
        <f>Sizing!IT130</f>
        <v>0.25</v>
      </c>
      <c r="AZ116" s="216">
        <f>Sizing!IU130</f>
        <v>1.5748031496062995E-2</v>
      </c>
      <c r="BA116" s="17">
        <f>Sizing!IV130</f>
        <v>1.5748031496062995E-2</v>
      </c>
      <c r="BB116" s="216">
        <f t="shared" si="55"/>
        <v>2.4179687736685367E-3</v>
      </c>
      <c r="BC116" s="138">
        <f t="shared" si="56"/>
        <v>7.2254596295506844E-4</v>
      </c>
      <c r="BD116" s="138">
        <f t="shared" si="57"/>
        <v>3.1405147366236051E-3</v>
      </c>
      <c r="BE116" s="311">
        <f t="shared" si="58"/>
        <v>2.904062639344674E-2</v>
      </c>
      <c r="BF116" s="11">
        <f t="shared" si="59"/>
        <v>8.6780224752182004E-3</v>
      </c>
      <c r="BG116" s="21">
        <f t="shared" si="60"/>
        <v>3.7718648868664939E-2</v>
      </c>
      <c r="BH116" s="21">
        <f t="shared" si="61"/>
        <v>8.7157706999333329E-4</v>
      </c>
      <c r="BI116" s="21">
        <f t="shared" si="62"/>
        <v>8.7157706999333329E-4</v>
      </c>
      <c r="BJ116" s="561"/>
      <c r="BK116">
        <f t="shared" si="63"/>
        <v>1.9197015050000001</v>
      </c>
      <c r="BL116">
        <f t="shared" si="64"/>
        <v>1.9197015050000001</v>
      </c>
      <c r="BM116">
        <f>C116*'Inputs-Imperial'!$E$12</f>
        <v>0.95985075250000007</v>
      </c>
      <c r="BN116">
        <f>C116*'Inputs-Imperial'!$E$12</f>
        <v>0.95985075250000007</v>
      </c>
      <c r="BO116">
        <f>C116*'Inputs-Imperial'!$E$12</f>
        <v>0.95985075250000007</v>
      </c>
      <c r="BP116">
        <f>C116*'Weight '!$E$15</f>
        <v>1.9197015050000001</v>
      </c>
      <c r="BQ116">
        <f>C116*'Weight '!$E$15</f>
        <v>1.9197015050000001</v>
      </c>
      <c r="BR116">
        <f>C116*'Weight '!$E$15</f>
        <v>1.9197015050000001</v>
      </c>
      <c r="BS116">
        <f t="shared" si="65"/>
        <v>4.178890917648725</v>
      </c>
      <c r="BT116" s="564">
        <f t="shared" si="66"/>
        <v>2.304076311491789</v>
      </c>
      <c r="BU116">
        <f t="shared" si="67"/>
        <v>1.8136946666245941</v>
      </c>
    </row>
    <row r="117" spans="1:73" x14ac:dyDescent="0.25">
      <c r="A117" s="186">
        <v>71</v>
      </c>
      <c r="B117" s="187">
        <f>A117/100*'Inputs-Imperial'!$E$5</f>
        <v>17.097769575999997</v>
      </c>
      <c r="C117" s="188">
        <f>'Inputs-Imperial'!$E$10+('Inputs-Imperial'!$E$9-'Inputs-Imperial'!$E$10)*(100-A117)/100</f>
        <v>3.8216044530000004</v>
      </c>
      <c r="D117" s="187">
        <f t="shared" si="68"/>
        <v>0.24081365600000026</v>
      </c>
      <c r="E117" s="188">
        <f t="shared" si="69"/>
        <v>0.92243760790415841</v>
      </c>
      <c r="F117" s="423">
        <f>Sizing!F131</f>
        <v>206.3536729209755</v>
      </c>
      <c r="G117" s="423">
        <f>Sizing!G131</f>
        <v>2063.5367292097544</v>
      </c>
      <c r="H117" s="423">
        <f>Sizing!H131</f>
        <v>6774.288391423861</v>
      </c>
      <c r="I117" s="423">
        <f>Sizing!I131</f>
        <v>-3550.0239734067482</v>
      </c>
      <c r="J117" s="189">
        <f>Sizing!J131</f>
        <v>677.4288391423861</v>
      </c>
      <c r="K117" s="128">
        <v>71</v>
      </c>
      <c r="L117" s="12">
        <f t="shared" si="45"/>
        <v>205.17323491199997</v>
      </c>
      <c r="M117" s="11">
        <f t="shared" si="45"/>
        <v>45.859253436000003</v>
      </c>
      <c r="N117" s="11">
        <f t="shared" si="45"/>
        <v>2.8897638720000032</v>
      </c>
      <c r="O117" s="152">
        <f t="shared" si="46"/>
        <v>132.83101553819881</v>
      </c>
      <c r="P117" s="8">
        <f t="shared" si="43"/>
        <v>8.2546656184800007</v>
      </c>
      <c r="Q117" s="12">
        <f t="shared" si="70"/>
        <v>23.909582796875789</v>
      </c>
      <c r="R117" s="8">
        <f t="shared" si="44"/>
        <v>4.1273328092400003</v>
      </c>
      <c r="S117" s="12">
        <f t="shared" si="71"/>
        <v>11.954791398437894</v>
      </c>
      <c r="T117" s="17">
        <f>Sizing!CN131</f>
        <v>1.5</v>
      </c>
      <c r="U117" s="17">
        <f>Sizing!CO131</f>
        <v>2.3622047244094495E-2</v>
      </c>
      <c r="V117" s="17">
        <f>Sizing!CP131</f>
        <v>1.5748031496062995E-2</v>
      </c>
      <c r="W117" s="128">
        <f t="shared" si="47"/>
        <v>3.0224609670856709E-3</v>
      </c>
      <c r="X117" s="2">
        <f t="shared" si="48"/>
        <v>4.3352757777304109E-3</v>
      </c>
      <c r="Y117" s="2">
        <f t="shared" si="49"/>
        <v>7.3577367448160822E-3</v>
      </c>
      <c r="Z117" s="216">
        <f t="shared" si="72"/>
        <v>0.41453557744805475</v>
      </c>
      <c r="AA117" s="138">
        <f t="shared" si="73"/>
        <v>0.59459032473490381</v>
      </c>
      <c r="AB117" s="17">
        <f t="shared" si="74"/>
        <v>1.0091259021829586</v>
      </c>
      <c r="AC117" s="311">
        <f t="shared" si="75"/>
        <v>0.40738841231964001</v>
      </c>
      <c r="AD117" s="316">
        <f t="shared" si="76"/>
        <v>0.58433876741188828</v>
      </c>
      <c r="AE117" s="21">
        <f t="shared" si="77"/>
        <v>0.99172717973152835</v>
      </c>
      <c r="AF117" s="170">
        <f>Sizing!DU131</f>
        <v>0.29183693344119632</v>
      </c>
      <c r="AG117" s="170">
        <f>Sizing!DV131</f>
        <v>0.54021933827029589</v>
      </c>
      <c r="AH117" s="170">
        <f>Sizing!DW131</f>
        <v>0.29183693344119632</v>
      </c>
      <c r="AI117" s="272">
        <f>Sizing!DX131</f>
        <v>0.54021933827029589</v>
      </c>
      <c r="AJ117" s="216">
        <f>Sizing!GJ131</f>
        <v>0.5</v>
      </c>
      <c r="AK117" s="216">
        <f>Sizing!GK131</f>
        <v>3.1496062992125991E-2</v>
      </c>
      <c r="AL117" s="17">
        <f>Sizing!GL131</f>
        <v>3.1496062992125991E-2</v>
      </c>
      <c r="AM117" s="216">
        <f t="shared" si="50"/>
        <v>4.8359375473370735E-3</v>
      </c>
      <c r="AN117" s="138">
        <f t="shared" si="51"/>
        <v>1.4450919259101369E-3</v>
      </c>
      <c r="AO117" s="138">
        <f t="shared" si="52"/>
        <v>6.2810294732472101E-3</v>
      </c>
      <c r="AP117" s="311">
        <f t="shared" si="78"/>
        <v>0.11562524918857618</v>
      </c>
      <c r="AQ117" s="11">
        <f t="shared" si="79"/>
        <v>3.4551545051645108E-2</v>
      </c>
      <c r="AR117" s="21">
        <f t="shared" si="80"/>
        <v>0.15017679424022129</v>
      </c>
      <c r="AS117" s="11">
        <f t="shared" si="53"/>
        <v>5.1794901914934154E-2</v>
      </c>
      <c r="AT117" s="21">
        <f t="shared" si="54"/>
        <v>5.1794901914934154E-2</v>
      </c>
      <c r="AU117" s="170">
        <f>Sizing!JC131</f>
        <v>4.9108767457898697E-3</v>
      </c>
      <c r="AV117" s="272">
        <f>Sizing!JD131</f>
        <v>7.0077647975583982E-2</v>
      </c>
      <c r="AW117" s="170">
        <f>Sizing!JC131</f>
        <v>4.9108767457898697E-3</v>
      </c>
      <c r="AX117" s="272">
        <f>Sizing!JD131</f>
        <v>7.0077647975583982E-2</v>
      </c>
      <c r="AY117" s="216">
        <f>Sizing!IT131</f>
        <v>0.25</v>
      </c>
      <c r="AZ117" s="216">
        <f>Sizing!IU131</f>
        <v>1.5748031496062995E-2</v>
      </c>
      <c r="BA117" s="17">
        <f>Sizing!IV131</f>
        <v>1.5748031496062995E-2</v>
      </c>
      <c r="BB117" s="216">
        <f t="shared" si="55"/>
        <v>2.4179687736685367E-3</v>
      </c>
      <c r="BC117" s="138">
        <f t="shared" si="56"/>
        <v>7.2254596295506844E-4</v>
      </c>
      <c r="BD117" s="138">
        <f t="shared" si="57"/>
        <v>3.1405147366236051E-3</v>
      </c>
      <c r="BE117" s="311">
        <f t="shared" si="58"/>
        <v>2.8906312297144045E-2</v>
      </c>
      <c r="BF117" s="11">
        <f t="shared" si="59"/>
        <v>8.637886262911277E-3</v>
      </c>
      <c r="BG117" s="21">
        <f t="shared" si="60"/>
        <v>3.7544198560055322E-2</v>
      </c>
      <c r="BH117" s="21">
        <f t="shared" si="61"/>
        <v>8.7157706999333329E-4</v>
      </c>
      <c r="BI117" s="21">
        <f t="shared" si="62"/>
        <v>8.7157706999333329E-4</v>
      </c>
      <c r="BJ117" s="561"/>
      <c r="BK117">
        <f t="shared" si="63"/>
        <v>1.9108022265000002</v>
      </c>
      <c r="BL117">
        <f t="shared" si="64"/>
        <v>1.9108022265000002</v>
      </c>
      <c r="BM117">
        <f>C117*'Inputs-Imperial'!$E$12</f>
        <v>0.9554011132500001</v>
      </c>
      <c r="BN117">
        <f>C117*'Inputs-Imperial'!$E$12</f>
        <v>0.9554011132500001</v>
      </c>
      <c r="BO117">
        <f>C117*'Inputs-Imperial'!$E$12</f>
        <v>0.9554011132500001</v>
      </c>
      <c r="BP117">
        <f>C117*'Weight '!$E$15</f>
        <v>1.9108022265000002</v>
      </c>
      <c r="BQ117">
        <f>C117*'Weight '!$E$15</f>
        <v>1.9108022265000002</v>
      </c>
      <c r="BR117">
        <f>C117*'Weight '!$E$15</f>
        <v>1.9108022265000002</v>
      </c>
      <c r="BS117">
        <f t="shared" si="65"/>
        <v>4.1407537751359484</v>
      </c>
      <c r="BT117" s="564">
        <f t="shared" si="66"/>
        <v>2.293907032684618</v>
      </c>
      <c r="BU117">
        <f t="shared" si="67"/>
        <v>1.8051096736426666</v>
      </c>
    </row>
    <row r="118" spans="1:73" x14ac:dyDescent="0.25">
      <c r="A118" s="186">
        <v>72</v>
      </c>
      <c r="B118" s="187">
        <f>A118/100*'Inputs-Imperial'!$E$5</f>
        <v>17.338583231999998</v>
      </c>
      <c r="C118" s="188">
        <f>'Inputs-Imperial'!$E$10+('Inputs-Imperial'!$E$9-'Inputs-Imperial'!$E$10)*(100-A118)/100</f>
        <v>3.8038058960000001</v>
      </c>
      <c r="D118" s="187">
        <f t="shared" si="68"/>
        <v>0.24081365600000026</v>
      </c>
      <c r="E118" s="188">
        <f t="shared" si="69"/>
        <v>0.9181514723214641</v>
      </c>
      <c r="F118" s="423">
        <f>Sizing!F132</f>
        <v>197.62041269209189</v>
      </c>
      <c r="G118" s="423">
        <f>Sizing!G132</f>
        <v>1976.2041269209185</v>
      </c>
      <c r="H118" s="423">
        <f>Sizing!H132</f>
        <v>6277.3605673725779</v>
      </c>
      <c r="I118" s="423">
        <f>Sizing!I132</f>
        <v>-3369.6406604758968</v>
      </c>
      <c r="J118" s="189">
        <f>Sizing!J132</f>
        <v>627.73605673725774</v>
      </c>
      <c r="K118" s="128">
        <v>72</v>
      </c>
      <c r="L118" s="12">
        <f t="shared" si="45"/>
        <v>208.06299878399997</v>
      </c>
      <c r="M118" s="11">
        <f t="shared" si="45"/>
        <v>45.645670752000001</v>
      </c>
      <c r="N118" s="11">
        <f t="shared" si="45"/>
        <v>2.8897638720000032</v>
      </c>
      <c r="O118" s="152">
        <f t="shared" si="46"/>
        <v>132.21381201429082</v>
      </c>
      <c r="P118" s="8">
        <f t="shared" si="43"/>
        <v>8.2162207353600003</v>
      </c>
      <c r="Q118" s="12">
        <f t="shared" si="70"/>
        <v>23.798486162572349</v>
      </c>
      <c r="R118" s="8">
        <f t="shared" si="44"/>
        <v>4.1081103676800002</v>
      </c>
      <c r="S118" s="12">
        <f t="shared" si="71"/>
        <v>11.899243081286174</v>
      </c>
      <c r="T118" s="17">
        <f>Sizing!CN132</f>
        <v>1.5</v>
      </c>
      <c r="U118" s="17">
        <f>Sizing!CO132</f>
        <v>2.3622047244094495E-2</v>
      </c>
      <c r="V118" s="17">
        <f>Sizing!CP132</f>
        <v>1.5748031496062995E-2</v>
      </c>
      <c r="W118" s="128">
        <f t="shared" si="47"/>
        <v>3.0224609670856709E-3</v>
      </c>
      <c r="X118" s="2">
        <f t="shared" si="48"/>
        <v>4.3352757777304109E-3</v>
      </c>
      <c r="Y118" s="2">
        <f t="shared" si="49"/>
        <v>7.3577367448160822E-3</v>
      </c>
      <c r="Z118" s="216">
        <f t="shared" si="72"/>
        <v>0.41260942474832929</v>
      </c>
      <c r="AA118" s="138">
        <f t="shared" si="73"/>
        <v>0.59182754194489762</v>
      </c>
      <c r="AB118" s="17">
        <f t="shared" si="74"/>
        <v>1.0044369666932269</v>
      </c>
      <c r="AC118" s="311">
        <f t="shared" si="75"/>
        <v>0.40549546914922013</v>
      </c>
      <c r="AD118" s="316">
        <f t="shared" si="76"/>
        <v>0.58162361880791658</v>
      </c>
      <c r="AE118" s="21">
        <f t="shared" si="77"/>
        <v>0.98711908795713676</v>
      </c>
      <c r="AF118" s="170">
        <f>Sizing!DU132</f>
        <v>0.29183693344119632</v>
      </c>
      <c r="AG118" s="170">
        <f>Sizing!DV132</f>
        <v>0.54021933827029589</v>
      </c>
      <c r="AH118" s="170">
        <f>Sizing!DW132</f>
        <v>0.29183693344119632</v>
      </c>
      <c r="AI118" s="272">
        <f>Sizing!DX132</f>
        <v>0.54021933827029589</v>
      </c>
      <c r="AJ118" s="216">
        <f>Sizing!GJ132</f>
        <v>0.5</v>
      </c>
      <c r="AK118" s="216">
        <f>Sizing!GK132</f>
        <v>3.1496062992125991E-2</v>
      </c>
      <c r="AL118" s="17">
        <f>Sizing!GL132</f>
        <v>3.1496062992125991E-2</v>
      </c>
      <c r="AM118" s="216">
        <f t="shared" si="50"/>
        <v>4.8359375473370735E-3</v>
      </c>
      <c r="AN118" s="138">
        <f t="shared" si="51"/>
        <v>1.4450919259101369E-3</v>
      </c>
      <c r="AO118" s="138">
        <f t="shared" si="52"/>
        <v>6.2810294732472101E-3</v>
      </c>
      <c r="AP118" s="311">
        <f t="shared" si="78"/>
        <v>0.1150879928033654</v>
      </c>
      <c r="AQ118" s="11">
        <f t="shared" si="79"/>
        <v>3.4391000202417421E-2</v>
      </c>
      <c r="AR118" s="21">
        <f t="shared" si="80"/>
        <v>0.14947899300578282</v>
      </c>
      <c r="AS118" s="11">
        <f t="shared" si="53"/>
        <v>5.1794901914934154E-2</v>
      </c>
      <c r="AT118" s="21">
        <f t="shared" si="54"/>
        <v>5.1794901914934154E-2</v>
      </c>
      <c r="AU118" s="170">
        <f>Sizing!JC132</f>
        <v>4.9108767457898697E-3</v>
      </c>
      <c r="AV118" s="272">
        <f>Sizing!JD132</f>
        <v>7.0077647975583982E-2</v>
      </c>
      <c r="AW118" s="170">
        <f>Sizing!JC132</f>
        <v>4.9108767457898697E-3</v>
      </c>
      <c r="AX118" s="272">
        <f>Sizing!JD132</f>
        <v>7.0077647975583982E-2</v>
      </c>
      <c r="AY118" s="216">
        <f>Sizing!IT132</f>
        <v>0.25</v>
      </c>
      <c r="AZ118" s="216">
        <f>Sizing!IU132</f>
        <v>1.5748031496062995E-2</v>
      </c>
      <c r="BA118" s="17">
        <f>Sizing!IV132</f>
        <v>1.5748031496062995E-2</v>
      </c>
      <c r="BB118" s="216">
        <f t="shared" si="55"/>
        <v>2.4179687736685367E-3</v>
      </c>
      <c r="BC118" s="138">
        <f t="shared" si="56"/>
        <v>7.2254596295506844E-4</v>
      </c>
      <c r="BD118" s="138">
        <f t="shared" si="57"/>
        <v>3.1405147366236051E-3</v>
      </c>
      <c r="BE118" s="311">
        <f t="shared" si="58"/>
        <v>2.8771998200841351E-2</v>
      </c>
      <c r="BF118" s="11">
        <f t="shared" si="59"/>
        <v>8.5977500506043553E-3</v>
      </c>
      <c r="BG118" s="21">
        <f t="shared" si="60"/>
        <v>3.7369748251445706E-2</v>
      </c>
      <c r="BH118" s="21">
        <f t="shared" si="61"/>
        <v>8.7157706999333329E-4</v>
      </c>
      <c r="BI118" s="21">
        <f t="shared" si="62"/>
        <v>8.7157706999333329E-4</v>
      </c>
      <c r="BJ118" s="561"/>
      <c r="BK118">
        <f t="shared" si="63"/>
        <v>1.901902948</v>
      </c>
      <c r="BL118">
        <f t="shared" si="64"/>
        <v>1.901902948</v>
      </c>
      <c r="BM118">
        <f>C118*'Inputs-Imperial'!$E$12</f>
        <v>0.95095147400000002</v>
      </c>
      <c r="BN118">
        <f>C118*'Inputs-Imperial'!$E$12</f>
        <v>0.95095147400000002</v>
      </c>
      <c r="BO118">
        <f>C118*'Inputs-Imperial'!$E$12</f>
        <v>0.95095147400000002</v>
      </c>
      <c r="BP118">
        <f>C118*'Weight '!$E$15</f>
        <v>1.901902948</v>
      </c>
      <c r="BQ118">
        <f>C118*'Weight '!$E$15</f>
        <v>1.901902948</v>
      </c>
      <c r="BR118">
        <f>C118*'Weight '!$E$15</f>
        <v>1.901902948</v>
      </c>
      <c r="BS118">
        <f t="shared" si="65"/>
        <v>4.1027914211841452</v>
      </c>
      <c r="BT118" s="564">
        <f t="shared" si="66"/>
        <v>2.2837377538774466</v>
      </c>
      <c r="BU118">
        <f t="shared" si="67"/>
        <v>1.7965247604363577</v>
      </c>
    </row>
    <row r="119" spans="1:73" x14ac:dyDescent="0.25">
      <c r="A119" s="186">
        <v>73</v>
      </c>
      <c r="B119" s="187">
        <f>A119/100*'Inputs-Imperial'!$E$5</f>
        <v>17.579396887999998</v>
      </c>
      <c r="C119" s="188">
        <f>'Inputs-Imperial'!$E$10+('Inputs-Imperial'!$E$9-'Inputs-Imperial'!$E$10)*(100-A119)/100</f>
        <v>3.7860073390000002</v>
      </c>
      <c r="D119" s="187">
        <f t="shared" si="68"/>
        <v>0.24081365600000026</v>
      </c>
      <c r="E119" s="188">
        <f t="shared" si="69"/>
        <v>0.91386533673876957</v>
      </c>
      <c r="F119" s="423">
        <f>Sizing!F133</f>
        <v>188.97189370691032</v>
      </c>
      <c r="G119" s="423">
        <f>Sizing!G133</f>
        <v>1889.7189370691028</v>
      </c>
      <c r="H119" s="423">
        <f>Sizing!H133</f>
        <v>5801.4636265664631</v>
      </c>
      <c r="I119" s="423">
        <f>Sizing!I133</f>
        <v>-3192.7683526242304</v>
      </c>
      <c r="J119" s="189">
        <f>Sizing!J133</f>
        <v>580.14636265664626</v>
      </c>
      <c r="K119" s="128">
        <v>73</v>
      </c>
      <c r="L119" s="12">
        <f t="shared" si="45"/>
        <v>210.95276265599998</v>
      </c>
      <c r="M119" s="11">
        <f t="shared" si="45"/>
        <v>45.432088067999999</v>
      </c>
      <c r="N119" s="11">
        <f t="shared" si="45"/>
        <v>2.8897638720000032</v>
      </c>
      <c r="O119" s="152">
        <f t="shared" si="46"/>
        <v>131.59660849038281</v>
      </c>
      <c r="P119" s="8">
        <f t="shared" si="43"/>
        <v>8.1777758522399999</v>
      </c>
      <c r="Q119" s="12">
        <f t="shared" si="70"/>
        <v>23.687389528268909</v>
      </c>
      <c r="R119" s="8">
        <f t="shared" si="44"/>
        <v>4.08888792612</v>
      </c>
      <c r="S119" s="12">
        <f t="shared" si="71"/>
        <v>11.843694764134455</v>
      </c>
      <c r="T119" s="17">
        <f>Sizing!CN133</f>
        <v>1.5</v>
      </c>
      <c r="U119" s="17">
        <f>Sizing!CO133</f>
        <v>2.3622047244094495E-2</v>
      </c>
      <c r="V119" s="17">
        <f>Sizing!CP133</f>
        <v>1.5748031496062995E-2</v>
      </c>
      <c r="W119" s="128">
        <f t="shared" si="47"/>
        <v>3.0224609670856709E-3</v>
      </c>
      <c r="X119" s="2">
        <f t="shared" si="48"/>
        <v>4.3352757777304109E-3</v>
      </c>
      <c r="Y119" s="2">
        <f t="shared" si="49"/>
        <v>7.3577367448160822E-3</v>
      </c>
      <c r="Z119" s="216">
        <f t="shared" si="72"/>
        <v>0.41068327204860378</v>
      </c>
      <c r="AA119" s="138">
        <f t="shared" si="73"/>
        <v>0.58906475915489132</v>
      </c>
      <c r="AB119" s="17">
        <f t="shared" si="74"/>
        <v>0.99974803120349509</v>
      </c>
      <c r="AC119" s="311">
        <f t="shared" si="75"/>
        <v>0.40360252597880031</v>
      </c>
      <c r="AD119" s="316">
        <f t="shared" si="76"/>
        <v>0.57890847020394498</v>
      </c>
      <c r="AE119" s="21">
        <f t="shared" si="77"/>
        <v>0.98251099618274529</v>
      </c>
      <c r="AF119" s="170">
        <f>Sizing!DU133</f>
        <v>0.29183693344119632</v>
      </c>
      <c r="AG119" s="170">
        <f>Sizing!DV133</f>
        <v>0.54021933827029589</v>
      </c>
      <c r="AH119" s="170">
        <f>Sizing!DW133</f>
        <v>0.29183693344119632</v>
      </c>
      <c r="AI119" s="272">
        <f>Sizing!DX133</f>
        <v>0.54021933827029589</v>
      </c>
      <c r="AJ119" s="216">
        <f>Sizing!GJ133</f>
        <v>0.5</v>
      </c>
      <c r="AK119" s="216">
        <f>Sizing!GK133</f>
        <v>3.1496062992125991E-2</v>
      </c>
      <c r="AL119" s="17">
        <f>Sizing!GL133</f>
        <v>3.1496062992125991E-2</v>
      </c>
      <c r="AM119" s="216">
        <f t="shared" si="50"/>
        <v>4.8359375473370735E-3</v>
      </c>
      <c r="AN119" s="138">
        <f t="shared" si="51"/>
        <v>1.4450919259101369E-3</v>
      </c>
      <c r="AO119" s="138">
        <f t="shared" si="52"/>
        <v>6.2810294732472101E-3</v>
      </c>
      <c r="AP119" s="311">
        <f t="shared" si="78"/>
        <v>0.11455073641815462</v>
      </c>
      <c r="AQ119" s="11">
        <f t="shared" si="79"/>
        <v>3.4230455353189727E-2</v>
      </c>
      <c r="AR119" s="21">
        <f t="shared" si="80"/>
        <v>0.14878119177134436</v>
      </c>
      <c r="AS119" s="11">
        <f t="shared" si="53"/>
        <v>5.1794901914934154E-2</v>
      </c>
      <c r="AT119" s="21">
        <f t="shared" si="54"/>
        <v>5.1794901914934154E-2</v>
      </c>
      <c r="AU119" s="170">
        <f>Sizing!JC133</f>
        <v>4.9108767457898697E-3</v>
      </c>
      <c r="AV119" s="272">
        <f>Sizing!JD133</f>
        <v>7.0077647975583982E-2</v>
      </c>
      <c r="AW119" s="170">
        <f>Sizing!JC133</f>
        <v>4.9108767457898697E-3</v>
      </c>
      <c r="AX119" s="272">
        <f>Sizing!JD133</f>
        <v>7.0077647975583982E-2</v>
      </c>
      <c r="AY119" s="216">
        <f>Sizing!IT133</f>
        <v>0.25</v>
      </c>
      <c r="AZ119" s="216">
        <f>Sizing!IU133</f>
        <v>1.5748031496062995E-2</v>
      </c>
      <c r="BA119" s="17">
        <f>Sizing!IV133</f>
        <v>1.5748031496062995E-2</v>
      </c>
      <c r="BB119" s="216">
        <f t="shared" si="55"/>
        <v>2.4179687736685367E-3</v>
      </c>
      <c r="BC119" s="138">
        <f t="shared" si="56"/>
        <v>7.2254596295506844E-4</v>
      </c>
      <c r="BD119" s="138">
        <f t="shared" si="57"/>
        <v>3.1405147366236051E-3</v>
      </c>
      <c r="BE119" s="311">
        <f t="shared" si="58"/>
        <v>2.8637684104538656E-2</v>
      </c>
      <c r="BF119" s="11">
        <f t="shared" si="59"/>
        <v>8.5576138382974318E-3</v>
      </c>
      <c r="BG119" s="21">
        <f t="shared" si="60"/>
        <v>3.7195297942836089E-2</v>
      </c>
      <c r="BH119" s="21">
        <f t="shared" si="61"/>
        <v>8.7157706999333329E-4</v>
      </c>
      <c r="BI119" s="21">
        <f t="shared" si="62"/>
        <v>8.7157706999333329E-4</v>
      </c>
      <c r="BJ119" s="561"/>
      <c r="BK119">
        <f t="shared" si="63"/>
        <v>1.8930036695000001</v>
      </c>
      <c r="BL119">
        <f t="shared" si="64"/>
        <v>1.8930036695000001</v>
      </c>
      <c r="BM119">
        <f>C119*'Inputs-Imperial'!$E$12</f>
        <v>0.94650183475000005</v>
      </c>
      <c r="BN119">
        <f>C119*'Inputs-Imperial'!$E$12</f>
        <v>0.94650183475000005</v>
      </c>
      <c r="BO119">
        <f>C119*'Inputs-Imperial'!$E$12</f>
        <v>0.94650183475000005</v>
      </c>
      <c r="BP119">
        <f>C119*'Weight '!$E$15</f>
        <v>1.8930036695000001</v>
      </c>
      <c r="BQ119">
        <f>C119*'Weight '!$E$15</f>
        <v>1.8930036695000001</v>
      </c>
      <c r="BR119">
        <f>C119*'Weight '!$E$15</f>
        <v>1.8930036695000001</v>
      </c>
      <c r="BS119">
        <f t="shared" si="65"/>
        <v>4.0650038557933188</v>
      </c>
      <c r="BT119" s="564">
        <f t="shared" si="66"/>
        <v>2.2735684750702752</v>
      </c>
      <c r="BU119">
        <f t="shared" si="67"/>
        <v>1.7879399280761363</v>
      </c>
    </row>
    <row r="120" spans="1:73" x14ac:dyDescent="0.25">
      <c r="A120" s="186">
        <v>74</v>
      </c>
      <c r="B120" s="187">
        <f>A120/100*'Inputs-Imperial'!$E$5</f>
        <v>17.820210543999998</v>
      </c>
      <c r="C120" s="188">
        <f>'Inputs-Imperial'!$E$10+('Inputs-Imperial'!$E$9-'Inputs-Imperial'!$E$10)*(100-A120)/100</f>
        <v>3.7682087820000003</v>
      </c>
      <c r="D120" s="187">
        <f t="shared" si="68"/>
        <v>0.24081365600000026</v>
      </c>
      <c r="E120" s="188">
        <f t="shared" si="69"/>
        <v>0.90957920115607527</v>
      </c>
      <c r="F120" s="423">
        <f>Sizing!F134</f>
        <v>180.41000949832133</v>
      </c>
      <c r="G120" s="423">
        <f>Sizing!G134</f>
        <v>1804.100094983213</v>
      </c>
      <c r="H120" s="423">
        <f>Sizing!H134</f>
        <v>5346.3935005184176</v>
      </c>
      <c r="I120" s="423">
        <f>Sizing!I134</f>
        <v>-3019.4502970705489</v>
      </c>
      <c r="J120" s="189">
        <f>Sizing!J134</f>
        <v>534.6393500518418</v>
      </c>
      <c r="K120" s="128">
        <v>74</v>
      </c>
      <c r="L120" s="12">
        <f t="shared" si="45"/>
        <v>213.84252652799998</v>
      </c>
      <c r="M120" s="11">
        <f t="shared" si="45"/>
        <v>45.218505384000004</v>
      </c>
      <c r="N120" s="11">
        <f t="shared" si="45"/>
        <v>2.8897638720000032</v>
      </c>
      <c r="O120" s="152">
        <f t="shared" si="46"/>
        <v>130.97940496647485</v>
      </c>
      <c r="P120" s="8">
        <f t="shared" si="43"/>
        <v>8.1393309691199995</v>
      </c>
      <c r="Q120" s="12">
        <f t="shared" si="70"/>
        <v>23.576292893965469</v>
      </c>
      <c r="R120" s="8">
        <f t="shared" si="44"/>
        <v>4.0696654845599998</v>
      </c>
      <c r="S120" s="12">
        <f t="shared" si="71"/>
        <v>11.788146446982735</v>
      </c>
      <c r="T120" s="17">
        <f>Sizing!CN134</f>
        <v>1.5</v>
      </c>
      <c r="U120" s="17">
        <f>Sizing!CO134</f>
        <v>2.3622047244094495E-2</v>
      </c>
      <c r="V120" s="17">
        <f>Sizing!CP134</f>
        <v>1.5748031496062995E-2</v>
      </c>
      <c r="W120" s="128">
        <f t="shared" si="47"/>
        <v>3.0224609670856709E-3</v>
      </c>
      <c r="X120" s="2">
        <f t="shared" si="48"/>
        <v>4.3352757777304109E-3</v>
      </c>
      <c r="Y120" s="2">
        <f t="shared" si="49"/>
        <v>7.3577367448160822E-3</v>
      </c>
      <c r="Z120" s="216">
        <f t="shared" si="72"/>
        <v>0.40875711934887848</v>
      </c>
      <c r="AA120" s="138">
        <f t="shared" si="73"/>
        <v>0.58630197636488535</v>
      </c>
      <c r="AB120" s="17">
        <f t="shared" si="74"/>
        <v>0.99505909571376394</v>
      </c>
      <c r="AC120" s="311">
        <f t="shared" si="75"/>
        <v>0.40170958280838048</v>
      </c>
      <c r="AD120" s="316">
        <f t="shared" si="76"/>
        <v>0.57619332159997338</v>
      </c>
      <c r="AE120" s="21">
        <f t="shared" si="77"/>
        <v>0.97790290440835403</v>
      </c>
      <c r="AF120" s="170">
        <f>Sizing!DU134</f>
        <v>0.29183693344119632</v>
      </c>
      <c r="AG120" s="170">
        <f>Sizing!DV134</f>
        <v>0.54021933827029589</v>
      </c>
      <c r="AH120" s="170">
        <f>Sizing!DW134</f>
        <v>0.29183693344119632</v>
      </c>
      <c r="AI120" s="272">
        <f>Sizing!DX134</f>
        <v>0.54021933827029589</v>
      </c>
      <c r="AJ120" s="216">
        <f>Sizing!GJ134</f>
        <v>0.5</v>
      </c>
      <c r="AK120" s="216">
        <f>Sizing!GK134</f>
        <v>3.1496062992125991E-2</v>
      </c>
      <c r="AL120" s="17">
        <f>Sizing!GL134</f>
        <v>3.1496062992125991E-2</v>
      </c>
      <c r="AM120" s="216">
        <f t="shared" si="50"/>
        <v>4.8359375473370735E-3</v>
      </c>
      <c r="AN120" s="138">
        <f t="shared" si="51"/>
        <v>1.4450919259101369E-3</v>
      </c>
      <c r="AO120" s="138">
        <f t="shared" si="52"/>
        <v>6.2810294732472101E-3</v>
      </c>
      <c r="AP120" s="311">
        <f t="shared" si="78"/>
        <v>0.11401348003294384</v>
      </c>
      <c r="AQ120" s="11">
        <f t="shared" si="79"/>
        <v>3.4069910503962034E-2</v>
      </c>
      <c r="AR120" s="21">
        <f t="shared" si="80"/>
        <v>0.14808339053690586</v>
      </c>
      <c r="AS120" s="11">
        <f t="shared" si="53"/>
        <v>5.1794901914934154E-2</v>
      </c>
      <c r="AT120" s="21">
        <f t="shared" si="54"/>
        <v>5.1794901914934154E-2</v>
      </c>
      <c r="AU120" s="170">
        <f>Sizing!JC134</f>
        <v>4.9108767457898697E-3</v>
      </c>
      <c r="AV120" s="272">
        <f>Sizing!JD134</f>
        <v>7.0077647975583982E-2</v>
      </c>
      <c r="AW120" s="170">
        <f>Sizing!JC134</f>
        <v>4.9108767457898697E-3</v>
      </c>
      <c r="AX120" s="272">
        <f>Sizing!JD134</f>
        <v>7.0077647975583982E-2</v>
      </c>
      <c r="AY120" s="216">
        <f>Sizing!IT134</f>
        <v>0.25</v>
      </c>
      <c r="AZ120" s="216">
        <f>Sizing!IU134</f>
        <v>1.5748031496062995E-2</v>
      </c>
      <c r="BA120" s="17">
        <f>Sizing!IV134</f>
        <v>1.5748031496062995E-2</v>
      </c>
      <c r="BB120" s="216">
        <f t="shared" si="55"/>
        <v>2.4179687736685367E-3</v>
      </c>
      <c r="BC120" s="138">
        <f t="shared" si="56"/>
        <v>7.2254596295506844E-4</v>
      </c>
      <c r="BD120" s="138">
        <f t="shared" si="57"/>
        <v>3.1405147366236051E-3</v>
      </c>
      <c r="BE120" s="311">
        <f t="shared" si="58"/>
        <v>2.8503370008235961E-2</v>
      </c>
      <c r="BF120" s="11">
        <f t="shared" si="59"/>
        <v>8.5174776259905084E-3</v>
      </c>
      <c r="BG120" s="21">
        <f t="shared" si="60"/>
        <v>3.7020847634226466E-2</v>
      </c>
      <c r="BH120" s="21">
        <f t="shared" si="61"/>
        <v>8.7157706999333329E-4</v>
      </c>
      <c r="BI120" s="21">
        <f t="shared" si="62"/>
        <v>8.7157706999333329E-4</v>
      </c>
      <c r="BJ120" s="561"/>
      <c r="BK120">
        <f t="shared" si="63"/>
        <v>1.8841043910000002</v>
      </c>
      <c r="BL120">
        <f t="shared" si="64"/>
        <v>1.8841043910000002</v>
      </c>
      <c r="BM120">
        <f>C120*'Inputs-Imperial'!$E$12</f>
        <v>0.94205219550000008</v>
      </c>
      <c r="BN120">
        <f>C120*'Inputs-Imperial'!$E$12</f>
        <v>0.94205219550000008</v>
      </c>
      <c r="BO120">
        <f>C120*'Inputs-Imperial'!$E$12</f>
        <v>0.94205219550000008</v>
      </c>
      <c r="BP120">
        <f>C120*'Weight '!$E$15</f>
        <v>1.8841043910000002</v>
      </c>
      <c r="BQ120">
        <f>C120*'Weight '!$E$15</f>
        <v>1.8841043910000002</v>
      </c>
      <c r="BR120">
        <f>C120*'Weight '!$E$15</f>
        <v>1.8841043910000002</v>
      </c>
      <c r="BS120">
        <f t="shared" si="65"/>
        <v>4.0273910789634702</v>
      </c>
      <c r="BT120" s="564">
        <f t="shared" si="66"/>
        <v>2.2633991962631046</v>
      </c>
      <c r="BU120">
        <f t="shared" si="67"/>
        <v>1.7793551776517083</v>
      </c>
    </row>
    <row r="121" spans="1:73" x14ac:dyDescent="0.25">
      <c r="A121" s="186">
        <v>75</v>
      </c>
      <c r="B121" s="187">
        <f>A121/100*'Inputs-Imperial'!$E$5</f>
        <v>18.061024199999999</v>
      </c>
      <c r="C121" s="188">
        <f>'Inputs-Imperial'!$E$10+('Inputs-Imperial'!$E$9-'Inputs-Imperial'!$E$10)*(100-A121)/100</f>
        <v>3.7504102250000004</v>
      </c>
      <c r="D121" s="187">
        <f t="shared" si="68"/>
        <v>0.24081365600000026</v>
      </c>
      <c r="E121" s="188">
        <f t="shared" si="69"/>
        <v>0.90529306557338085</v>
      </c>
      <c r="F121" s="423">
        <f>Sizing!F135</f>
        <v>171.9367446491384</v>
      </c>
      <c r="G121" s="423">
        <f>Sizing!G135</f>
        <v>1719.3674464913838</v>
      </c>
      <c r="H121" s="423">
        <f>Sizing!H135</f>
        <v>4911.9415608555628</v>
      </c>
      <c r="I121" s="423">
        <f>Sizing!I135</f>
        <v>-2849.7311034447307</v>
      </c>
      <c r="J121" s="189">
        <f>Sizing!J135</f>
        <v>491.1941560855563</v>
      </c>
      <c r="K121" s="128">
        <v>75</v>
      </c>
      <c r="L121" s="12">
        <f t="shared" si="45"/>
        <v>216.73229039999998</v>
      </c>
      <c r="M121" s="11">
        <f t="shared" si="45"/>
        <v>45.004922700000009</v>
      </c>
      <c r="N121" s="11">
        <f t="shared" si="45"/>
        <v>2.8897638720000032</v>
      </c>
      <c r="O121" s="152">
        <f t="shared" si="46"/>
        <v>130.36220144256686</v>
      </c>
      <c r="P121" s="8">
        <f t="shared" si="43"/>
        <v>8.1008860860000009</v>
      </c>
      <c r="Q121" s="12">
        <f t="shared" si="70"/>
        <v>23.465196259662029</v>
      </c>
      <c r="R121" s="8">
        <f t="shared" si="44"/>
        <v>4.0504430430000005</v>
      </c>
      <c r="S121" s="12">
        <f t="shared" si="71"/>
        <v>11.732598129831015</v>
      </c>
      <c r="T121" s="17">
        <f>Sizing!CN135</f>
        <v>0.75</v>
      </c>
      <c r="U121" s="17">
        <f>Sizing!CO135</f>
        <v>2.3622047244094495E-2</v>
      </c>
      <c r="V121" s="17">
        <f>Sizing!CP135</f>
        <v>1.5748031496062995E-2</v>
      </c>
      <c r="W121" s="128">
        <f t="shared" si="47"/>
        <v>3.0224609670856709E-3</v>
      </c>
      <c r="X121" s="2">
        <f t="shared" si="48"/>
        <v>2.1676378888652054E-3</v>
      </c>
      <c r="Y121" s="2">
        <f t="shared" si="49"/>
        <v>5.1900988559508768E-3</v>
      </c>
      <c r="Z121" s="216">
        <f t="shared" si="72"/>
        <v>0.40683096664915303</v>
      </c>
      <c r="AA121" s="138">
        <f t="shared" si="73"/>
        <v>0.29176959678743958</v>
      </c>
      <c r="AB121" s="17">
        <f t="shared" si="74"/>
        <v>0.69860056343659271</v>
      </c>
      <c r="AC121" s="311">
        <f t="shared" si="75"/>
        <v>0.39981663963796071</v>
      </c>
      <c r="AD121" s="316">
        <f t="shared" si="76"/>
        <v>0.28673908649800095</v>
      </c>
      <c r="AE121" s="21">
        <f t="shared" si="77"/>
        <v>0.68655572613596172</v>
      </c>
      <c r="AF121" s="170">
        <f>Sizing!DU135</f>
        <v>0.29183693344119632</v>
      </c>
      <c r="AG121" s="170">
        <f>Sizing!DV135</f>
        <v>0.54021933827029589</v>
      </c>
      <c r="AH121" s="170">
        <f>Sizing!DW135</f>
        <v>0.29183693344119632</v>
      </c>
      <c r="AI121" s="272">
        <f>Sizing!DX135</f>
        <v>0.54021933827029589</v>
      </c>
      <c r="AJ121" s="216">
        <f>Sizing!GJ135</f>
        <v>0.25</v>
      </c>
      <c r="AK121" s="216">
        <f>Sizing!GK135</f>
        <v>2.3622047244094495E-2</v>
      </c>
      <c r="AL121" s="17">
        <f>Sizing!GL135</f>
        <v>2.3622047244094495E-2</v>
      </c>
      <c r="AM121" s="216">
        <f t="shared" si="50"/>
        <v>3.6269531605028051E-3</v>
      </c>
      <c r="AN121" s="138">
        <f t="shared" si="51"/>
        <v>7.2254596295506844E-4</v>
      </c>
      <c r="AO121" s="138">
        <f t="shared" si="52"/>
        <v>4.3494991234578739E-3</v>
      </c>
      <c r="AP121" s="311">
        <f t="shared" si="78"/>
        <v>8.5107167735799794E-2</v>
      </c>
      <c r="AQ121" s="11">
        <f t="shared" si="79"/>
        <v>1.695468282736717E-2</v>
      </c>
      <c r="AR121" s="21">
        <f t="shared" si="80"/>
        <v>0.10206185056316698</v>
      </c>
      <c r="AS121" s="11">
        <f t="shared" si="53"/>
        <v>5.1794901914934154E-2</v>
      </c>
      <c r="AT121" s="21">
        <f t="shared" si="54"/>
        <v>5.1794901914934154E-2</v>
      </c>
      <c r="AU121" s="170">
        <f>Sizing!JC135</f>
        <v>4.9108767457898697E-3</v>
      </c>
      <c r="AV121" s="272">
        <f>Sizing!JD135</f>
        <v>7.0077647975583982E-2</v>
      </c>
      <c r="AW121" s="170">
        <f>Sizing!JC135</f>
        <v>4.9108767457898697E-3</v>
      </c>
      <c r="AX121" s="272">
        <f>Sizing!JD135</f>
        <v>7.0077647975583982E-2</v>
      </c>
      <c r="AY121" s="216">
        <f>Sizing!IT135</f>
        <v>0.25</v>
      </c>
      <c r="AZ121" s="216">
        <f>Sizing!IU135</f>
        <v>1.5748031496062995E-2</v>
      </c>
      <c r="BA121" s="17">
        <f>Sizing!IV135</f>
        <v>1.5748031496062995E-2</v>
      </c>
      <c r="BB121" s="216">
        <f t="shared" si="55"/>
        <v>2.4179687736685367E-3</v>
      </c>
      <c r="BC121" s="138">
        <f t="shared" si="56"/>
        <v>7.2254596295506844E-4</v>
      </c>
      <c r="BD121" s="138">
        <f t="shared" si="57"/>
        <v>3.1405147366236051E-3</v>
      </c>
      <c r="BE121" s="311">
        <f t="shared" si="58"/>
        <v>2.8369055911933266E-2</v>
      </c>
      <c r="BF121" s="11">
        <f t="shared" si="59"/>
        <v>8.477341413683585E-3</v>
      </c>
      <c r="BG121" s="21">
        <f t="shared" si="60"/>
        <v>3.6846397325616849E-2</v>
      </c>
      <c r="BH121" s="21">
        <f t="shared" si="61"/>
        <v>8.7157706999333329E-4</v>
      </c>
      <c r="BI121" s="21">
        <f t="shared" si="62"/>
        <v>8.7157706999333329E-4</v>
      </c>
      <c r="BJ121" s="561"/>
      <c r="BK121">
        <f t="shared" si="63"/>
        <v>1.8752051125000002</v>
      </c>
      <c r="BL121">
        <f t="shared" si="64"/>
        <v>1.8752051125000002</v>
      </c>
      <c r="BM121">
        <f>C121*'Inputs-Imperial'!$E$12</f>
        <v>0.93760255625000011</v>
      </c>
      <c r="BN121">
        <f>C121*'Inputs-Imperial'!$E$12</f>
        <v>0.93760255625000011</v>
      </c>
      <c r="BO121">
        <f>C121*'Inputs-Imperial'!$E$12</f>
        <v>0.93760255625000011</v>
      </c>
      <c r="BP121">
        <f>C121*'Weight '!$E$15</f>
        <v>1.8752051125000002</v>
      </c>
      <c r="BQ121">
        <f>C121*'Weight '!$E$15</f>
        <v>1.8752051125000002</v>
      </c>
      <c r="BR121">
        <f>C121*'Weight '!$E$15</f>
        <v>1.8752051125000002</v>
      </c>
      <c r="BS121">
        <f t="shared" si="65"/>
        <v>2.862634996871317</v>
      </c>
      <c r="BT121" s="564">
        <f t="shared" si="66"/>
        <v>1.6293974954311934</v>
      </c>
      <c r="BU121">
        <f t="shared" si="67"/>
        <v>1.7568671885762088</v>
      </c>
    </row>
    <row r="122" spans="1:73" x14ac:dyDescent="0.25">
      <c r="A122" s="186">
        <v>76</v>
      </c>
      <c r="B122" s="187">
        <f>A122/100*'Inputs-Imperial'!$E$5</f>
        <v>18.301837855999999</v>
      </c>
      <c r="C122" s="188">
        <f>'Inputs-Imperial'!$E$10+('Inputs-Imperial'!$E$9-'Inputs-Imperial'!$E$10)*(100-A122)/100</f>
        <v>3.7326116680000001</v>
      </c>
      <c r="D122" s="187">
        <f t="shared" si="68"/>
        <v>0.24081365600000026</v>
      </c>
      <c r="E122" s="188">
        <f t="shared" si="69"/>
        <v>0.90100692999068643</v>
      </c>
      <c r="F122" s="423">
        <f>Sizing!F136</f>
        <v>163.55418374377237</v>
      </c>
      <c r="G122" s="423">
        <f>Sizing!G136</f>
        <v>1635.5418374377236</v>
      </c>
      <c r="H122" s="423">
        <f>Sizing!H136</f>
        <v>4497.894400058588</v>
      </c>
      <c r="I122" s="423">
        <f>Sizing!I136</f>
        <v>-2683.656897533072</v>
      </c>
      <c r="J122" s="189">
        <f>Sizing!J136</f>
        <v>449.78944000585881</v>
      </c>
      <c r="K122" s="128">
        <v>76</v>
      </c>
      <c r="L122" s="12">
        <f t="shared" si="45"/>
        <v>219.62205427199999</v>
      </c>
      <c r="M122" s="11">
        <f t="shared" si="45"/>
        <v>44.791340015999999</v>
      </c>
      <c r="N122" s="11">
        <f t="shared" si="45"/>
        <v>2.8897638720000032</v>
      </c>
      <c r="O122" s="152">
        <f t="shared" si="46"/>
        <v>129.74499791865884</v>
      </c>
      <c r="P122" s="8">
        <f t="shared" si="43"/>
        <v>8.0624412028799988</v>
      </c>
      <c r="Q122" s="12">
        <f t="shared" si="70"/>
        <v>23.35409962535859</v>
      </c>
      <c r="R122" s="8">
        <f t="shared" si="44"/>
        <v>4.0312206014399994</v>
      </c>
      <c r="S122" s="12">
        <f t="shared" si="71"/>
        <v>11.677049812679295</v>
      </c>
      <c r="T122" s="17">
        <f>Sizing!CN136</f>
        <v>0.75</v>
      </c>
      <c r="U122" s="17">
        <f>Sizing!CO136</f>
        <v>2.3622047244094495E-2</v>
      </c>
      <c r="V122" s="17">
        <f>Sizing!CP136</f>
        <v>1.5748031496062995E-2</v>
      </c>
      <c r="W122" s="128">
        <f t="shared" si="47"/>
        <v>3.0224609670856709E-3</v>
      </c>
      <c r="X122" s="2">
        <f t="shared" si="48"/>
        <v>2.1676378888652054E-3</v>
      </c>
      <c r="Y122" s="2">
        <f t="shared" si="49"/>
        <v>5.1900988559508768E-3</v>
      </c>
      <c r="Z122" s="216">
        <f t="shared" si="72"/>
        <v>0.40490481394942751</v>
      </c>
      <c r="AA122" s="138">
        <f t="shared" si="73"/>
        <v>0.29038820539243643</v>
      </c>
      <c r="AB122" s="17">
        <f t="shared" si="74"/>
        <v>0.69529301934186394</v>
      </c>
      <c r="AC122" s="311">
        <f t="shared" si="75"/>
        <v>0.39792369646754078</v>
      </c>
      <c r="AD122" s="316">
        <f t="shared" si="76"/>
        <v>0.28538151219601504</v>
      </c>
      <c r="AE122" s="21">
        <f t="shared" si="77"/>
        <v>0.68330520866355593</v>
      </c>
      <c r="AF122" s="170">
        <f>Sizing!DU136</f>
        <v>0.29183693344119632</v>
      </c>
      <c r="AG122" s="170">
        <f>Sizing!DV136</f>
        <v>0.54021933827029589</v>
      </c>
      <c r="AH122" s="170">
        <f>Sizing!DW136</f>
        <v>0.29183693344119632</v>
      </c>
      <c r="AI122" s="272">
        <f>Sizing!DX136</f>
        <v>0.54021933827029589</v>
      </c>
      <c r="AJ122" s="216">
        <f>Sizing!GJ136</f>
        <v>0.25</v>
      </c>
      <c r="AK122" s="216">
        <f>Sizing!GK136</f>
        <v>2.3622047244094495E-2</v>
      </c>
      <c r="AL122" s="17">
        <f>Sizing!GL136</f>
        <v>2.3622047244094495E-2</v>
      </c>
      <c r="AM122" s="216">
        <f t="shared" si="50"/>
        <v>3.6269531605028051E-3</v>
      </c>
      <c r="AN122" s="138">
        <f t="shared" si="51"/>
        <v>7.2254596295506844E-4</v>
      </c>
      <c r="AO122" s="138">
        <f t="shared" si="52"/>
        <v>4.3494991234578739E-3</v>
      </c>
      <c r="AP122" s="311">
        <f t="shared" si="78"/>
        <v>8.4704225446891712E-2</v>
      </c>
      <c r="AQ122" s="11">
        <f t="shared" si="79"/>
        <v>1.6874410402753327E-2</v>
      </c>
      <c r="AR122" s="21">
        <f t="shared" si="80"/>
        <v>0.10157863584964505</v>
      </c>
      <c r="AS122" s="11">
        <f t="shared" si="53"/>
        <v>5.1794901914934154E-2</v>
      </c>
      <c r="AT122" s="21">
        <f t="shared" si="54"/>
        <v>5.1794901914934154E-2</v>
      </c>
      <c r="AU122" s="170">
        <f>Sizing!JC136</f>
        <v>4.9108767457898697E-3</v>
      </c>
      <c r="AV122" s="272">
        <f>Sizing!JD136</f>
        <v>7.0077647975583982E-2</v>
      </c>
      <c r="AW122" s="170">
        <f>Sizing!JC136</f>
        <v>4.9108767457898697E-3</v>
      </c>
      <c r="AX122" s="272">
        <f>Sizing!JD136</f>
        <v>7.0077647975583982E-2</v>
      </c>
      <c r="AY122" s="216">
        <f>Sizing!IT136</f>
        <v>0.25</v>
      </c>
      <c r="AZ122" s="216">
        <f>Sizing!IU136</f>
        <v>1.5748031496062995E-2</v>
      </c>
      <c r="BA122" s="17">
        <f>Sizing!IV136</f>
        <v>1.5748031496062995E-2</v>
      </c>
      <c r="BB122" s="216">
        <f t="shared" si="55"/>
        <v>2.4179687736685367E-3</v>
      </c>
      <c r="BC122" s="138">
        <f t="shared" si="56"/>
        <v>7.2254596295506844E-4</v>
      </c>
      <c r="BD122" s="138">
        <f t="shared" si="57"/>
        <v>3.1405147366236051E-3</v>
      </c>
      <c r="BE122" s="311">
        <f t="shared" si="58"/>
        <v>2.8234741815630571E-2</v>
      </c>
      <c r="BF122" s="11">
        <f t="shared" si="59"/>
        <v>8.4372052013766633E-3</v>
      </c>
      <c r="BG122" s="21">
        <f t="shared" si="60"/>
        <v>3.6671947017007232E-2</v>
      </c>
      <c r="BH122" s="21">
        <f t="shared" si="61"/>
        <v>8.7157706999333329E-4</v>
      </c>
      <c r="BI122" s="21">
        <f t="shared" si="62"/>
        <v>8.7157706999333329E-4</v>
      </c>
      <c r="BJ122" s="561"/>
      <c r="BK122">
        <f t="shared" si="63"/>
        <v>1.8663058340000001</v>
      </c>
      <c r="BL122">
        <f t="shared" si="64"/>
        <v>1.8663058340000001</v>
      </c>
      <c r="BM122">
        <f>C122*'Inputs-Imperial'!$E$12</f>
        <v>0.93315291700000003</v>
      </c>
      <c r="BN122">
        <f>C122*'Inputs-Imperial'!$E$12</f>
        <v>0.93315291700000003</v>
      </c>
      <c r="BO122">
        <f>C122*'Inputs-Imperial'!$E$12</f>
        <v>0.93315291700000003</v>
      </c>
      <c r="BP122">
        <f>C122*'Weight '!$E$15</f>
        <v>1.8663058340000001</v>
      </c>
      <c r="BQ122">
        <f>C122*'Weight '!$E$15</f>
        <v>1.8663058340000001</v>
      </c>
      <c r="BR122">
        <f>C122*'Weight '!$E$15</f>
        <v>1.8663058340000001</v>
      </c>
      <c r="BS122">
        <f t="shared" si="65"/>
        <v>2.836033771034852</v>
      </c>
      <c r="BT122" s="564">
        <f t="shared" si="66"/>
        <v>1.6221817688419273</v>
      </c>
      <c r="BU122">
        <f t="shared" si="67"/>
        <v>1.7482835928180178</v>
      </c>
    </row>
    <row r="123" spans="1:73" x14ac:dyDescent="0.25">
      <c r="A123" s="186">
        <v>77</v>
      </c>
      <c r="B123" s="187">
        <f>A123/100*'Inputs-Imperial'!$E$5</f>
        <v>18.542651511999999</v>
      </c>
      <c r="C123" s="188">
        <f>'Inputs-Imperial'!$E$10+('Inputs-Imperial'!$E$9-'Inputs-Imperial'!$E$10)*(100-A123)/100</f>
        <v>3.7148131110000002</v>
      </c>
      <c r="D123" s="187">
        <f t="shared" si="68"/>
        <v>0.24081365600000026</v>
      </c>
      <c r="E123" s="188">
        <f t="shared" si="69"/>
        <v>0.89672079440799202</v>
      </c>
      <c r="F123" s="423">
        <f>Sizing!F137</f>
        <v>155.26452159936986</v>
      </c>
      <c r="G123" s="423">
        <f>Sizing!G137</f>
        <v>1552.6452159936985</v>
      </c>
      <c r="H123" s="423">
        <f>Sizing!H137</f>
        <v>4104.0335906442515</v>
      </c>
      <c r="I123" s="423">
        <f>Sizing!I137</f>
        <v>-2521.2754978452945</v>
      </c>
      <c r="J123" s="189">
        <f>Sizing!J137</f>
        <v>410.40335906442516</v>
      </c>
      <c r="K123" s="128">
        <v>77</v>
      </c>
      <c r="L123" s="12">
        <f t="shared" si="45"/>
        <v>222.51181814399999</v>
      </c>
      <c r="M123" s="11">
        <f t="shared" si="45"/>
        <v>44.577757332000004</v>
      </c>
      <c r="N123" s="11">
        <f t="shared" si="45"/>
        <v>2.8897638720000032</v>
      </c>
      <c r="O123" s="152">
        <f t="shared" si="46"/>
        <v>129.12779439475085</v>
      </c>
      <c r="P123" s="8">
        <f t="shared" si="43"/>
        <v>8.0239963197600002</v>
      </c>
      <c r="Q123" s="12">
        <f t="shared" si="70"/>
        <v>23.24300299105515</v>
      </c>
      <c r="R123" s="8">
        <f t="shared" si="44"/>
        <v>4.0119981598800001</v>
      </c>
      <c r="S123" s="12">
        <f t="shared" si="71"/>
        <v>11.621501495527575</v>
      </c>
      <c r="T123" s="17">
        <f>Sizing!CN137</f>
        <v>0.75</v>
      </c>
      <c r="U123" s="17">
        <f>Sizing!CO137</f>
        <v>2.3622047244094495E-2</v>
      </c>
      <c r="V123" s="17">
        <f>Sizing!CP137</f>
        <v>1.5748031496062995E-2</v>
      </c>
      <c r="W123" s="128">
        <f t="shared" si="47"/>
        <v>3.0224609670856709E-3</v>
      </c>
      <c r="X123" s="2">
        <f t="shared" si="48"/>
        <v>2.1676378888652054E-3</v>
      </c>
      <c r="Y123" s="2">
        <f t="shared" si="49"/>
        <v>5.1900988559508768E-3</v>
      </c>
      <c r="Z123" s="216">
        <f t="shared" si="72"/>
        <v>0.40297866124970205</v>
      </c>
      <c r="AA123" s="138">
        <f t="shared" si="73"/>
        <v>0.28900681399743333</v>
      </c>
      <c r="AB123" s="17">
        <f t="shared" si="74"/>
        <v>0.69198547524713538</v>
      </c>
      <c r="AC123" s="311">
        <f t="shared" si="75"/>
        <v>0.39603075329712101</v>
      </c>
      <c r="AD123" s="316">
        <f t="shared" si="76"/>
        <v>0.2840239378940293</v>
      </c>
      <c r="AE123" s="21">
        <f t="shared" si="77"/>
        <v>0.68005469119115036</v>
      </c>
      <c r="AF123" s="170">
        <f>Sizing!DU137</f>
        <v>0.29183693344119632</v>
      </c>
      <c r="AG123" s="170">
        <f>Sizing!DV137</f>
        <v>0.54021933827029589</v>
      </c>
      <c r="AH123" s="170">
        <f>Sizing!DW137</f>
        <v>0.29183693344119632</v>
      </c>
      <c r="AI123" s="272">
        <f>Sizing!DX137</f>
        <v>0.54021933827029589</v>
      </c>
      <c r="AJ123" s="216">
        <f>Sizing!GJ137</f>
        <v>0.25</v>
      </c>
      <c r="AK123" s="216">
        <f>Sizing!GK137</f>
        <v>2.3622047244094495E-2</v>
      </c>
      <c r="AL123" s="17">
        <f>Sizing!GL137</f>
        <v>2.3622047244094495E-2</v>
      </c>
      <c r="AM123" s="216">
        <f t="shared" si="50"/>
        <v>3.6269531605028051E-3</v>
      </c>
      <c r="AN123" s="138">
        <f t="shared" si="51"/>
        <v>7.2254596295506844E-4</v>
      </c>
      <c r="AO123" s="138">
        <f t="shared" si="52"/>
        <v>4.3494991234578739E-3</v>
      </c>
      <c r="AP123" s="311">
        <f t="shared" si="78"/>
        <v>8.4301283157983631E-2</v>
      </c>
      <c r="AQ123" s="11">
        <f t="shared" si="79"/>
        <v>1.679413797813948E-2</v>
      </c>
      <c r="AR123" s="21">
        <f t="shared" si="80"/>
        <v>0.10109542113612312</v>
      </c>
      <c r="AS123" s="11">
        <f t="shared" si="53"/>
        <v>5.1794901914934154E-2</v>
      </c>
      <c r="AT123" s="21">
        <f t="shared" si="54"/>
        <v>5.1794901914934154E-2</v>
      </c>
      <c r="AU123" s="170">
        <f>Sizing!JC137</f>
        <v>4.9108767457898697E-3</v>
      </c>
      <c r="AV123" s="272">
        <f>Sizing!JD137</f>
        <v>7.0077647975583982E-2</v>
      </c>
      <c r="AW123" s="170">
        <f>Sizing!JC137</f>
        <v>4.9108767457898697E-3</v>
      </c>
      <c r="AX123" s="272">
        <f>Sizing!JD137</f>
        <v>7.0077647975583982E-2</v>
      </c>
      <c r="AY123" s="216">
        <f>Sizing!IT137</f>
        <v>0.25</v>
      </c>
      <c r="AZ123" s="216">
        <f>Sizing!IU137</f>
        <v>1.5748031496062995E-2</v>
      </c>
      <c r="BA123" s="17">
        <f>Sizing!IV137</f>
        <v>1.5748031496062995E-2</v>
      </c>
      <c r="BB123" s="216">
        <f t="shared" si="55"/>
        <v>2.4179687736685367E-3</v>
      </c>
      <c r="BC123" s="138">
        <f t="shared" si="56"/>
        <v>7.2254596295506844E-4</v>
      </c>
      <c r="BD123" s="138">
        <f t="shared" si="57"/>
        <v>3.1405147366236051E-3</v>
      </c>
      <c r="BE123" s="311">
        <f t="shared" si="58"/>
        <v>2.8100427719327876E-2</v>
      </c>
      <c r="BF123" s="11">
        <f t="shared" si="59"/>
        <v>8.3970689890697399E-3</v>
      </c>
      <c r="BG123" s="21">
        <f t="shared" si="60"/>
        <v>3.6497496708397616E-2</v>
      </c>
      <c r="BH123" s="21">
        <f t="shared" si="61"/>
        <v>8.7157706999333329E-4</v>
      </c>
      <c r="BI123" s="21">
        <f t="shared" si="62"/>
        <v>8.7157706999333329E-4</v>
      </c>
      <c r="BJ123" s="561"/>
      <c r="BK123">
        <f t="shared" si="63"/>
        <v>1.8574065555000001</v>
      </c>
      <c r="BL123">
        <f t="shared" si="64"/>
        <v>1.8574065555000001</v>
      </c>
      <c r="BM123">
        <f>C123*'Inputs-Imperial'!$E$12</f>
        <v>0.92870327775000006</v>
      </c>
      <c r="BN123">
        <f>C123*'Inputs-Imperial'!$E$12</f>
        <v>0.92870327775000006</v>
      </c>
      <c r="BO123">
        <f>C123*'Inputs-Imperial'!$E$12</f>
        <v>0.92870327775000006</v>
      </c>
      <c r="BP123">
        <f>C123*'Weight '!$E$15</f>
        <v>1.8574065555000001</v>
      </c>
      <c r="BQ123">
        <f>C123*'Weight '!$E$15</f>
        <v>1.8574065555000001</v>
      </c>
      <c r="BR123">
        <f>C123*'Weight '!$E$15</f>
        <v>1.8574065555000001</v>
      </c>
      <c r="BS123">
        <f t="shared" si="65"/>
        <v>2.8095566744570717</v>
      </c>
      <c r="BT123" s="564">
        <f t="shared" si="66"/>
        <v>1.6149660422526615</v>
      </c>
      <c r="BU123">
        <f t="shared" si="67"/>
        <v>1.7397001552664948</v>
      </c>
    </row>
    <row r="124" spans="1:73" x14ac:dyDescent="0.25">
      <c r="A124" s="186">
        <v>78</v>
      </c>
      <c r="B124" s="187">
        <f>A124/100*'Inputs-Imperial'!$E$5</f>
        <v>18.783465167999999</v>
      </c>
      <c r="C124" s="188">
        <f>'Inputs-Imperial'!$E$10+('Inputs-Imperial'!$E$9-'Inputs-Imperial'!$E$10)*(100-A124)/100</f>
        <v>3.6970145540000003</v>
      </c>
      <c r="D124" s="187">
        <f t="shared" si="68"/>
        <v>0.24081365600000026</v>
      </c>
      <c r="E124" s="188">
        <f t="shared" si="69"/>
        <v>0.89243465882529771</v>
      </c>
      <c r="F124" s="423">
        <f>Sizing!F138</f>
        <v>147.07007502346536</v>
      </c>
      <c r="G124" s="423">
        <f>Sizing!G138</f>
        <v>1470.7007502346535</v>
      </c>
      <c r="H124" s="423">
        <f>Sizing!H138</f>
        <v>3730.135419709899</v>
      </c>
      <c r="I124" s="423">
        <f>Sizing!I138</f>
        <v>-2362.6366195316177</v>
      </c>
      <c r="J124" s="189">
        <f>Sizing!J138</f>
        <v>373.01354197098988</v>
      </c>
      <c r="K124" s="128">
        <v>78</v>
      </c>
      <c r="L124" s="12">
        <f t="shared" si="45"/>
        <v>225.40158201599999</v>
      </c>
      <c r="M124" s="11">
        <f t="shared" si="45"/>
        <v>44.364174648000002</v>
      </c>
      <c r="N124" s="11">
        <f t="shared" si="45"/>
        <v>2.8897638720000032</v>
      </c>
      <c r="O124" s="152">
        <f t="shared" si="46"/>
        <v>128.51059087084286</v>
      </c>
      <c r="P124" s="8">
        <f t="shared" ref="P124:P146" si="81">M124*$E$17</f>
        <v>7.9855514366399998</v>
      </c>
      <c r="Q124" s="12">
        <f t="shared" si="70"/>
        <v>23.131906356751713</v>
      </c>
      <c r="R124" s="8">
        <f t="shared" ref="R124:R146" si="82">M124*$E$21</f>
        <v>3.9927757183199999</v>
      </c>
      <c r="S124" s="12">
        <f t="shared" si="71"/>
        <v>11.565953178375857</v>
      </c>
      <c r="T124" s="17">
        <f>Sizing!CN138</f>
        <v>0.75</v>
      </c>
      <c r="U124" s="17">
        <f>Sizing!CO138</f>
        <v>2.3622047244094495E-2</v>
      </c>
      <c r="V124" s="17">
        <f>Sizing!CP138</f>
        <v>1.5748031496062995E-2</v>
      </c>
      <c r="W124" s="128">
        <f t="shared" si="47"/>
        <v>3.0224609670856709E-3</v>
      </c>
      <c r="X124" s="2">
        <f t="shared" si="48"/>
        <v>2.1676378888652054E-3</v>
      </c>
      <c r="Y124" s="2">
        <f t="shared" si="49"/>
        <v>5.1900988559508768E-3</v>
      </c>
      <c r="Z124" s="216">
        <f t="shared" si="72"/>
        <v>0.40105250854997665</v>
      </c>
      <c r="AA124" s="138">
        <f t="shared" si="73"/>
        <v>0.28762542260243029</v>
      </c>
      <c r="AB124" s="17">
        <f t="shared" si="74"/>
        <v>0.68867793115240694</v>
      </c>
      <c r="AC124" s="311">
        <f t="shared" si="75"/>
        <v>0.39413781012670113</v>
      </c>
      <c r="AD124" s="316">
        <f t="shared" si="76"/>
        <v>0.2826663635920435</v>
      </c>
      <c r="AE124" s="21">
        <f t="shared" si="77"/>
        <v>0.67680417371874468</v>
      </c>
      <c r="AF124" s="170">
        <f>Sizing!DU138</f>
        <v>0.29183693344119632</v>
      </c>
      <c r="AG124" s="170">
        <f>Sizing!DV138</f>
        <v>0.54021933827029589</v>
      </c>
      <c r="AH124" s="170">
        <f>Sizing!DW138</f>
        <v>0.29183693344119632</v>
      </c>
      <c r="AI124" s="272">
        <f>Sizing!DX138</f>
        <v>0.54021933827029589</v>
      </c>
      <c r="AJ124" s="216">
        <f>Sizing!GJ138</f>
        <v>0.25</v>
      </c>
      <c r="AK124" s="216">
        <f>Sizing!GK138</f>
        <v>2.3622047244094495E-2</v>
      </c>
      <c r="AL124" s="17">
        <f>Sizing!GL138</f>
        <v>2.3622047244094495E-2</v>
      </c>
      <c r="AM124" s="216">
        <f t="shared" si="50"/>
        <v>3.6269531605028051E-3</v>
      </c>
      <c r="AN124" s="138">
        <f t="shared" si="51"/>
        <v>7.2254596295506844E-4</v>
      </c>
      <c r="AO124" s="138">
        <f t="shared" si="52"/>
        <v>4.3494991234578739E-3</v>
      </c>
      <c r="AP124" s="311">
        <f t="shared" si="78"/>
        <v>8.3898340869075549E-2</v>
      </c>
      <c r="AQ124" s="11">
        <f t="shared" si="79"/>
        <v>1.6713865553525636E-2</v>
      </c>
      <c r="AR124" s="21">
        <f t="shared" si="80"/>
        <v>0.1006122064226012</v>
      </c>
      <c r="AS124" s="11">
        <f t="shared" si="53"/>
        <v>5.1794901914934154E-2</v>
      </c>
      <c r="AT124" s="21">
        <f t="shared" si="54"/>
        <v>5.1794901914934154E-2</v>
      </c>
      <c r="AU124" s="170">
        <f>Sizing!JC138</f>
        <v>4.9108767457898697E-3</v>
      </c>
      <c r="AV124" s="272">
        <f>Sizing!JD138</f>
        <v>7.0077647975583982E-2</v>
      </c>
      <c r="AW124" s="170">
        <f>Sizing!JC138</f>
        <v>4.9108767457898697E-3</v>
      </c>
      <c r="AX124" s="272">
        <f>Sizing!JD138</f>
        <v>7.0077647975583982E-2</v>
      </c>
      <c r="AY124" s="216">
        <f>Sizing!IT138</f>
        <v>0.25</v>
      </c>
      <c r="AZ124" s="216">
        <f>Sizing!IU138</f>
        <v>1.5748031496062995E-2</v>
      </c>
      <c r="BA124" s="17">
        <f>Sizing!IV138</f>
        <v>1.5748031496062995E-2</v>
      </c>
      <c r="BB124" s="216">
        <f t="shared" si="55"/>
        <v>2.4179687736685367E-3</v>
      </c>
      <c r="BC124" s="138">
        <f t="shared" si="56"/>
        <v>7.2254596295506844E-4</v>
      </c>
      <c r="BD124" s="138">
        <f t="shared" si="57"/>
        <v>3.1405147366236051E-3</v>
      </c>
      <c r="BE124" s="311">
        <f t="shared" si="58"/>
        <v>2.7966113623025184E-2</v>
      </c>
      <c r="BF124" s="11">
        <f t="shared" si="59"/>
        <v>8.3569327767628182E-3</v>
      </c>
      <c r="BG124" s="21">
        <f t="shared" si="60"/>
        <v>3.6323046399787999E-2</v>
      </c>
      <c r="BH124" s="21">
        <f t="shared" si="61"/>
        <v>8.7157706999333329E-4</v>
      </c>
      <c r="BI124" s="21">
        <f t="shared" si="62"/>
        <v>8.7157706999333329E-4</v>
      </c>
      <c r="BJ124" s="561"/>
      <c r="BK124">
        <f t="shared" si="63"/>
        <v>1.8485072770000002</v>
      </c>
      <c r="BL124">
        <f t="shared" si="64"/>
        <v>1.8485072770000002</v>
      </c>
      <c r="BM124">
        <f>C124*'Inputs-Imperial'!$E$12</f>
        <v>0.92425363850000009</v>
      </c>
      <c r="BN124">
        <f>C124*'Inputs-Imperial'!$E$12</f>
        <v>0.92425363850000009</v>
      </c>
      <c r="BO124">
        <f>C124*'Inputs-Imperial'!$E$12</f>
        <v>0.92425363850000009</v>
      </c>
      <c r="BP124">
        <f>C124*'Weight '!$E$15</f>
        <v>1.8485072770000002</v>
      </c>
      <c r="BQ124">
        <f>C124*'Weight '!$E$15</f>
        <v>1.8485072770000002</v>
      </c>
      <c r="BR124">
        <f>C124*'Weight '!$E$15</f>
        <v>1.8485072770000002</v>
      </c>
      <c r="BS124">
        <f t="shared" si="65"/>
        <v>2.7832037071379752</v>
      </c>
      <c r="BT124" s="564">
        <f t="shared" si="66"/>
        <v>1.6077503156633959</v>
      </c>
      <c r="BU124">
        <f t="shared" si="67"/>
        <v>1.7311168780517758</v>
      </c>
    </row>
    <row r="125" spans="1:73" x14ac:dyDescent="0.25">
      <c r="A125" s="186">
        <v>79</v>
      </c>
      <c r="B125" s="187">
        <f>A125/100*'Inputs-Imperial'!$E$5</f>
        <v>19.024278824</v>
      </c>
      <c r="C125" s="188">
        <f>'Inputs-Imperial'!$E$10+('Inputs-Imperial'!$E$9-'Inputs-Imperial'!$E$10)*(100-A125)/100</f>
        <v>3.6792159970000005</v>
      </c>
      <c r="D125" s="187">
        <f t="shared" si="68"/>
        <v>0.24081365600000026</v>
      </c>
      <c r="E125" s="188">
        <f t="shared" si="69"/>
        <v>0.88814852324260329</v>
      </c>
      <c r="F125" s="423">
        <f>Sizing!F139</f>
        <v>138.97329640629005</v>
      </c>
      <c r="G125" s="423">
        <f>Sizing!G139</f>
        <v>1389.7329640629005</v>
      </c>
      <c r="H125" s="423">
        <f>Sizing!H139</f>
        <v>3375.9705951639489</v>
      </c>
      <c r="I125" s="423">
        <f>Sizing!I139</f>
        <v>-2207.7921113220286</v>
      </c>
      <c r="J125" s="189">
        <f>Sizing!J139</f>
        <v>337.59705951639484</v>
      </c>
      <c r="K125" s="128">
        <v>79</v>
      </c>
      <c r="L125" s="12">
        <f t="shared" si="45"/>
        <v>228.291345888</v>
      </c>
      <c r="M125" s="11">
        <f t="shared" si="45"/>
        <v>44.150591964000007</v>
      </c>
      <c r="N125" s="11">
        <f t="shared" si="45"/>
        <v>2.8897638720000032</v>
      </c>
      <c r="O125" s="152">
        <f t="shared" si="46"/>
        <v>127.89338734693487</v>
      </c>
      <c r="P125" s="8">
        <f t="shared" si="81"/>
        <v>7.9471065535200012</v>
      </c>
      <c r="Q125" s="12">
        <f t="shared" si="70"/>
        <v>23.020809722448277</v>
      </c>
      <c r="R125" s="8">
        <f t="shared" si="82"/>
        <v>3.9735532767600006</v>
      </c>
      <c r="S125" s="12">
        <f t="shared" si="71"/>
        <v>11.510404861224139</v>
      </c>
      <c r="T125" s="17">
        <f>Sizing!CN139</f>
        <v>0.75</v>
      </c>
      <c r="U125" s="17">
        <f>Sizing!CO139</f>
        <v>2.3622047244094495E-2</v>
      </c>
      <c r="V125" s="17">
        <f>Sizing!CP139</f>
        <v>1.5748031496062995E-2</v>
      </c>
      <c r="W125" s="128">
        <f t="shared" si="47"/>
        <v>3.0224609670856709E-3</v>
      </c>
      <c r="X125" s="2">
        <f t="shared" si="48"/>
        <v>2.1676378888652054E-3</v>
      </c>
      <c r="Y125" s="2">
        <f t="shared" si="49"/>
        <v>5.1900988559508768E-3</v>
      </c>
      <c r="Z125" s="216">
        <f t="shared" si="72"/>
        <v>0.39912635585025119</v>
      </c>
      <c r="AA125" s="138">
        <f t="shared" si="73"/>
        <v>0.28624403120742714</v>
      </c>
      <c r="AB125" s="17">
        <f t="shared" si="74"/>
        <v>0.68537038705767839</v>
      </c>
      <c r="AC125" s="311">
        <f t="shared" si="75"/>
        <v>0.39224486695628136</v>
      </c>
      <c r="AD125" s="316">
        <f t="shared" si="76"/>
        <v>0.2813087892900577</v>
      </c>
      <c r="AE125" s="21">
        <f t="shared" si="77"/>
        <v>0.67355365624633912</v>
      </c>
      <c r="AF125" s="170">
        <f>Sizing!DU139</f>
        <v>0.29183693344119632</v>
      </c>
      <c r="AG125" s="170">
        <f>Sizing!DV139</f>
        <v>0.54021933827029589</v>
      </c>
      <c r="AH125" s="170">
        <f>Sizing!DW139</f>
        <v>0.29183693344119632</v>
      </c>
      <c r="AI125" s="272">
        <f>Sizing!DX139</f>
        <v>0.54021933827029589</v>
      </c>
      <c r="AJ125" s="216">
        <f>Sizing!GJ139</f>
        <v>0.25</v>
      </c>
      <c r="AK125" s="216">
        <f>Sizing!GK139</f>
        <v>2.3622047244094495E-2</v>
      </c>
      <c r="AL125" s="17">
        <f>Sizing!GL139</f>
        <v>2.3622047244094495E-2</v>
      </c>
      <c r="AM125" s="216">
        <f t="shared" si="50"/>
        <v>3.6269531605028051E-3</v>
      </c>
      <c r="AN125" s="138">
        <f t="shared" si="51"/>
        <v>7.2254596295506844E-4</v>
      </c>
      <c r="AO125" s="138">
        <f t="shared" si="52"/>
        <v>4.3494991234578739E-3</v>
      </c>
      <c r="AP125" s="311">
        <f t="shared" si="78"/>
        <v>8.3495398580167482E-2</v>
      </c>
      <c r="AQ125" s="11">
        <f t="shared" si="79"/>
        <v>1.6633593128911793E-2</v>
      </c>
      <c r="AR125" s="21">
        <f t="shared" si="80"/>
        <v>0.10012899170907928</v>
      </c>
      <c r="AS125" s="11">
        <f t="shared" si="53"/>
        <v>5.1794901914934154E-2</v>
      </c>
      <c r="AT125" s="21">
        <f t="shared" si="54"/>
        <v>5.1794901914934154E-2</v>
      </c>
      <c r="AU125" s="170">
        <f>Sizing!JC139</f>
        <v>4.9108767457898697E-3</v>
      </c>
      <c r="AV125" s="272">
        <f>Sizing!JD139</f>
        <v>7.0077647975583982E-2</v>
      </c>
      <c r="AW125" s="170">
        <f>Sizing!JC139</f>
        <v>4.9108767457898697E-3</v>
      </c>
      <c r="AX125" s="272">
        <f>Sizing!JD139</f>
        <v>7.0077647975583982E-2</v>
      </c>
      <c r="AY125" s="216">
        <f>Sizing!IT139</f>
        <v>0.25</v>
      </c>
      <c r="AZ125" s="216">
        <f>Sizing!IU139</f>
        <v>1.5748031496062995E-2</v>
      </c>
      <c r="BA125" s="17">
        <f>Sizing!IV139</f>
        <v>1.5748031496062995E-2</v>
      </c>
      <c r="BB125" s="216">
        <f t="shared" si="55"/>
        <v>2.4179687736685367E-3</v>
      </c>
      <c r="BC125" s="138">
        <f t="shared" si="56"/>
        <v>7.2254596295506844E-4</v>
      </c>
      <c r="BD125" s="138">
        <f t="shared" si="57"/>
        <v>3.1405147366236051E-3</v>
      </c>
      <c r="BE125" s="311">
        <f t="shared" si="58"/>
        <v>2.7831799526722493E-2</v>
      </c>
      <c r="BF125" s="11">
        <f t="shared" si="59"/>
        <v>8.3167965644558965E-3</v>
      </c>
      <c r="BG125" s="21">
        <f t="shared" si="60"/>
        <v>3.6148596091178389E-2</v>
      </c>
      <c r="BH125" s="21">
        <f t="shared" si="61"/>
        <v>8.7157706999333329E-4</v>
      </c>
      <c r="BI125" s="21">
        <f t="shared" si="62"/>
        <v>8.7157706999333329E-4</v>
      </c>
      <c r="BJ125" s="561"/>
      <c r="BK125">
        <f t="shared" si="63"/>
        <v>1.8396079985000002</v>
      </c>
      <c r="BL125">
        <f t="shared" si="64"/>
        <v>1.8396079985000002</v>
      </c>
      <c r="BM125">
        <f>C125*'Inputs-Imperial'!$E$12</f>
        <v>0.91980399925000011</v>
      </c>
      <c r="BN125">
        <f>C125*'Inputs-Imperial'!$E$12</f>
        <v>0.91980399925000011</v>
      </c>
      <c r="BO125">
        <f>C125*'Inputs-Imperial'!$E$12</f>
        <v>0.91980399925000011</v>
      </c>
      <c r="BP125">
        <f>C125*'Weight '!$E$15</f>
        <v>1.8396079985000002</v>
      </c>
      <c r="BQ125">
        <f>C125*'Weight '!$E$15</f>
        <v>1.8396079985000002</v>
      </c>
      <c r="BR125">
        <f>C125*'Weight '!$E$15</f>
        <v>1.8396079985000002</v>
      </c>
      <c r="BS125">
        <f t="shared" si="65"/>
        <v>2.7569748690775637</v>
      </c>
      <c r="BT125" s="564">
        <f t="shared" si="66"/>
        <v>1.6005345890741305</v>
      </c>
      <c r="BU125">
        <f t="shared" si="67"/>
        <v>1.7225337633424125</v>
      </c>
    </row>
    <row r="126" spans="1:73" x14ac:dyDescent="0.25">
      <c r="A126" s="186">
        <v>80</v>
      </c>
      <c r="B126" s="187">
        <f>A126/100*'Inputs-Imperial'!$E$5</f>
        <v>19.26509248</v>
      </c>
      <c r="C126" s="188">
        <f>'Inputs-Imperial'!$E$10+('Inputs-Imperial'!$E$9-'Inputs-Imperial'!$E$10)*(100-A126)/100</f>
        <v>3.6614174400000001</v>
      </c>
      <c r="D126" s="187">
        <f t="shared" si="68"/>
        <v>0.24081365600000026</v>
      </c>
      <c r="E126" s="188">
        <f t="shared" si="69"/>
        <v>0.88386238765990888</v>
      </c>
      <c r="F126" s="423">
        <f>Sizing!F140</f>
        <v>130.97678953571</v>
      </c>
      <c r="G126" s="423">
        <f>Sizing!G140</f>
        <v>1309.7678953571001</v>
      </c>
      <c r="H126" s="423">
        <f>Sizing!H140</f>
        <v>3041.303919224245</v>
      </c>
      <c r="I126" s="423">
        <f>Sizing!I140</f>
        <v>-2056.7962326608936</v>
      </c>
      <c r="J126" s="189">
        <f>Sizing!J140</f>
        <v>304.13039192242445</v>
      </c>
      <c r="K126" s="128">
        <v>80</v>
      </c>
      <c r="L126" s="12">
        <f t="shared" si="45"/>
        <v>231.18110976</v>
      </c>
      <c r="M126" s="11">
        <f t="shared" si="45"/>
        <v>43.937009279999998</v>
      </c>
      <c r="N126" s="11">
        <f t="shared" si="45"/>
        <v>2.8897638720000032</v>
      </c>
      <c r="O126" s="152">
        <f t="shared" si="46"/>
        <v>127.27618382302688</v>
      </c>
      <c r="P126" s="8">
        <f t="shared" si="81"/>
        <v>7.908661670399999</v>
      </c>
      <c r="Q126" s="12">
        <f t="shared" si="70"/>
        <v>22.909713088144837</v>
      </c>
      <c r="R126" s="8">
        <f t="shared" si="82"/>
        <v>3.9543308351999995</v>
      </c>
      <c r="S126" s="12">
        <f t="shared" si="71"/>
        <v>11.454856544072419</v>
      </c>
      <c r="T126" s="17">
        <f>Sizing!CN140</f>
        <v>0.75</v>
      </c>
      <c r="U126" s="17">
        <f>Sizing!CO140</f>
        <v>2.3622047244094495E-2</v>
      </c>
      <c r="V126" s="17">
        <f>Sizing!CP140</f>
        <v>1.5748031496062995E-2</v>
      </c>
      <c r="W126" s="128">
        <f t="shared" si="47"/>
        <v>3.0224609670856709E-3</v>
      </c>
      <c r="X126" s="2">
        <f t="shared" si="48"/>
        <v>2.1676378888652054E-3</v>
      </c>
      <c r="Y126" s="2">
        <f t="shared" si="49"/>
        <v>5.1900988559508768E-3</v>
      </c>
      <c r="Z126" s="216">
        <f t="shared" si="72"/>
        <v>0.39720020315052573</v>
      </c>
      <c r="AA126" s="138">
        <f t="shared" si="73"/>
        <v>0.28486263981242405</v>
      </c>
      <c r="AB126" s="17">
        <f t="shared" si="74"/>
        <v>0.68206284296294983</v>
      </c>
      <c r="AC126" s="311">
        <f t="shared" si="75"/>
        <v>0.39035192378586148</v>
      </c>
      <c r="AD126" s="316">
        <f t="shared" si="76"/>
        <v>0.27995121498807191</v>
      </c>
      <c r="AE126" s="21">
        <f t="shared" si="77"/>
        <v>0.67030313877393344</v>
      </c>
      <c r="AF126" s="170">
        <f>Sizing!DU140</f>
        <v>0.12489389406218925</v>
      </c>
      <c r="AG126" s="170">
        <f>Sizing!DV140</f>
        <v>0.35340330227968902</v>
      </c>
      <c r="AH126" s="170">
        <f>Sizing!DW140</f>
        <v>0.12489389406218925</v>
      </c>
      <c r="AI126" s="272">
        <f>Sizing!DX140</f>
        <v>0.35340330227968902</v>
      </c>
      <c r="AJ126" s="216">
        <f>Sizing!GJ140</f>
        <v>0.25</v>
      </c>
      <c r="AK126" s="216">
        <f>Sizing!GK140</f>
        <v>2.3622047244094495E-2</v>
      </c>
      <c r="AL126" s="17">
        <f>Sizing!GL140</f>
        <v>2.3622047244094495E-2</v>
      </c>
      <c r="AM126" s="216">
        <f t="shared" si="50"/>
        <v>3.6269531605028051E-3</v>
      </c>
      <c r="AN126" s="138">
        <f t="shared" si="51"/>
        <v>7.2254596295506844E-4</v>
      </c>
      <c r="AO126" s="138">
        <f t="shared" si="52"/>
        <v>4.3494991234578739E-3</v>
      </c>
      <c r="AP126" s="311">
        <f t="shared" si="78"/>
        <v>8.3092456291259401E-2</v>
      </c>
      <c r="AQ126" s="11">
        <f t="shared" si="79"/>
        <v>1.6553320704297946E-2</v>
      </c>
      <c r="AR126" s="21">
        <f t="shared" si="80"/>
        <v>9.964577699555735E-2</v>
      </c>
      <c r="AS126" s="11">
        <f t="shared" si="53"/>
        <v>2.216603264174825E-2</v>
      </c>
      <c r="AT126" s="21">
        <f t="shared" si="54"/>
        <v>2.216603264174825E-2</v>
      </c>
      <c r="AU126" s="170">
        <f>Sizing!JC140</f>
        <v>2.1476328638547018E-3</v>
      </c>
      <c r="AV126" s="272">
        <f>Sizing!JD140</f>
        <v>4.6342559962249626E-2</v>
      </c>
      <c r="AW126" s="170">
        <f>Sizing!JC140</f>
        <v>2.1476328638547018E-3</v>
      </c>
      <c r="AX126" s="272">
        <f>Sizing!JD140</f>
        <v>4.6342559962249626E-2</v>
      </c>
      <c r="AY126" s="216">
        <f>Sizing!IT140</f>
        <v>0.25</v>
      </c>
      <c r="AZ126" s="216">
        <f>Sizing!IU140</f>
        <v>1.5748031496062995E-2</v>
      </c>
      <c r="BA126" s="17">
        <f>Sizing!IV140</f>
        <v>1.5748031496062995E-2</v>
      </c>
      <c r="BB126" s="216">
        <f t="shared" si="55"/>
        <v>2.4179687736685367E-3</v>
      </c>
      <c r="BC126" s="138">
        <f t="shared" si="56"/>
        <v>7.2254596295506844E-4</v>
      </c>
      <c r="BD126" s="138">
        <f t="shared" si="57"/>
        <v>3.1405147366236051E-3</v>
      </c>
      <c r="BE126" s="311">
        <f t="shared" si="58"/>
        <v>2.7697485430419798E-2</v>
      </c>
      <c r="BF126" s="11">
        <f t="shared" si="59"/>
        <v>8.2766603521489731E-3</v>
      </c>
      <c r="BG126" s="21">
        <f t="shared" si="60"/>
        <v>3.5974145782568773E-2</v>
      </c>
      <c r="BH126" s="21">
        <f t="shared" si="61"/>
        <v>3.8115954763161248E-4</v>
      </c>
      <c r="BI126" s="21">
        <f t="shared" si="62"/>
        <v>3.8115954763161248E-4</v>
      </c>
      <c r="BJ126" s="561"/>
      <c r="BK126">
        <f t="shared" si="63"/>
        <v>1.8307087200000001</v>
      </c>
      <c r="BL126">
        <f t="shared" si="64"/>
        <v>1.8307087200000001</v>
      </c>
      <c r="BM126">
        <f>C126*'Inputs-Imperial'!$E$12</f>
        <v>0.91535436000000003</v>
      </c>
      <c r="BN126">
        <f>C126*'Inputs-Imperial'!$E$12</f>
        <v>0.91535436000000003</v>
      </c>
      <c r="BO126">
        <f>C126*'Inputs-Imperial'!$E$12</f>
        <v>0.91535436000000003</v>
      </c>
      <c r="BP126">
        <f>C126*'Weight '!$E$15</f>
        <v>1.8307087200000001</v>
      </c>
      <c r="BQ126">
        <f>C126*'Weight '!$E$15</f>
        <v>1.8307087200000001</v>
      </c>
      <c r="BR126">
        <f>C126*'Weight '!$E$15</f>
        <v>1.8307087200000001</v>
      </c>
      <c r="BS126">
        <f t="shared" si="65"/>
        <v>2.6748327076644185</v>
      </c>
      <c r="BT126" s="564">
        <f t="shared" si="66"/>
        <v>1.5330802888937691</v>
      </c>
      <c r="BU126">
        <f t="shared" si="67"/>
        <v>1.7447440470286839</v>
      </c>
    </row>
    <row r="127" spans="1:73" x14ac:dyDescent="0.25">
      <c r="A127" s="186">
        <v>81</v>
      </c>
      <c r="B127" s="187">
        <f>A127/100*'Inputs-Imperial'!$E$5</f>
        <v>19.505906136</v>
      </c>
      <c r="C127" s="188">
        <f>'Inputs-Imperial'!$E$10+('Inputs-Imperial'!$E$9-'Inputs-Imperial'!$E$10)*(100-A127)/100</f>
        <v>3.6436188830000003</v>
      </c>
      <c r="D127" s="187">
        <f t="shared" si="68"/>
        <v>0.24081365600000026</v>
      </c>
      <c r="E127" s="188">
        <f t="shared" si="69"/>
        <v>0.87957625207721446</v>
      </c>
      <c r="F127" s="423">
        <f>Sizing!F141</f>
        <v>123.08332812830483</v>
      </c>
      <c r="G127" s="423">
        <f>Sizing!G141</f>
        <v>1230.8332812830483</v>
      </c>
      <c r="H127" s="423">
        <f>Sizing!H141</f>
        <v>2725.8939238318758</v>
      </c>
      <c r="I127" s="423">
        <f>Sizing!I141</f>
        <v>-1909.7059802035903</v>
      </c>
      <c r="J127" s="189">
        <f>Sizing!J141</f>
        <v>272.58939238318754</v>
      </c>
      <c r="K127" s="128">
        <v>81</v>
      </c>
      <c r="L127" s="12">
        <f t="shared" si="45"/>
        <v>234.070873632</v>
      </c>
      <c r="M127" s="11">
        <f t="shared" si="45"/>
        <v>43.723426596000003</v>
      </c>
      <c r="N127" s="11">
        <f t="shared" si="45"/>
        <v>2.8897638720000032</v>
      </c>
      <c r="O127" s="152">
        <f t="shared" si="46"/>
        <v>126.65898029911889</v>
      </c>
      <c r="P127" s="8">
        <f t="shared" si="81"/>
        <v>7.8702167872800004</v>
      </c>
      <c r="Q127" s="12">
        <f t="shared" si="70"/>
        <v>22.798616453841397</v>
      </c>
      <c r="R127" s="8">
        <f t="shared" si="82"/>
        <v>3.9351083936400002</v>
      </c>
      <c r="S127" s="12">
        <f t="shared" si="71"/>
        <v>11.399308226920699</v>
      </c>
      <c r="T127" s="17">
        <f>Sizing!CN141</f>
        <v>0.75</v>
      </c>
      <c r="U127" s="17">
        <f>Sizing!CO141</f>
        <v>2.3622047244094495E-2</v>
      </c>
      <c r="V127" s="17">
        <f>Sizing!CP141</f>
        <v>1.5748031496062995E-2</v>
      </c>
      <c r="W127" s="128">
        <f t="shared" si="47"/>
        <v>3.0224609670856709E-3</v>
      </c>
      <c r="X127" s="2">
        <f t="shared" si="48"/>
        <v>2.1676378888652054E-3</v>
      </c>
      <c r="Y127" s="2">
        <f t="shared" si="49"/>
        <v>5.1900988559508768E-3</v>
      </c>
      <c r="Z127" s="216">
        <f t="shared" si="72"/>
        <v>0.39527405045080038</v>
      </c>
      <c r="AA127" s="138">
        <f t="shared" si="73"/>
        <v>0.28348124841742101</v>
      </c>
      <c r="AB127" s="17">
        <f t="shared" si="74"/>
        <v>0.6787552988682215</v>
      </c>
      <c r="AC127" s="311">
        <f t="shared" si="75"/>
        <v>0.38845898061544171</v>
      </c>
      <c r="AD127" s="316">
        <f t="shared" si="76"/>
        <v>0.27859364068608616</v>
      </c>
      <c r="AE127" s="21">
        <f t="shared" si="77"/>
        <v>0.66705262130152787</v>
      </c>
      <c r="AF127" s="170">
        <f>Sizing!DU141</f>
        <v>0.12489389406218925</v>
      </c>
      <c r="AG127" s="170">
        <f>Sizing!DV141</f>
        <v>0.35340330227968902</v>
      </c>
      <c r="AH127" s="170">
        <f>Sizing!DW141</f>
        <v>0.12489389406218925</v>
      </c>
      <c r="AI127" s="272">
        <f>Sizing!DX141</f>
        <v>0.35340330227968902</v>
      </c>
      <c r="AJ127" s="216">
        <f>Sizing!GJ141</f>
        <v>0.25</v>
      </c>
      <c r="AK127" s="216">
        <f>Sizing!GK141</f>
        <v>2.3622047244094495E-2</v>
      </c>
      <c r="AL127" s="17">
        <f>Sizing!GL141</f>
        <v>2.3622047244094495E-2</v>
      </c>
      <c r="AM127" s="216">
        <f t="shared" si="50"/>
        <v>3.6269531605028051E-3</v>
      </c>
      <c r="AN127" s="138">
        <f t="shared" si="51"/>
        <v>7.2254596295506844E-4</v>
      </c>
      <c r="AO127" s="138">
        <f t="shared" si="52"/>
        <v>4.3494991234578739E-3</v>
      </c>
      <c r="AP127" s="311">
        <f t="shared" si="78"/>
        <v>8.2689514002351305E-2</v>
      </c>
      <c r="AQ127" s="11">
        <f t="shared" si="79"/>
        <v>1.6473048279684099E-2</v>
      </c>
      <c r="AR127" s="21">
        <f t="shared" si="80"/>
        <v>9.9162562282035419E-2</v>
      </c>
      <c r="AS127" s="11">
        <f t="shared" si="53"/>
        <v>2.216603264174825E-2</v>
      </c>
      <c r="AT127" s="21">
        <f t="shared" si="54"/>
        <v>2.216603264174825E-2</v>
      </c>
      <c r="AU127" s="170">
        <f>Sizing!JC141</f>
        <v>2.1476328638547018E-3</v>
      </c>
      <c r="AV127" s="272">
        <f>Sizing!JD141</f>
        <v>4.6342559962249626E-2</v>
      </c>
      <c r="AW127" s="170">
        <f>Sizing!JC141</f>
        <v>2.1476328638547018E-3</v>
      </c>
      <c r="AX127" s="272">
        <f>Sizing!JD141</f>
        <v>4.6342559962249626E-2</v>
      </c>
      <c r="AY127" s="216">
        <f>Sizing!IT141</f>
        <v>0.25</v>
      </c>
      <c r="AZ127" s="216">
        <f>Sizing!IU141</f>
        <v>1.5748031496062995E-2</v>
      </c>
      <c r="BA127" s="17">
        <f>Sizing!IV141</f>
        <v>1.5748031496062995E-2</v>
      </c>
      <c r="BB127" s="216">
        <f t="shared" si="55"/>
        <v>2.4179687736685367E-3</v>
      </c>
      <c r="BC127" s="138">
        <f t="shared" si="56"/>
        <v>7.2254596295506844E-4</v>
      </c>
      <c r="BD127" s="138">
        <f t="shared" si="57"/>
        <v>3.1405147366236051E-3</v>
      </c>
      <c r="BE127" s="311">
        <f t="shared" si="58"/>
        <v>2.7563171334117103E-2</v>
      </c>
      <c r="BF127" s="11">
        <f t="shared" si="59"/>
        <v>8.2365241398420497E-3</v>
      </c>
      <c r="BG127" s="21">
        <f t="shared" si="60"/>
        <v>3.5799695473959149E-2</v>
      </c>
      <c r="BH127" s="21">
        <f t="shared" si="61"/>
        <v>3.8115954763161248E-4</v>
      </c>
      <c r="BI127" s="21">
        <f t="shared" si="62"/>
        <v>3.8115954763161248E-4</v>
      </c>
      <c r="BJ127" s="561"/>
      <c r="BK127">
        <f t="shared" si="63"/>
        <v>1.8218094415000001</v>
      </c>
      <c r="BL127">
        <f t="shared" si="64"/>
        <v>1.8218094415000001</v>
      </c>
      <c r="BM127">
        <f>C127*'Inputs-Imperial'!$E$12</f>
        <v>0.91090472075000006</v>
      </c>
      <c r="BN127">
        <f>C127*'Inputs-Imperial'!$E$12</f>
        <v>0.91090472075000006</v>
      </c>
      <c r="BO127">
        <f>C127*'Inputs-Imperial'!$E$12</f>
        <v>0.91090472075000006</v>
      </c>
      <c r="BP127">
        <f>C127*'Weight '!$E$15</f>
        <v>1.8218094415000001</v>
      </c>
      <c r="BQ127">
        <f>C127*'Weight '!$E$15</f>
        <v>1.8218094415000001</v>
      </c>
      <c r="BR127">
        <f>C127*'Weight '!$E$15</f>
        <v>1.8218094415000001</v>
      </c>
      <c r="BS127">
        <f t="shared" si="65"/>
        <v>2.6491245324049046</v>
      </c>
      <c r="BT127" s="564">
        <f t="shared" si="66"/>
        <v>1.5258645623045037</v>
      </c>
      <c r="BU127">
        <f t="shared" si="67"/>
        <v>1.7361465741126778</v>
      </c>
    </row>
    <row r="128" spans="1:73" x14ac:dyDescent="0.25">
      <c r="A128" s="186">
        <v>82</v>
      </c>
      <c r="B128" s="187">
        <f>A128/100*'Inputs-Imperial'!$E$5</f>
        <v>19.746719791999997</v>
      </c>
      <c r="C128" s="188">
        <f>'Inputs-Imperial'!$E$10+('Inputs-Imperial'!$E$9-'Inputs-Imperial'!$E$10)*(100-A128)/100</f>
        <v>3.6258203260000004</v>
      </c>
      <c r="D128" s="187">
        <f t="shared" si="68"/>
        <v>0.24081365599999671</v>
      </c>
      <c r="E128" s="188">
        <f t="shared" si="69"/>
        <v>0.87529011649450716</v>
      </c>
      <c r="F128" s="423">
        <f>Sizing!F142</f>
        <v>115.29587771141328</v>
      </c>
      <c r="G128" s="423">
        <f>Sizing!G142</f>
        <v>1152.9587771141328</v>
      </c>
      <c r="H128" s="423">
        <f>Sizing!H142</f>
        <v>2429.4924614396327</v>
      </c>
      <c r="I128" s="423">
        <f>Sizing!I142</f>
        <v>-1766.5814755241711</v>
      </c>
      <c r="J128" s="189">
        <f>Sizing!J142</f>
        <v>242.94924614396325</v>
      </c>
      <c r="K128" s="128">
        <v>82</v>
      </c>
      <c r="L128" s="12">
        <f t="shared" si="45"/>
        <v>236.96063750399998</v>
      </c>
      <c r="M128" s="11">
        <f t="shared" si="45"/>
        <v>43.509843912000008</v>
      </c>
      <c r="N128" s="11">
        <f t="shared" si="45"/>
        <v>2.8897638719999605</v>
      </c>
      <c r="O128" s="152">
        <f t="shared" si="46"/>
        <v>126.04177677520903</v>
      </c>
      <c r="P128" s="8">
        <f t="shared" si="81"/>
        <v>7.8317719041600009</v>
      </c>
      <c r="Q128" s="12">
        <f t="shared" si="70"/>
        <v>22.687519819537624</v>
      </c>
      <c r="R128" s="8">
        <f t="shared" si="82"/>
        <v>3.9158859520800005</v>
      </c>
      <c r="S128" s="12">
        <f t="shared" si="71"/>
        <v>11.343759909768812</v>
      </c>
      <c r="T128" s="17">
        <f>Sizing!CN142</f>
        <v>0.75</v>
      </c>
      <c r="U128" s="17">
        <f>Sizing!CO142</f>
        <v>2.3622047244094495E-2</v>
      </c>
      <c r="V128" s="17">
        <f>Sizing!CP142</f>
        <v>1.5748031496062995E-2</v>
      </c>
      <c r="W128" s="128">
        <f t="shared" si="47"/>
        <v>3.0224609670856709E-3</v>
      </c>
      <c r="X128" s="2">
        <f t="shared" si="48"/>
        <v>2.1676378888652054E-3</v>
      </c>
      <c r="Y128" s="2">
        <f t="shared" si="49"/>
        <v>5.1900988559508768E-3</v>
      </c>
      <c r="Z128" s="216">
        <f t="shared" si="72"/>
        <v>0.3933478977510691</v>
      </c>
      <c r="AA128" s="138">
        <f t="shared" si="73"/>
        <v>0.28209985702241375</v>
      </c>
      <c r="AB128" s="17">
        <f t="shared" si="74"/>
        <v>0.67544775477348284</v>
      </c>
      <c r="AC128" s="311">
        <f t="shared" si="75"/>
        <v>0.38656603744501611</v>
      </c>
      <c r="AD128" s="316">
        <f t="shared" si="76"/>
        <v>0.2772360663840962</v>
      </c>
      <c r="AE128" s="21">
        <f t="shared" si="77"/>
        <v>0.66380210382911242</v>
      </c>
      <c r="AF128" s="170">
        <f>Sizing!DU142</f>
        <v>0.12489389406218925</v>
      </c>
      <c r="AG128" s="170">
        <f>Sizing!DV142</f>
        <v>0.35340330227968902</v>
      </c>
      <c r="AH128" s="170">
        <f>Sizing!DW142</f>
        <v>0.12489389406218925</v>
      </c>
      <c r="AI128" s="272">
        <f>Sizing!DX142</f>
        <v>0.35340330227968902</v>
      </c>
      <c r="AJ128" s="216">
        <f>Sizing!GJ142</f>
        <v>0.25</v>
      </c>
      <c r="AK128" s="216">
        <f>Sizing!GK142</f>
        <v>2.3622047244094495E-2</v>
      </c>
      <c r="AL128" s="17">
        <f>Sizing!GL142</f>
        <v>2.3622047244094495E-2</v>
      </c>
      <c r="AM128" s="216">
        <f t="shared" si="50"/>
        <v>3.6269531605028051E-3</v>
      </c>
      <c r="AN128" s="138">
        <f t="shared" si="51"/>
        <v>7.2254596295506844E-4</v>
      </c>
      <c r="AO128" s="138">
        <f t="shared" si="52"/>
        <v>4.3494991234578739E-3</v>
      </c>
      <c r="AP128" s="311">
        <f t="shared" si="78"/>
        <v>8.2286571713442017E-2</v>
      </c>
      <c r="AQ128" s="11">
        <f t="shared" si="79"/>
        <v>1.6392775855070013E-2</v>
      </c>
      <c r="AR128" s="21">
        <f t="shared" si="80"/>
        <v>9.867934756851203E-2</v>
      </c>
      <c r="AS128" s="11">
        <f t="shared" si="53"/>
        <v>2.2166032641747921E-2</v>
      </c>
      <c r="AT128" s="21">
        <f t="shared" si="54"/>
        <v>2.2166032641747921E-2</v>
      </c>
      <c r="AU128" s="170">
        <f>Sizing!JC142</f>
        <v>2.1476328638547018E-3</v>
      </c>
      <c r="AV128" s="272">
        <f>Sizing!JD142</f>
        <v>4.6342559962249626E-2</v>
      </c>
      <c r="AW128" s="170">
        <f>Sizing!JC142</f>
        <v>2.1476328638547018E-3</v>
      </c>
      <c r="AX128" s="272">
        <f>Sizing!JD142</f>
        <v>4.6342559962249626E-2</v>
      </c>
      <c r="AY128" s="216">
        <f>Sizing!IT142</f>
        <v>0.25</v>
      </c>
      <c r="AZ128" s="216">
        <f>Sizing!IU142</f>
        <v>1.5748031496062995E-2</v>
      </c>
      <c r="BA128" s="17">
        <f>Sizing!IV142</f>
        <v>1.5748031496062995E-2</v>
      </c>
      <c r="BB128" s="216">
        <f t="shared" si="55"/>
        <v>2.4179687736685367E-3</v>
      </c>
      <c r="BC128" s="138">
        <f t="shared" si="56"/>
        <v>7.2254596295506844E-4</v>
      </c>
      <c r="BD128" s="138">
        <f t="shared" si="57"/>
        <v>3.1405147366236051E-3</v>
      </c>
      <c r="BE128" s="311">
        <f t="shared" si="58"/>
        <v>2.7428857237814006E-2</v>
      </c>
      <c r="BF128" s="11">
        <f t="shared" si="59"/>
        <v>8.1963879275350066E-3</v>
      </c>
      <c r="BG128" s="21">
        <f t="shared" si="60"/>
        <v>3.5625245165349012E-2</v>
      </c>
      <c r="BH128" s="21">
        <f t="shared" si="61"/>
        <v>3.8115954763160689E-4</v>
      </c>
      <c r="BI128" s="21">
        <f t="shared" si="62"/>
        <v>3.8115954763160689E-4</v>
      </c>
      <c r="BJ128" s="561"/>
      <c r="BK128">
        <f t="shared" si="63"/>
        <v>1.8129101630000002</v>
      </c>
      <c r="BL128">
        <f t="shared" si="64"/>
        <v>1.8129101630000002</v>
      </c>
      <c r="BM128">
        <f>C128*'Inputs-Imperial'!$E$12</f>
        <v>0.90645508150000009</v>
      </c>
      <c r="BN128">
        <f>C128*'Inputs-Imperial'!$E$12</f>
        <v>0.90645508150000009</v>
      </c>
      <c r="BO128">
        <f>C128*'Inputs-Imperial'!$E$12</f>
        <v>0.90645508150000009</v>
      </c>
      <c r="BP128">
        <f>C128*'Weight '!$E$15</f>
        <v>1.8129101630000002</v>
      </c>
      <c r="BQ128">
        <f>C128*'Weight '!$E$15</f>
        <v>1.8129101630000002</v>
      </c>
      <c r="BR128">
        <f>C128*'Weight '!$E$15</f>
        <v>1.8129101630000002</v>
      </c>
      <c r="BS128">
        <f t="shared" si="65"/>
        <v>2.6235404864040341</v>
      </c>
      <c r="BT128" s="564">
        <f t="shared" si="66"/>
        <v>1.518648835715215</v>
      </c>
      <c r="BU128">
        <f t="shared" si="67"/>
        <v>1.7275491375650811</v>
      </c>
    </row>
    <row r="129" spans="1:73" x14ac:dyDescent="0.25">
      <c r="A129" s="186">
        <v>83</v>
      </c>
      <c r="B129" s="187">
        <f>A129/100*'Inputs-Imperial'!$E$5</f>
        <v>19.987533447999997</v>
      </c>
      <c r="C129" s="188">
        <f>'Inputs-Imperial'!$E$10+('Inputs-Imperial'!$E$9-'Inputs-Imperial'!$E$10)*(100-A129)/100</f>
        <v>3.6080217690000005</v>
      </c>
      <c r="D129" s="187">
        <f t="shared" si="68"/>
        <v>0.24081365600000026</v>
      </c>
      <c r="E129" s="188">
        <f t="shared" si="69"/>
        <v>0.87100398091182574</v>
      </c>
      <c r="F129" s="423">
        <f>Sizing!F143</f>
        <v>107.6176216828576</v>
      </c>
      <c r="G129" s="423">
        <f>Sizing!G143</f>
        <v>1076.1762168285759</v>
      </c>
      <c r="H129" s="423">
        <f>Sizing!H143</f>
        <v>2151.8442431054891</v>
      </c>
      <c r="I129" s="423">
        <f>Sizing!I143</f>
        <v>-1627.4864295441027</v>
      </c>
      <c r="J129" s="189">
        <f>Sizing!J143</f>
        <v>215.18442431054888</v>
      </c>
      <c r="K129" s="128">
        <v>83</v>
      </c>
      <c r="L129" s="12">
        <f t="shared" si="45"/>
        <v>239.85040137599998</v>
      </c>
      <c r="M129" s="11">
        <f t="shared" si="45"/>
        <v>43.296261228000006</v>
      </c>
      <c r="N129" s="11">
        <f t="shared" si="45"/>
        <v>2.8897638720000032</v>
      </c>
      <c r="O129" s="152">
        <f t="shared" si="46"/>
        <v>125.42457325130292</v>
      </c>
      <c r="P129" s="8">
        <f t="shared" si="81"/>
        <v>7.7933270210400005</v>
      </c>
      <c r="Q129" s="12">
        <f t="shared" si="70"/>
        <v>22.576423185234521</v>
      </c>
      <c r="R129" s="8">
        <f t="shared" si="82"/>
        <v>3.8966635105200003</v>
      </c>
      <c r="S129" s="12">
        <f t="shared" si="71"/>
        <v>11.288211592617261</v>
      </c>
      <c r="T129" s="17">
        <f>Sizing!CN143</f>
        <v>0.75</v>
      </c>
      <c r="U129" s="17">
        <f>Sizing!CO143</f>
        <v>2.3622047244094495E-2</v>
      </c>
      <c r="V129" s="17">
        <f>Sizing!CP143</f>
        <v>1.5748031496062995E-2</v>
      </c>
      <c r="W129" s="128">
        <f t="shared" si="47"/>
        <v>3.0224609670856709E-3</v>
      </c>
      <c r="X129" s="2">
        <f t="shared" si="48"/>
        <v>2.1676378888652054E-3</v>
      </c>
      <c r="Y129" s="2">
        <f t="shared" si="49"/>
        <v>5.1900988559508768E-3</v>
      </c>
      <c r="Z129" s="216">
        <f t="shared" si="72"/>
        <v>0.39142174505134947</v>
      </c>
      <c r="AA129" s="138">
        <f t="shared" si="73"/>
        <v>0.28071846562741481</v>
      </c>
      <c r="AB129" s="17">
        <f t="shared" si="74"/>
        <v>0.67214021067876439</v>
      </c>
      <c r="AC129" s="311">
        <f t="shared" si="75"/>
        <v>0.38467309427460206</v>
      </c>
      <c r="AD129" s="316">
        <f t="shared" si="76"/>
        <v>0.27587849208211457</v>
      </c>
      <c r="AE129" s="21">
        <f t="shared" si="77"/>
        <v>0.66055158635671662</v>
      </c>
      <c r="AF129" s="170">
        <f>Sizing!DU143</f>
        <v>0.12489389406218925</v>
      </c>
      <c r="AG129" s="170">
        <f>Sizing!DV143</f>
        <v>0.35340330227968902</v>
      </c>
      <c r="AH129" s="170">
        <f>Sizing!DW143</f>
        <v>0.12489389406218925</v>
      </c>
      <c r="AI129" s="272">
        <f>Sizing!DX143</f>
        <v>0.35340330227968902</v>
      </c>
      <c r="AJ129" s="216">
        <f>Sizing!GJ143</f>
        <v>0.25</v>
      </c>
      <c r="AK129" s="216">
        <f>Sizing!GK143</f>
        <v>2.3622047244094495E-2</v>
      </c>
      <c r="AL129" s="17">
        <f>Sizing!GL143</f>
        <v>2.3622047244094495E-2</v>
      </c>
      <c r="AM129" s="216">
        <f t="shared" si="50"/>
        <v>3.6269531605028051E-3</v>
      </c>
      <c r="AN129" s="138">
        <f t="shared" si="51"/>
        <v>7.2254596295506844E-4</v>
      </c>
      <c r="AO129" s="138">
        <f t="shared" si="52"/>
        <v>4.3494991234578739E-3</v>
      </c>
      <c r="AP129" s="311">
        <f t="shared" si="78"/>
        <v>8.1883629424535156E-2</v>
      </c>
      <c r="AQ129" s="11">
        <f t="shared" si="79"/>
        <v>1.6312503430456409E-2</v>
      </c>
      <c r="AR129" s="21">
        <f t="shared" si="80"/>
        <v>9.8196132854991569E-2</v>
      </c>
      <c r="AS129" s="11">
        <f t="shared" si="53"/>
        <v>2.216603264174825E-2</v>
      </c>
      <c r="AT129" s="21">
        <f t="shared" si="54"/>
        <v>2.216603264174825E-2</v>
      </c>
      <c r="AU129" s="170">
        <f>Sizing!JC143</f>
        <v>2.1476328638547018E-3</v>
      </c>
      <c r="AV129" s="272">
        <f>Sizing!JD143</f>
        <v>4.6342559962249626E-2</v>
      </c>
      <c r="AW129" s="170">
        <f>Sizing!JC143</f>
        <v>2.1476328638547018E-3</v>
      </c>
      <c r="AX129" s="272">
        <f>Sizing!JD143</f>
        <v>4.6342559962249626E-2</v>
      </c>
      <c r="AY129" s="216">
        <f>Sizing!IT143</f>
        <v>0.25</v>
      </c>
      <c r="AZ129" s="216">
        <f>Sizing!IU143</f>
        <v>1.5748031496062995E-2</v>
      </c>
      <c r="BA129" s="17">
        <f>Sizing!IV143</f>
        <v>1.5748031496062995E-2</v>
      </c>
      <c r="BB129" s="216">
        <f t="shared" si="55"/>
        <v>2.4179687736685367E-3</v>
      </c>
      <c r="BC129" s="138">
        <f t="shared" si="56"/>
        <v>7.2254596295506844E-4</v>
      </c>
      <c r="BD129" s="138">
        <f t="shared" si="57"/>
        <v>3.1405147366236051E-3</v>
      </c>
      <c r="BE129" s="311">
        <f t="shared" si="58"/>
        <v>2.7294543141511717E-2</v>
      </c>
      <c r="BF129" s="11">
        <f t="shared" si="59"/>
        <v>8.1562517152282046E-3</v>
      </c>
      <c r="BG129" s="21">
        <f t="shared" si="60"/>
        <v>3.5450794856739923E-2</v>
      </c>
      <c r="BH129" s="21">
        <f t="shared" si="61"/>
        <v>3.8115954763161248E-4</v>
      </c>
      <c r="BI129" s="21">
        <f t="shared" si="62"/>
        <v>3.8115954763161248E-4</v>
      </c>
      <c r="BJ129" s="561"/>
      <c r="BK129">
        <f t="shared" si="63"/>
        <v>1.8040108845000002</v>
      </c>
      <c r="BL129">
        <f t="shared" si="64"/>
        <v>1.8040108845000002</v>
      </c>
      <c r="BM129">
        <f>C129*'Inputs-Imperial'!$E$12</f>
        <v>0.90200544225000012</v>
      </c>
      <c r="BN129">
        <f>C129*'Inputs-Imperial'!$E$12</f>
        <v>0.90200544225000012</v>
      </c>
      <c r="BO129">
        <f>C129*'Inputs-Imperial'!$E$12</f>
        <v>0.90200544225000012</v>
      </c>
      <c r="BP129">
        <f>C129*'Weight '!$E$15</f>
        <v>1.8040108845000002</v>
      </c>
      <c r="BQ129">
        <f>C129*'Weight '!$E$15</f>
        <v>1.8040108845000002</v>
      </c>
      <c r="BR129">
        <f>C129*'Weight '!$E$15</f>
        <v>1.8040108845000002</v>
      </c>
      <c r="BS129">
        <f t="shared" si="65"/>
        <v>2.5980805696619274</v>
      </c>
      <c r="BT129" s="564">
        <f t="shared" si="66"/>
        <v>1.5114331091259723</v>
      </c>
      <c r="BU129">
        <f t="shared" si="67"/>
        <v>1.7189517379067729</v>
      </c>
    </row>
    <row r="130" spans="1:73" x14ac:dyDescent="0.25">
      <c r="A130" s="186">
        <v>84</v>
      </c>
      <c r="B130" s="187">
        <f>A130/100*'Inputs-Imperial'!$E$5</f>
        <v>20.228347103999997</v>
      </c>
      <c r="C130" s="188">
        <f>'Inputs-Imperial'!$E$10+('Inputs-Imperial'!$E$9-'Inputs-Imperial'!$E$10)*(100-A130)/100</f>
        <v>3.5902232120000002</v>
      </c>
      <c r="D130" s="187">
        <f t="shared" si="68"/>
        <v>0.24081365600000026</v>
      </c>
      <c r="E130" s="188">
        <f t="shared" si="69"/>
        <v>0.86671784532913121</v>
      </c>
      <c r="F130" s="423">
        <f>Sizing!F144</f>
        <v>100.05199263965933</v>
      </c>
      <c r="G130" s="423">
        <f>Sizing!G144</f>
        <v>1000.5199263965933</v>
      </c>
      <c r="H130" s="423">
        <f>Sizing!H144</f>
        <v>1892.6863138307506</v>
      </c>
      <c r="I130" s="423">
        <f>Sizing!I144</f>
        <v>-1492.4887042684613</v>
      </c>
      <c r="J130" s="189">
        <f>Sizing!J144</f>
        <v>189.26863138307505</v>
      </c>
      <c r="K130" s="128">
        <v>84</v>
      </c>
      <c r="L130" s="12">
        <f t="shared" si="45"/>
        <v>242.74016524799998</v>
      </c>
      <c r="M130" s="11">
        <f t="shared" si="45"/>
        <v>43.082678544000004</v>
      </c>
      <c r="N130" s="11">
        <f t="shared" si="45"/>
        <v>2.8897638720000032</v>
      </c>
      <c r="O130" s="152">
        <f t="shared" si="46"/>
        <v>124.8073697273949</v>
      </c>
      <c r="P130" s="8">
        <f t="shared" si="81"/>
        <v>7.7548821379200001</v>
      </c>
      <c r="Q130" s="12">
        <f t="shared" si="70"/>
        <v>22.465326550931081</v>
      </c>
      <c r="R130" s="8">
        <f t="shared" si="82"/>
        <v>3.8774410689600001</v>
      </c>
      <c r="S130" s="12">
        <f t="shared" si="71"/>
        <v>11.232663275465541</v>
      </c>
      <c r="T130" s="17">
        <f>Sizing!CN144</f>
        <v>0.75</v>
      </c>
      <c r="U130" s="17">
        <f>Sizing!CO144</f>
        <v>2.3622047244094495E-2</v>
      </c>
      <c r="V130" s="17">
        <f>Sizing!CP144</f>
        <v>1.5748031496062995E-2</v>
      </c>
      <c r="W130" s="128">
        <f t="shared" si="47"/>
        <v>3.0224609670856709E-3</v>
      </c>
      <c r="X130" s="2">
        <f t="shared" si="48"/>
        <v>2.1676378888652054E-3</v>
      </c>
      <c r="Y130" s="2">
        <f t="shared" si="49"/>
        <v>5.1900988559508768E-3</v>
      </c>
      <c r="Z130" s="216">
        <f t="shared" si="72"/>
        <v>0.38949559235162395</v>
      </c>
      <c r="AA130" s="138">
        <f t="shared" si="73"/>
        <v>0.27933707423241166</v>
      </c>
      <c r="AB130" s="17">
        <f t="shared" si="74"/>
        <v>0.66883266658403562</v>
      </c>
      <c r="AC130" s="311">
        <f t="shared" si="75"/>
        <v>0.38278015110418218</v>
      </c>
      <c r="AD130" s="316">
        <f t="shared" si="76"/>
        <v>0.27452091778012871</v>
      </c>
      <c r="AE130" s="21">
        <f t="shared" si="77"/>
        <v>0.65730106888431095</v>
      </c>
      <c r="AF130" s="170">
        <f>Sizing!DU144</f>
        <v>0.12489389406218925</v>
      </c>
      <c r="AG130" s="170">
        <f>Sizing!DV144</f>
        <v>0.35340330227968902</v>
      </c>
      <c r="AH130" s="170">
        <f>Sizing!DW144</f>
        <v>0.12489389406218925</v>
      </c>
      <c r="AI130" s="272">
        <f>Sizing!DX144</f>
        <v>0.35340330227968902</v>
      </c>
      <c r="AJ130" s="216">
        <f>Sizing!GJ144</f>
        <v>0.25</v>
      </c>
      <c r="AK130" s="216">
        <f>Sizing!GK144</f>
        <v>2.3622047244094495E-2</v>
      </c>
      <c r="AL130" s="17">
        <f>Sizing!GL144</f>
        <v>2.3622047244094495E-2</v>
      </c>
      <c r="AM130" s="216">
        <f t="shared" si="50"/>
        <v>3.6269531605028051E-3</v>
      </c>
      <c r="AN130" s="138">
        <f t="shared" si="51"/>
        <v>7.2254596295506844E-4</v>
      </c>
      <c r="AO130" s="138">
        <f t="shared" si="52"/>
        <v>4.3494991234578739E-3</v>
      </c>
      <c r="AP130" s="311">
        <f t="shared" si="78"/>
        <v>8.1480687135627061E-2</v>
      </c>
      <c r="AQ130" s="11">
        <f t="shared" si="79"/>
        <v>1.6232231005842566E-2</v>
      </c>
      <c r="AR130" s="21">
        <f t="shared" si="80"/>
        <v>9.7712918141469637E-2</v>
      </c>
      <c r="AS130" s="11">
        <f t="shared" si="53"/>
        <v>2.216603264174825E-2</v>
      </c>
      <c r="AT130" s="21">
        <f t="shared" si="54"/>
        <v>2.216603264174825E-2</v>
      </c>
      <c r="AU130" s="170">
        <f>Sizing!JC144</f>
        <v>2.1476328638547018E-3</v>
      </c>
      <c r="AV130" s="272">
        <f>Sizing!JD144</f>
        <v>4.6342559962249626E-2</v>
      </c>
      <c r="AW130" s="170">
        <f>Sizing!JC144</f>
        <v>2.1476328638547018E-3</v>
      </c>
      <c r="AX130" s="272">
        <f>Sizing!JD144</f>
        <v>4.6342559962249626E-2</v>
      </c>
      <c r="AY130" s="216">
        <f>Sizing!IT144</f>
        <v>0.25</v>
      </c>
      <c r="AZ130" s="216">
        <f>Sizing!IU144</f>
        <v>1.5748031496062995E-2</v>
      </c>
      <c r="BA130" s="17">
        <f>Sizing!IV144</f>
        <v>1.5748031496062995E-2</v>
      </c>
      <c r="BB130" s="216">
        <f t="shared" si="55"/>
        <v>2.4179687736685367E-3</v>
      </c>
      <c r="BC130" s="138">
        <f t="shared" si="56"/>
        <v>7.2254596295506844E-4</v>
      </c>
      <c r="BD130" s="138">
        <f t="shared" si="57"/>
        <v>3.1405147366236051E-3</v>
      </c>
      <c r="BE130" s="311">
        <f t="shared" si="58"/>
        <v>2.7160229045209022E-2</v>
      </c>
      <c r="BF130" s="11">
        <f t="shared" si="59"/>
        <v>8.1161155029212829E-3</v>
      </c>
      <c r="BG130" s="21">
        <f t="shared" si="60"/>
        <v>3.5276344548130306E-2</v>
      </c>
      <c r="BH130" s="21">
        <f t="shared" si="61"/>
        <v>3.8115954763161248E-4</v>
      </c>
      <c r="BI130" s="21">
        <f t="shared" si="62"/>
        <v>3.8115954763161248E-4</v>
      </c>
      <c r="BJ130" s="561"/>
      <c r="BK130">
        <f t="shared" si="63"/>
        <v>1.7951116060000001</v>
      </c>
      <c r="BL130">
        <f t="shared" si="64"/>
        <v>1.7951116060000001</v>
      </c>
      <c r="BM130">
        <f>C130*'Inputs-Imperial'!$E$12</f>
        <v>0.89755580300000004</v>
      </c>
      <c r="BN130">
        <f>C130*'Inputs-Imperial'!$E$12</f>
        <v>0.89755580300000004</v>
      </c>
      <c r="BO130">
        <f>C130*'Inputs-Imperial'!$E$12</f>
        <v>0.89755580300000004</v>
      </c>
      <c r="BP130">
        <f>C130*'Weight '!$E$15</f>
        <v>1.7951116060000001</v>
      </c>
      <c r="BQ130">
        <f>C130*'Weight '!$E$15</f>
        <v>1.7951116060000001</v>
      </c>
      <c r="BR130">
        <f>C130*'Weight '!$E$15</f>
        <v>1.7951116060000001</v>
      </c>
      <c r="BS130">
        <f t="shared" si="65"/>
        <v>2.5727447821784657</v>
      </c>
      <c r="BT130" s="564">
        <f t="shared" si="66"/>
        <v>1.5042173825367062</v>
      </c>
      <c r="BU130">
        <f t="shared" si="67"/>
        <v>1.7103543756686279</v>
      </c>
    </row>
    <row r="131" spans="1:73" x14ac:dyDescent="0.25">
      <c r="A131" s="186">
        <v>85</v>
      </c>
      <c r="B131" s="187">
        <f>A131/100*'Inputs-Imperial'!$E$5</f>
        <v>20.469160759999998</v>
      </c>
      <c r="C131" s="188">
        <f>'Inputs-Imperial'!$E$10+('Inputs-Imperial'!$E$9-'Inputs-Imperial'!$E$10)*(100-A131)/100</f>
        <v>3.5724246550000003</v>
      </c>
      <c r="D131" s="187">
        <f t="shared" si="68"/>
        <v>0.24081365600000026</v>
      </c>
      <c r="E131" s="188">
        <f t="shared" si="69"/>
        <v>0.8624317097464369</v>
      </c>
      <c r="F131" s="423">
        <f>Sizing!F145</f>
        <v>92.602710438201711</v>
      </c>
      <c r="G131" s="423">
        <f>Sizing!G145</f>
        <v>926.02710438201711</v>
      </c>
      <c r="H131" s="423">
        <f>Sizing!H145</f>
        <v>1651.7474524543359</v>
      </c>
      <c r="I131" s="423">
        <f>Sizing!I145</f>
        <v>-1361.660999578527</v>
      </c>
      <c r="J131" s="189">
        <f>Sizing!J145</f>
        <v>165.17474524543357</v>
      </c>
      <c r="K131" s="128">
        <v>85</v>
      </c>
      <c r="L131" s="12">
        <f t="shared" si="45"/>
        <v>245.62992911999999</v>
      </c>
      <c r="M131" s="11">
        <f t="shared" si="45"/>
        <v>42.869095860000002</v>
      </c>
      <c r="N131" s="11">
        <f t="shared" si="45"/>
        <v>2.8897638720000032</v>
      </c>
      <c r="O131" s="152">
        <f t="shared" si="46"/>
        <v>124.19016620348692</v>
      </c>
      <c r="P131" s="8">
        <f t="shared" si="81"/>
        <v>7.7164372547999998</v>
      </c>
      <c r="Q131" s="12">
        <f t="shared" si="70"/>
        <v>22.354229916627641</v>
      </c>
      <c r="R131" s="8">
        <f t="shared" si="82"/>
        <v>3.8582186273999999</v>
      </c>
      <c r="S131" s="12">
        <f t="shared" si="71"/>
        <v>11.177114958313821</v>
      </c>
      <c r="T131" s="17">
        <f>Sizing!CN145</f>
        <v>0.75</v>
      </c>
      <c r="U131" s="17">
        <f>Sizing!CO145</f>
        <v>2.3622047244094495E-2</v>
      </c>
      <c r="V131" s="17">
        <f>Sizing!CP145</f>
        <v>1.5748031496062995E-2</v>
      </c>
      <c r="W131" s="128">
        <f t="shared" si="47"/>
        <v>3.0224609670856709E-3</v>
      </c>
      <c r="X131" s="2">
        <f t="shared" si="48"/>
        <v>2.1676378888652054E-3</v>
      </c>
      <c r="Y131" s="2">
        <f t="shared" si="49"/>
        <v>5.1900988559508768E-3</v>
      </c>
      <c r="Z131" s="216">
        <f t="shared" si="72"/>
        <v>0.38756943965189855</v>
      </c>
      <c r="AA131" s="138">
        <f t="shared" si="73"/>
        <v>0.27795568283740862</v>
      </c>
      <c r="AB131" s="17">
        <f t="shared" si="74"/>
        <v>0.66552512248930717</v>
      </c>
      <c r="AC131" s="311">
        <f t="shared" si="75"/>
        <v>0.38088720793376241</v>
      </c>
      <c r="AD131" s="316">
        <f t="shared" si="76"/>
        <v>0.27316334347814292</v>
      </c>
      <c r="AE131" s="21">
        <f t="shared" si="77"/>
        <v>0.65405055141190538</v>
      </c>
      <c r="AF131" s="170">
        <f>Sizing!DU145</f>
        <v>0.12489389406218925</v>
      </c>
      <c r="AG131" s="170">
        <f>Sizing!DV145</f>
        <v>0.35340330227968902</v>
      </c>
      <c r="AH131" s="170">
        <f>Sizing!DW145</f>
        <v>0.12489389406218925</v>
      </c>
      <c r="AI131" s="272">
        <f>Sizing!DX145</f>
        <v>0.35340330227968902</v>
      </c>
      <c r="AJ131" s="216">
        <f>Sizing!GJ145</f>
        <v>0.25</v>
      </c>
      <c r="AK131" s="216">
        <f>Sizing!GK145</f>
        <v>2.3622047244094495E-2</v>
      </c>
      <c r="AL131" s="17">
        <f>Sizing!GL145</f>
        <v>2.3622047244094495E-2</v>
      </c>
      <c r="AM131" s="216">
        <f t="shared" si="50"/>
        <v>3.6269531605028051E-3</v>
      </c>
      <c r="AN131" s="138">
        <f t="shared" si="51"/>
        <v>7.2254596295506844E-4</v>
      </c>
      <c r="AO131" s="138">
        <f t="shared" si="52"/>
        <v>4.3494991234578739E-3</v>
      </c>
      <c r="AP131" s="311">
        <f t="shared" si="78"/>
        <v>8.107774484671898E-2</v>
      </c>
      <c r="AQ131" s="11">
        <f t="shared" si="79"/>
        <v>1.6151958581228719E-2</v>
      </c>
      <c r="AR131" s="21">
        <f t="shared" si="80"/>
        <v>9.7229703427947706E-2</v>
      </c>
      <c r="AS131" s="11">
        <f t="shared" si="53"/>
        <v>2.216603264174825E-2</v>
      </c>
      <c r="AT131" s="21">
        <f t="shared" si="54"/>
        <v>2.216603264174825E-2</v>
      </c>
      <c r="AU131" s="170">
        <f>Sizing!JC145</f>
        <v>2.1476328638547018E-3</v>
      </c>
      <c r="AV131" s="272">
        <f>Sizing!JD145</f>
        <v>4.6342559962249626E-2</v>
      </c>
      <c r="AW131" s="170">
        <f>Sizing!JC145</f>
        <v>2.1476328638547018E-3</v>
      </c>
      <c r="AX131" s="272">
        <f>Sizing!JD145</f>
        <v>4.6342559962249626E-2</v>
      </c>
      <c r="AY131" s="216">
        <f>Sizing!IT145</f>
        <v>0.25</v>
      </c>
      <c r="AZ131" s="216">
        <f>Sizing!IU145</f>
        <v>1.5748031496062995E-2</v>
      </c>
      <c r="BA131" s="17">
        <f>Sizing!IV145</f>
        <v>1.5748031496062995E-2</v>
      </c>
      <c r="BB131" s="216">
        <f t="shared" si="55"/>
        <v>2.4179687736685367E-3</v>
      </c>
      <c r="BC131" s="138">
        <f t="shared" si="56"/>
        <v>7.2254596295506844E-4</v>
      </c>
      <c r="BD131" s="138">
        <f t="shared" si="57"/>
        <v>3.1405147366236051E-3</v>
      </c>
      <c r="BE131" s="311">
        <f t="shared" si="58"/>
        <v>2.7025914948906327E-2</v>
      </c>
      <c r="BF131" s="11">
        <f t="shared" si="59"/>
        <v>8.0759792906143595E-3</v>
      </c>
      <c r="BG131" s="21">
        <f t="shared" si="60"/>
        <v>3.5101894239520683E-2</v>
      </c>
      <c r="BH131" s="21">
        <f t="shared" si="61"/>
        <v>3.8115954763161248E-4</v>
      </c>
      <c r="BI131" s="21">
        <f t="shared" si="62"/>
        <v>3.8115954763161248E-4</v>
      </c>
      <c r="BJ131" s="561"/>
      <c r="BK131">
        <f t="shared" si="63"/>
        <v>1.7862123275000001</v>
      </c>
      <c r="BL131">
        <f t="shared" si="64"/>
        <v>1.7862123275000001</v>
      </c>
      <c r="BM131">
        <f>C131*'Inputs-Imperial'!$E$12</f>
        <v>0.89310616375000007</v>
      </c>
      <c r="BN131">
        <f>C131*'Inputs-Imperial'!$E$12</f>
        <v>0.89310616375000007</v>
      </c>
      <c r="BO131">
        <f>C131*'Inputs-Imperial'!$E$12</f>
        <v>0.89310616375000007</v>
      </c>
      <c r="BP131">
        <f>C131*'Weight '!$E$15</f>
        <v>1.7862123275000001</v>
      </c>
      <c r="BQ131">
        <f>C131*'Weight '!$E$15</f>
        <v>1.7862123275000001</v>
      </c>
      <c r="BR131">
        <f>C131*'Weight '!$E$15</f>
        <v>1.7862123275000001</v>
      </c>
      <c r="BS131">
        <f t="shared" si="65"/>
        <v>2.54753312395369</v>
      </c>
      <c r="BT131" s="564">
        <f t="shared" si="66"/>
        <v>1.4970016559474406</v>
      </c>
      <c r="BU131">
        <f t="shared" si="67"/>
        <v>1.7017570513917544</v>
      </c>
    </row>
    <row r="132" spans="1:73" x14ac:dyDescent="0.25">
      <c r="A132" s="186">
        <v>86</v>
      </c>
      <c r="B132" s="187">
        <f>A132/100*'Inputs-Imperial'!$E$5</f>
        <v>20.709974415999998</v>
      </c>
      <c r="C132" s="188">
        <f>'Inputs-Imperial'!$E$10+('Inputs-Imperial'!$E$9-'Inputs-Imperial'!$E$10)*(100-A132)/100</f>
        <v>3.5546260980000004</v>
      </c>
      <c r="D132" s="187">
        <f t="shared" si="68"/>
        <v>0.24081365600000026</v>
      </c>
      <c r="E132" s="188">
        <f t="shared" si="69"/>
        <v>0.85814557416374249</v>
      </c>
      <c r="F132" s="423">
        <f>Sizing!F146</f>
        <v>85.273828978889782</v>
      </c>
      <c r="G132" s="423">
        <f>Sizing!G146</f>
        <v>852.73828978889776</v>
      </c>
      <c r="H132" s="423">
        <f>Sizing!H146</f>
        <v>1428.7474798930084</v>
      </c>
      <c r="I132" s="423">
        <f>Sizing!I146</f>
        <v>-1235.0817031352267</v>
      </c>
      <c r="J132" s="189">
        <f>Sizing!J146</f>
        <v>142.87474798930083</v>
      </c>
      <c r="K132" s="128">
        <v>86</v>
      </c>
      <c r="L132" s="12">
        <f t="shared" si="45"/>
        <v>248.51969299199999</v>
      </c>
      <c r="M132" s="11">
        <f t="shared" si="45"/>
        <v>42.655513176000007</v>
      </c>
      <c r="N132" s="11">
        <f t="shared" si="45"/>
        <v>2.8897638720000032</v>
      </c>
      <c r="O132" s="152">
        <f t="shared" si="46"/>
        <v>123.57296267957891</v>
      </c>
      <c r="P132" s="8">
        <f t="shared" si="81"/>
        <v>7.6779923716800011</v>
      </c>
      <c r="Q132" s="12">
        <f t="shared" si="70"/>
        <v>22.243133282324205</v>
      </c>
      <c r="R132" s="8">
        <f t="shared" si="82"/>
        <v>3.8389961858400006</v>
      </c>
      <c r="S132" s="12">
        <f t="shared" si="71"/>
        <v>11.121566641162103</v>
      </c>
      <c r="T132" s="17">
        <f>Sizing!CN146</f>
        <v>0.75</v>
      </c>
      <c r="U132" s="17">
        <f>Sizing!CO146</f>
        <v>2.3622047244094495E-2</v>
      </c>
      <c r="V132" s="17">
        <f>Sizing!CP146</f>
        <v>1.5748031496062995E-2</v>
      </c>
      <c r="W132" s="128">
        <f t="shared" si="47"/>
        <v>3.0224609670856709E-3</v>
      </c>
      <c r="X132" s="2">
        <f t="shared" si="48"/>
        <v>2.1676378888652054E-3</v>
      </c>
      <c r="Y132" s="2">
        <f t="shared" si="49"/>
        <v>5.1900988559508768E-3</v>
      </c>
      <c r="Z132" s="216">
        <f t="shared" si="72"/>
        <v>0.38564328695217309</v>
      </c>
      <c r="AA132" s="138">
        <f t="shared" si="73"/>
        <v>0.27657429144240547</v>
      </c>
      <c r="AB132" s="17">
        <f t="shared" si="74"/>
        <v>0.66221757839457862</v>
      </c>
      <c r="AC132" s="311">
        <f t="shared" si="75"/>
        <v>0.37899426476334247</v>
      </c>
      <c r="AD132" s="316">
        <f t="shared" si="76"/>
        <v>0.27180576917615706</v>
      </c>
      <c r="AE132" s="21">
        <f t="shared" si="77"/>
        <v>0.65080003393949959</v>
      </c>
      <c r="AF132" s="170">
        <f>Sizing!DU146</f>
        <v>0.12489389406218925</v>
      </c>
      <c r="AG132" s="170">
        <f>Sizing!DV146</f>
        <v>0.35340330227968902</v>
      </c>
      <c r="AH132" s="170">
        <f>Sizing!DW146</f>
        <v>0.12489389406218925</v>
      </c>
      <c r="AI132" s="272">
        <f>Sizing!DX146</f>
        <v>0.35340330227968902</v>
      </c>
      <c r="AJ132" s="216">
        <f>Sizing!GJ146</f>
        <v>0.25</v>
      </c>
      <c r="AK132" s="216">
        <f>Sizing!GK146</f>
        <v>2.3622047244094495E-2</v>
      </c>
      <c r="AL132" s="17">
        <f>Sizing!GL146</f>
        <v>2.3622047244094495E-2</v>
      </c>
      <c r="AM132" s="216">
        <f t="shared" si="50"/>
        <v>3.6269531605028051E-3</v>
      </c>
      <c r="AN132" s="138">
        <f t="shared" si="51"/>
        <v>7.2254596295506844E-4</v>
      </c>
      <c r="AO132" s="138">
        <f t="shared" si="52"/>
        <v>4.3494991234578739E-3</v>
      </c>
      <c r="AP132" s="311">
        <f t="shared" si="78"/>
        <v>8.0674802557810912E-2</v>
      </c>
      <c r="AQ132" s="11">
        <f t="shared" si="79"/>
        <v>1.6071686156614876E-2</v>
      </c>
      <c r="AR132" s="21">
        <f t="shared" si="80"/>
        <v>9.6746488714425788E-2</v>
      </c>
      <c r="AS132" s="11">
        <f t="shared" si="53"/>
        <v>2.216603264174825E-2</v>
      </c>
      <c r="AT132" s="21">
        <f t="shared" si="54"/>
        <v>2.216603264174825E-2</v>
      </c>
      <c r="AU132" s="170">
        <f>Sizing!JC146</f>
        <v>2.1476328638547018E-3</v>
      </c>
      <c r="AV132" s="272">
        <f>Sizing!JD146</f>
        <v>4.6342559962249626E-2</v>
      </c>
      <c r="AW132" s="170">
        <f>Sizing!JC146</f>
        <v>2.1476328638547018E-3</v>
      </c>
      <c r="AX132" s="272">
        <f>Sizing!JD146</f>
        <v>4.6342559962249626E-2</v>
      </c>
      <c r="AY132" s="216">
        <f>Sizing!IT146</f>
        <v>0.25</v>
      </c>
      <c r="AZ132" s="216">
        <f>Sizing!IU146</f>
        <v>1.5748031496062995E-2</v>
      </c>
      <c r="BA132" s="17">
        <f>Sizing!IV146</f>
        <v>1.5748031496062995E-2</v>
      </c>
      <c r="BB132" s="216">
        <f t="shared" si="55"/>
        <v>2.4179687736685367E-3</v>
      </c>
      <c r="BC132" s="138">
        <f t="shared" si="56"/>
        <v>7.2254596295506844E-4</v>
      </c>
      <c r="BD132" s="138">
        <f t="shared" si="57"/>
        <v>3.1405147366236051E-3</v>
      </c>
      <c r="BE132" s="311">
        <f t="shared" si="58"/>
        <v>2.6891600852603635E-2</v>
      </c>
      <c r="BF132" s="11">
        <f t="shared" si="59"/>
        <v>8.0358430783074378E-3</v>
      </c>
      <c r="BG132" s="21">
        <f t="shared" si="60"/>
        <v>3.4927443930911073E-2</v>
      </c>
      <c r="BH132" s="21">
        <f t="shared" si="61"/>
        <v>3.8115954763161248E-4</v>
      </c>
      <c r="BI132" s="21">
        <f t="shared" si="62"/>
        <v>3.8115954763161248E-4</v>
      </c>
      <c r="BJ132" s="561"/>
      <c r="BK132">
        <f t="shared" si="63"/>
        <v>1.7773130490000002</v>
      </c>
      <c r="BL132">
        <f t="shared" si="64"/>
        <v>1.7773130490000002</v>
      </c>
      <c r="BM132">
        <f>C132*'Inputs-Imperial'!$E$12</f>
        <v>0.8886565245000001</v>
      </c>
      <c r="BN132">
        <f>C132*'Inputs-Imperial'!$E$12</f>
        <v>0.8886565245000001</v>
      </c>
      <c r="BO132">
        <f>C132*'Inputs-Imperial'!$E$12</f>
        <v>0.8886565245000001</v>
      </c>
      <c r="BP132">
        <f>C132*'Weight '!$E$15</f>
        <v>1.7773130490000002</v>
      </c>
      <c r="BQ132">
        <f>C132*'Weight '!$E$15</f>
        <v>1.7773130490000002</v>
      </c>
      <c r="BR132">
        <f>C132*'Weight '!$E$15</f>
        <v>1.7773130490000002</v>
      </c>
      <c r="BS132">
        <f t="shared" si="65"/>
        <v>2.5224455949875968</v>
      </c>
      <c r="BT132" s="564">
        <f t="shared" si="66"/>
        <v>1.4897859293581748</v>
      </c>
      <c r="BU132">
        <f t="shared" si="67"/>
        <v>1.6931597656277433</v>
      </c>
    </row>
    <row r="133" spans="1:73" x14ac:dyDescent="0.25">
      <c r="A133" s="186">
        <v>87</v>
      </c>
      <c r="B133" s="187">
        <f>A133/100*'Inputs-Imperial'!$E$5</f>
        <v>20.950788071999998</v>
      </c>
      <c r="C133" s="188">
        <f>'Inputs-Imperial'!$E$10+('Inputs-Imperial'!$E$9-'Inputs-Imperial'!$E$10)*(100-A133)/100</f>
        <v>3.5368275410000001</v>
      </c>
      <c r="D133" s="187">
        <f t="shared" si="68"/>
        <v>0.24081365600000026</v>
      </c>
      <c r="E133" s="188">
        <f t="shared" si="69"/>
        <v>0.85385943858104818</v>
      </c>
      <c r="F133" s="423">
        <f>Sizing!F147</f>
        <v>78.069794483240614</v>
      </c>
      <c r="G133" s="423">
        <f>Sizing!G147</f>
        <v>780.69794483240617</v>
      </c>
      <c r="H133" s="423">
        <f>Sizing!H147</f>
        <v>1223.3964547177563</v>
      </c>
      <c r="I133" s="423">
        <f>Sizing!I147</f>
        <v>-1112.8359566030217</v>
      </c>
      <c r="J133" s="189">
        <f>Sizing!J147</f>
        <v>122.33964547177561</v>
      </c>
      <c r="K133" s="128">
        <v>87</v>
      </c>
      <c r="L133" s="12">
        <f t="shared" si="45"/>
        <v>251.40945686399999</v>
      </c>
      <c r="M133" s="11">
        <f t="shared" si="45"/>
        <v>42.441930491999997</v>
      </c>
      <c r="N133" s="11">
        <f t="shared" si="45"/>
        <v>2.8897638720000032</v>
      </c>
      <c r="O133" s="152">
        <f t="shared" si="46"/>
        <v>122.95575915567093</v>
      </c>
      <c r="P133" s="8">
        <f t="shared" si="81"/>
        <v>7.639547488559999</v>
      </c>
      <c r="Q133" s="12">
        <f t="shared" si="70"/>
        <v>22.132036648020765</v>
      </c>
      <c r="R133" s="8">
        <f t="shared" si="82"/>
        <v>3.8197737442799995</v>
      </c>
      <c r="S133" s="12">
        <f t="shared" si="71"/>
        <v>11.066018324010383</v>
      </c>
      <c r="T133" s="17">
        <f>Sizing!CN147</f>
        <v>0.75</v>
      </c>
      <c r="U133" s="17">
        <f>Sizing!CO147</f>
        <v>2.3622047244094495E-2</v>
      </c>
      <c r="V133" s="17">
        <f>Sizing!CP147</f>
        <v>1.5748031496062995E-2</v>
      </c>
      <c r="W133" s="128">
        <f t="shared" si="47"/>
        <v>3.0224609670856709E-3</v>
      </c>
      <c r="X133" s="2">
        <f t="shared" si="48"/>
        <v>2.1676378888652054E-3</v>
      </c>
      <c r="Y133" s="2">
        <f t="shared" si="49"/>
        <v>5.1900988559508768E-3</v>
      </c>
      <c r="Z133" s="216">
        <f t="shared" si="72"/>
        <v>0.38371713425244763</v>
      </c>
      <c r="AA133" s="138">
        <f t="shared" si="73"/>
        <v>0.27519290004740238</v>
      </c>
      <c r="AB133" s="17">
        <f t="shared" si="74"/>
        <v>0.65891003429985007</v>
      </c>
      <c r="AC133" s="311">
        <f t="shared" si="75"/>
        <v>0.3771013215929227</v>
      </c>
      <c r="AD133" s="316">
        <f t="shared" si="76"/>
        <v>0.27044819487417132</v>
      </c>
      <c r="AE133" s="21">
        <f t="shared" si="77"/>
        <v>0.64754951646709402</v>
      </c>
      <c r="AF133" s="170">
        <f>Sizing!DU147</f>
        <v>0.12489389406218925</v>
      </c>
      <c r="AG133" s="170">
        <f>Sizing!DV147</f>
        <v>0.35340330227968902</v>
      </c>
      <c r="AH133" s="170">
        <f>Sizing!DW147</f>
        <v>0.12489389406218925</v>
      </c>
      <c r="AI133" s="272">
        <f>Sizing!DX147</f>
        <v>0.35340330227968902</v>
      </c>
      <c r="AJ133" s="216">
        <f>Sizing!GJ147</f>
        <v>0.25</v>
      </c>
      <c r="AK133" s="216">
        <f>Sizing!GK147</f>
        <v>2.3622047244094495E-2</v>
      </c>
      <c r="AL133" s="17">
        <f>Sizing!GL147</f>
        <v>2.3622047244094495E-2</v>
      </c>
      <c r="AM133" s="216">
        <f t="shared" si="50"/>
        <v>3.6269531605028051E-3</v>
      </c>
      <c r="AN133" s="138">
        <f t="shared" si="51"/>
        <v>7.2254596295506844E-4</v>
      </c>
      <c r="AO133" s="138">
        <f t="shared" si="52"/>
        <v>4.3494991234578739E-3</v>
      </c>
      <c r="AP133" s="311">
        <f t="shared" si="78"/>
        <v>8.0271860268902817E-2</v>
      </c>
      <c r="AQ133" s="11">
        <f t="shared" si="79"/>
        <v>1.5991413732001029E-2</v>
      </c>
      <c r="AR133" s="21">
        <f t="shared" si="80"/>
        <v>9.6263274000903856E-2</v>
      </c>
      <c r="AS133" s="11">
        <f t="shared" si="53"/>
        <v>2.216603264174825E-2</v>
      </c>
      <c r="AT133" s="21">
        <f t="shared" si="54"/>
        <v>2.216603264174825E-2</v>
      </c>
      <c r="AU133" s="170">
        <f>Sizing!JC147</f>
        <v>2.1476328638547018E-3</v>
      </c>
      <c r="AV133" s="272">
        <f>Sizing!JD147</f>
        <v>4.6342559962249626E-2</v>
      </c>
      <c r="AW133" s="170">
        <f>Sizing!JC147</f>
        <v>2.1476328638547018E-3</v>
      </c>
      <c r="AX133" s="272">
        <f>Sizing!JD147</f>
        <v>4.6342559962249626E-2</v>
      </c>
      <c r="AY133" s="216">
        <f>Sizing!IT147</f>
        <v>0.25</v>
      </c>
      <c r="AZ133" s="216">
        <f>Sizing!IU147</f>
        <v>1.5748031496062995E-2</v>
      </c>
      <c r="BA133" s="17">
        <f>Sizing!IV147</f>
        <v>1.5748031496062995E-2</v>
      </c>
      <c r="BB133" s="216">
        <f t="shared" si="55"/>
        <v>2.4179687736685367E-3</v>
      </c>
      <c r="BC133" s="138">
        <f t="shared" si="56"/>
        <v>7.2254596295506844E-4</v>
      </c>
      <c r="BD133" s="138">
        <f t="shared" si="57"/>
        <v>3.1405147366236051E-3</v>
      </c>
      <c r="BE133" s="311">
        <f t="shared" si="58"/>
        <v>2.675728675630094E-2</v>
      </c>
      <c r="BF133" s="11">
        <f t="shared" si="59"/>
        <v>7.9957068660005143E-3</v>
      </c>
      <c r="BG133" s="21">
        <f t="shared" si="60"/>
        <v>3.4752993622301456E-2</v>
      </c>
      <c r="BH133" s="21">
        <f t="shared" si="61"/>
        <v>3.8115954763161248E-4</v>
      </c>
      <c r="BI133" s="21">
        <f t="shared" si="62"/>
        <v>3.8115954763161248E-4</v>
      </c>
      <c r="BJ133" s="561"/>
      <c r="BK133">
        <f t="shared" si="63"/>
        <v>1.7684137705</v>
      </c>
      <c r="BL133">
        <f t="shared" si="64"/>
        <v>1.7684137705</v>
      </c>
      <c r="BM133">
        <f>C133*'Inputs-Imperial'!$E$12</f>
        <v>0.88420688525000002</v>
      </c>
      <c r="BN133">
        <f>C133*'Inputs-Imperial'!$E$12</f>
        <v>0.88420688525000002</v>
      </c>
      <c r="BO133">
        <f>C133*'Inputs-Imperial'!$E$12</f>
        <v>0.88420688525000002</v>
      </c>
      <c r="BP133">
        <f>C133*'Weight '!$E$15</f>
        <v>1.7684137705</v>
      </c>
      <c r="BQ133">
        <f>C133*'Weight '!$E$15</f>
        <v>1.7684137705</v>
      </c>
      <c r="BR133">
        <f>C133*'Weight '!$E$15</f>
        <v>1.7684137705</v>
      </c>
      <c r="BS133">
        <f t="shared" si="65"/>
        <v>2.4974821952801896</v>
      </c>
      <c r="BT133" s="564">
        <f t="shared" si="66"/>
        <v>1.4825702027689092</v>
      </c>
      <c r="BU133">
        <f t="shared" si="67"/>
        <v>1.6845625189389271</v>
      </c>
    </row>
    <row r="134" spans="1:73" x14ac:dyDescent="0.25">
      <c r="A134" s="186">
        <v>88</v>
      </c>
      <c r="B134" s="187">
        <f>A134/100*'Inputs-Imperial'!$E$5</f>
        <v>21.191601727999998</v>
      </c>
      <c r="C134" s="188">
        <f>'Inputs-Imperial'!$E$10+('Inputs-Imperial'!$E$9-'Inputs-Imperial'!$E$10)*(100-A134)/100</f>
        <v>3.5190289840000002</v>
      </c>
      <c r="D134" s="187">
        <f t="shared" si="68"/>
        <v>0.24081365600000026</v>
      </c>
      <c r="E134" s="188">
        <f t="shared" si="69"/>
        <v>0.84957330299835365</v>
      </c>
      <c r="F134" s="423">
        <f>Sizing!F148</f>
        <v>70.995519190580012</v>
      </c>
      <c r="G134" s="423">
        <f>Sizing!G148</f>
        <v>709.95519190580012</v>
      </c>
      <c r="H134" s="423">
        <f>Sizing!H148</f>
        <v>1035.3937283909781</v>
      </c>
      <c r="I134" s="423">
        <f>Sizing!I148</f>
        <v>-995.01701424962357</v>
      </c>
      <c r="J134" s="189">
        <f>Sizing!J148</f>
        <v>103.53937283909779</v>
      </c>
      <c r="K134" s="128">
        <v>88</v>
      </c>
      <c r="L134" s="12">
        <f t="shared" si="45"/>
        <v>254.299220736</v>
      </c>
      <c r="M134" s="11">
        <f t="shared" si="45"/>
        <v>42.228347808000002</v>
      </c>
      <c r="N134" s="11">
        <f t="shared" si="45"/>
        <v>2.8897638720000032</v>
      </c>
      <c r="O134" s="152">
        <f t="shared" si="46"/>
        <v>122.33855563176292</v>
      </c>
      <c r="P134" s="8">
        <f t="shared" si="81"/>
        <v>7.6011026054400004</v>
      </c>
      <c r="Q134" s="12">
        <f t="shared" si="70"/>
        <v>22.020940013717325</v>
      </c>
      <c r="R134" s="8">
        <f t="shared" si="82"/>
        <v>3.8005513027200002</v>
      </c>
      <c r="S134" s="12">
        <f t="shared" si="71"/>
        <v>11.010470006858663</v>
      </c>
      <c r="T134" s="17">
        <f>Sizing!CN148</f>
        <v>0.75</v>
      </c>
      <c r="U134" s="17">
        <f>Sizing!CO148</f>
        <v>2.3622047244094495E-2</v>
      </c>
      <c r="V134" s="17">
        <f>Sizing!CP148</f>
        <v>1.5748031496062995E-2</v>
      </c>
      <c r="W134" s="128">
        <f t="shared" si="47"/>
        <v>3.0224609670856709E-3</v>
      </c>
      <c r="X134" s="2">
        <f t="shared" si="48"/>
        <v>2.1676378888652054E-3</v>
      </c>
      <c r="Y134" s="2">
        <f t="shared" si="49"/>
        <v>5.1900988559508768E-3</v>
      </c>
      <c r="Z134" s="216">
        <f t="shared" si="72"/>
        <v>0.38179098155272218</v>
      </c>
      <c r="AA134" s="138">
        <f t="shared" si="73"/>
        <v>0.27381150865239928</v>
      </c>
      <c r="AB134" s="17">
        <f t="shared" si="74"/>
        <v>0.65560249020512151</v>
      </c>
      <c r="AC134" s="311">
        <f t="shared" si="75"/>
        <v>0.37520837842250276</v>
      </c>
      <c r="AD134" s="316">
        <f t="shared" si="76"/>
        <v>0.26909062057218547</v>
      </c>
      <c r="AE134" s="21">
        <f t="shared" si="77"/>
        <v>0.64429899899468834</v>
      </c>
      <c r="AF134" s="170">
        <f>Sizing!DU148</f>
        <v>0.12489389406218925</v>
      </c>
      <c r="AG134" s="170">
        <f>Sizing!DV148</f>
        <v>0.35340330227968902</v>
      </c>
      <c r="AH134" s="170">
        <f>Sizing!DW148</f>
        <v>0.12489389406218925</v>
      </c>
      <c r="AI134" s="272">
        <f>Sizing!DX148</f>
        <v>0.35340330227968902</v>
      </c>
      <c r="AJ134" s="216">
        <f>Sizing!GJ148</f>
        <v>0.25</v>
      </c>
      <c r="AK134" s="216">
        <f>Sizing!GK148</f>
        <v>2.3622047244094495E-2</v>
      </c>
      <c r="AL134" s="17">
        <f>Sizing!GL148</f>
        <v>2.3622047244094495E-2</v>
      </c>
      <c r="AM134" s="216">
        <f t="shared" si="50"/>
        <v>3.6269531605028051E-3</v>
      </c>
      <c r="AN134" s="138">
        <f t="shared" si="51"/>
        <v>7.2254596295506844E-4</v>
      </c>
      <c r="AO134" s="138">
        <f t="shared" si="52"/>
        <v>4.3494991234578739E-3</v>
      </c>
      <c r="AP134" s="311">
        <f t="shared" si="78"/>
        <v>7.9868917979994736E-2</v>
      </c>
      <c r="AQ134" s="11">
        <f t="shared" si="79"/>
        <v>1.5911141307387182E-2</v>
      </c>
      <c r="AR134" s="21">
        <f t="shared" si="80"/>
        <v>9.5780059287381925E-2</v>
      </c>
      <c r="AS134" s="11">
        <f t="shared" si="53"/>
        <v>2.216603264174825E-2</v>
      </c>
      <c r="AT134" s="21">
        <f t="shared" si="54"/>
        <v>2.216603264174825E-2</v>
      </c>
      <c r="AU134" s="170">
        <f>Sizing!JC148</f>
        <v>2.1476328638547018E-3</v>
      </c>
      <c r="AV134" s="272">
        <f>Sizing!JD148</f>
        <v>4.6342559962249626E-2</v>
      </c>
      <c r="AW134" s="170">
        <f>Sizing!JC148</f>
        <v>2.1476328638547018E-3</v>
      </c>
      <c r="AX134" s="272">
        <f>Sizing!JD148</f>
        <v>4.6342559962249626E-2</v>
      </c>
      <c r="AY134" s="216">
        <f>Sizing!IT148</f>
        <v>0.25</v>
      </c>
      <c r="AZ134" s="216">
        <f>Sizing!IU148</f>
        <v>1.5748031496062995E-2</v>
      </c>
      <c r="BA134" s="17">
        <f>Sizing!IV148</f>
        <v>1.5748031496062995E-2</v>
      </c>
      <c r="BB134" s="216">
        <f t="shared" si="55"/>
        <v>2.4179687736685367E-3</v>
      </c>
      <c r="BC134" s="138">
        <f t="shared" si="56"/>
        <v>7.2254596295506844E-4</v>
      </c>
      <c r="BD134" s="138">
        <f t="shared" si="57"/>
        <v>3.1405147366236051E-3</v>
      </c>
      <c r="BE134" s="311">
        <f t="shared" si="58"/>
        <v>2.6622972659998245E-2</v>
      </c>
      <c r="BF134" s="11">
        <f t="shared" si="59"/>
        <v>7.9555706536935909E-3</v>
      </c>
      <c r="BG134" s="21">
        <f t="shared" si="60"/>
        <v>3.457854331369184E-2</v>
      </c>
      <c r="BH134" s="21">
        <f t="shared" si="61"/>
        <v>3.8115954763161248E-4</v>
      </c>
      <c r="BI134" s="21">
        <f t="shared" si="62"/>
        <v>3.8115954763161248E-4</v>
      </c>
      <c r="BJ134" s="561"/>
      <c r="BK134">
        <f t="shared" si="63"/>
        <v>1.7595144920000001</v>
      </c>
      <c r="BL134">
        <f t="shared" si="64"/>
        <v>1.7595144920000001</v>
      </c>
      <c r="BM134">
        <f>C134*'Inputs-Imperial'!$E$12</f>
        <v>0.87975724600000005</v>
      </c>
      <c r="BN134">
        <f>C134*'Inputs-Imperial'!$E$12</f>
        <v>0.87975724600000005</v>
      </c>
      <c r="BO134">
        <f>C134*'Inputs-Imperial'!$E$12</f>
        <v>0.87975724600000005</v>
      </c>
      <c r="BP134">
        <f>C134*'Weight '!$E$15</f>
        <v>1.7595144920000001</v>
      </c>
      <c r="BQ134">
        <f>C134*'Weight '!$E$15</f>
        <v>1.7595144920000001</v>
      </c>
      <c r="BR134">
        <f>C134*'Weight '!$E$15</f>
        <v>1.7595144920000001</v>
      </c>
      <c r="BS134">
        <f t="shared" si="65"/>
        <v>2.4726429248314656</v>
      </c>
      <c r="BT134" s="564">
        <f t="shared" si="66"/>
        <v>1.4753544761796431</v>
      </c>
      <c r="BU134">
        <f t="shared" si="67"/>
        <v>1.6759653118986368</v>
      </c>
    </row>
    <row r="135" spans="1:73" x14ac:dyDescent="0.25">
      <c r="A135" s="186">
        <v>89</v>
      </c>
      <c r="B135" s="187">
        <f>A135/100*'Inputs-Imperial'!$E$5</f>
        <v>21.432415383999999</v>
      </c>
      <c r="C135" s="188">
        <f>'Inputs-Imperial'!$E$10+('Inputs-Imperial'!$E$9-'Inputs-Imperial'!$E$10)*(100-A135)/100</f>
        <v>3.5012304270000003</v>
      </c>
      <c r="D135" s="187">
        <f t="shared" si="68"/>
        <v>0.24081365600000026</v>
      </c>
      <c r="E135" s="188">
        <f t="shared" si="69"/>
        <v>0.84528716741565935</v>
      </c>
      <c r="F135" s="423">
        <f>Sizing!F149</f>
        <v>64.056476184030103</v>
      </c>
      <c r="G135" s="423">
        <f>Sizing!G149</f>
        <v>640.56476184030112</v>
      </c>
      <c r="H135" s="423">
        <f>Sizing!H149</f>
        <v>864.42682303196057</v>
      </c>
      <c r="I135" s="423">
        <f>Sizing!I149</f>
        <v>-881.72800540231628</v>
      </c>
      <c r="J135" s="189">
        <f>Sizing!J149</f>
        <v>86.442682303196037</v>
      </c>
      <c r="K135" s="128">
        <v>89</v>
      </c>
      <c r="L135" s="12">
        <f t="shared" si="45"/>
        <v>257.188984608</v>
      </c>
      <c r="M135" s="11">
        <f t="shared" si="45"/>
        <v>42.014765124000007</v>
      </c>
      <c r="N135" s="11">
        <f t="shared" si="45"/>
        <v>2.8897638720000032</v>
      </c>
      <c r="O135" s="152">
        <f t="shared" si="46"/>
        <v>121.72135210785494</v>
      </c>
      <c r="P135" s="8">
        <f t="shared" si="81"/>
        <v>7.5626577223200009</v>
      </c>
      <c r="Q135" s="12">
        <f t="shared" si="70"/>
        <v>21.909843379413889</v>
      </c>
      <c r="R135" s="8">
        <f t="shared" si="82"/>
        <v>3.7813288611600004</v>
      </c>
      <c r="S135" s="12">
        <f t="shared" si="71"/>
        <v>10.954921689706945</v>
      </c>
      <c r="T135" s="17">
        <f>Sizing!CN149</f>
        <v>0.75</v>
      </c>
      <c r="U135" s="17">
        <f>Sizing!CO149</f>
        <v>2.3622047244094495E-2</v>
      </c>
      <c r="V135" s="17">
        <f>Sizing!CP149</f>
        <v>1.5748031496062995E-2</v>
      </c>
      <c r="W135" s="128">
        <f t="shared" si="47"/>
        <v>3.0224609670856709E-3</v>
      </c>
      <c r="X135" s="2">
        <f t="shared" si="48"/>
        <v>2.1676378888652054E-3</v>
      </c>
      <c r="Y135" s="2">
        <f t="shared" si="49"/>
        <v>5.1900988559508768E-3</v>
      </c>
      <c r="Z135" s="216">
        <f t="shared" si="72"/>
        <v>0.37986482885299672</v>
      </c>
      <c r="AA135" s="138">
        <f t="shared" si="73"/>
        <v>0.27243011725739619</v>
      </c>
      <c r="AB135" s="17">
        <f t="shared" si="74"/>
        <v>0.65229494611039296</v>
      </c>
      <c r="AC135" s="311">
        <f t="shared" si="75"/>
        <v>0.37331543525208299</v>
      </c>
      <c r="AD135" s="316">
        <f t="shared" si="76"/>
        <v>0.26773304627019973</v>
      </c>
      <c r="AE135" s="21">
        <f t="shared" si="77"/>
        <v>0.64104848152228278</v>
      </c>
      <c r="AF135" s="170">
        <f>Sizing!DU149</f>
        <v>0.12489389406218925</v>
      </c>
      <c r="AG135" s="170">
        <f>Sizing!DV149</f>
        <v>0.35340330227968902</v>
      </c>
      <c r="AH135" s="170">
        <f>Sizing!DW149</f>
        <v>0.12489389406218925</v>
      </c>
      <c r="AI135" s="272">
        <f>Sizing!DX149</f>
        <v>0.35340330227968902</v>
      </c>
      <c r="AJ135" s="216">
        <f>Sizing!GJ149</f>
        <v>0.25</v>
      </c>
      <c r="AK135" s="216">
        <f>Sizing!GK149</f>
        <v>2.3622047244094495E-2</v>
      </c>
      <c r="AL135" s="17">
        <f>Sizing!GL149</f>
        <v>2.3622047244094495E-2</v>
      </c>
      <c r="AM135" s="216">
        <f t="shared" si="50"/>
        <v>3.6269531605028051E-3</v>
      </c>
      <c r="AN135" s="138">
        <f t="shared" si="51"/>
        <v>7.2254596295506844E-4</v>
      </c>
      <c r="AO135" s="138">
        <f t="shared" si="52"/>
        <v>4.3494991234578739E-3</v>
      </c>
      <c r="AP135" s="311">
        <f t="shared" si="78"/>
        <v>7.9465975691086668E-2</v>
      </c>
      <c r="AQ135" s="11">
        <f t="shared" si="79"/>
        <v>1.5830868882773338E-2</v>
      </c>
      <c r="AR135" s="21">
        <f t="shared" si="80"/>
        <v>9.5296844573860007E-2</v>
      </c>
      <c r="AS135" s="11">
        <f t="shared" si="53"/>
        <v>2.216603264174825E-2</v>
      </c>
      <c r="AT135" s="21">
        <f t="shared" si="54"/>
        <v>2.216603264174825E-2</v>
      </c>
      <c r="AU135" s="170">
        <f>Sizing!JC149</f>
        <v>2.1476328638547018E-3</v>
      </c>
      <c r="AV135" s="272">
        <f>Sizing!JD149</f>
        <v>4.6342559962249626E-2</v>
      </c>
      <c r="AW135" s="170">
        <f>Sizing!JC149</f>
        <v>2.1476328638547018E-3</v>
      </c>
      <c r="AX135" s="272">
        <f>Sizing!JD149</f>
        <v>4.6342559962249626E-2</v>
      </c>
      <c r="AY135" s="216">
        <f>Sizing!IT149</f>
        <v>0.25</v>
      </c>
      <c r="AZ135" s="216">
        <f>Sizing!IU149</f>
        <v>1.5748031496062995E-2</v>
      </c>
      <c r="BA135" s="17">
        <f>Sizing!IV149</f>
        <v>1.5748031496062995E-2</v>
      </c>
      <c r="BB135" s="216">
        <f t="shared" si="55"/>
        <v>2.4179687736685367E-3</v>
      </c>
      <c r="BC135" s="138">
        <f t="shared" si="56"/>
        <v>7.2254596295506844E-4</v>
      </c>
      <c r="BD135" s="138">
        <f t="shared" si="57"/>
        <v>3.1405147366236051E-3</v>
      </c>
      <c r="BE135" s="311">
        <f t="shared" si="58"/>
        <v>2.6488658563695554E-2</v>
      </c>
      <c r="BF135" s="11">
        <f t="shared" si="59"/>
        <v>7.9154344413866692E-3</v>
      </c>
      <c r="BG135" s="21">
        <f t="shared" si="60"/>
        <v>3.4404093005082223E-2</v>
      </c>
      <c r="BH135" s="21">
        <f t="shared" si="61"/>
        <v>3.8115954763161248E-4</v>
      </c>
      <c r="BI135" s="21">
        <f t="shared" si="62"/>
        <v>3.8115954763161248E-4</v>
      </c>
      <c r="BJ135" s="561"/>
      <c r="BK135">
        <f t="shared" si="63"/>
        <v>1.7506152135000002</v>
      </c>
      <c r="BL135">
        <f t="shared" si="64"/>
        <v>1.7506152135000002</v>
      </c>
      <c r="BM135">
        <f>C135*'Inputs-Imperial'!$E$12</f>
        <v>0.87530760675000008</v>
      </c>
      <c r="BN135">
        <f>C135*'Inputs-Imperial'!$E$12</f>
        <v>0.87530760675000008</v>
      </c>
      <c r="BO135">
        <f>C135*'Inputs-Imperial'!$E$12</f>
        <v>0.87530760675000008</v>
      </c>
      <c r="BP135">
        <f>C135*'Weight '!$E$15</f>
        <v>1.7506152135000002</v>
      </c>
      <c r="BQ135">
        <f>C135*'Weight '!$E$15</f>
        <v>1.7506152135000002</v>
      </c>
      <c r="BR135">
        <f>C135*'Weight '!$E$15</f>
        <v>1.7506152135000002</v>
      </c>
      <c r="BS135">
        <f t="shared" si="65"/>
        <v>2.4479277836414282</v>
      </c>
      <c r="BT135" s="564">
        <f t="shared" si="66"/>
        <v>1.4681387495903775</v>
      </c>
      <c r="BU135">
        <f t="shared" si="67"/>
        <v>1.667368145091477</v>
      </c>
    </row>
    <row r="136" spans="1:73" x14ac:dyDescent="0.25">
      <c r="A136" s="186">
        <v>90</v>
      </c>
      <c r="B136" s="187">
        <f>A136/100*'Inputs-Imperial'!$E$5</f>
        <v>21.673229039999999</v>
      </c>
      <c r="C136" s="188">
        <f>'Inputs-Imperial'!$E$10+('Inputs-Imperial'!$E$9-'Inputs-Imperial'!$E$10)*(100-A136)/100</f>
        <v>3.4834318700000004</v>
      </c>
      <c r="D136" s="187">
        <f t="shared" si="68"/>
        <v>0.24081365600000026</v>
      </c>
      <c r="E136" s="188">
        <f t="shared" si="69"/>
        <v>0.84100103183296493</v>
      </c>
      <c r="F136" s="423">
        <f>Sizing!F150</f>
        <v>57.258823884279124</v>
      </c>
      <c r="G136" s="423">
        <f>Sizing!G150</f>
        <v>572.58823884279127</v>
      </c>
      <c r="H136" s="423">
        <f>Sizing!H150</f>
        <v>710.17008082842813</v>
      </c>
      <c r="I136" s="423">
        <f>Sizing!I150</f>
        <v>-773.08426899028905</v>
      </c>
      <c r="J136" s="189">
        <f>Sizing!J150</f>
        <v>71.017008082842807</v>
      </c>
      <c r="K136" s="128">
        <v>90</v>
      </c>
      <c r="L136" s="12">
        <f t="shared" si="45"/>
        <v>260.07874848</v>
      </c>
      <c r="M136" s="11">
        <f t="shared" si="45"/>
        <v>41.801182440000005</v>
      </c>
      <c r="N136" s="11">
        <f t="shared" si="45"/>
        <v>2.8897638720000032</v>
      </c>
      <c r="O136" s="152">
        <f t="shared" si="46"/>
        <v>121.10414858394694</v>
      </c>
      <c r="P136" s="8">
        <f t="shared" si="81"/>
        <v>7.5242128392000005</v>
      </c>
      <c r="Q136" s="12">
        <f t="shared" si="70"/>
        <v>21.798746745110449</v>
      </c>
      <c r="R136" s="8">
        <f t="shared" si="82"/>
        <v>3.7621064196000003</v>
      </c>
      <c r="S136" s="12">
        <f t="shared" si="71"/>
        <v>10.899373372555225</v>
      </c>
      <c r="T136" s="17">
        <f>Sizing!CN150</f>
        <v>0.75</v>
      </c>
      <c r="U136" s="17">
        <f>Sizing!CO150</f>
        <v>2.3622047244094495E-2</v>
      </c>
      <c r="V136" s="17">
        <f>Sizing!CP150</f>
        <v>1.5748031496062995E-2</v>
      </c>
      <c r="W136" s="128">
        <f t="shared" si="47"/>
        <v>3.0224609670856709E-3</v>
      </c>
      <c r="X136" s="2">
        <f t="shared" si="48"/>
        <v>2.1676378888652054E-3</v>
      </c>
      <c r="Y136" s="2">
        <f t="shared" si="49"/>
        <v>5.1900988559508768E-3</v>
      </c>
      <c r="Z136" s="216">
        <f t="shared" si="72"/>
        <v>0.37793867615327131</v>
      </c>
      <c r="AA136" s="138">
        <f t="shared" si="73"/>
        <v>0.27104872586239309</v>
      </c>
      <c r="AB136" s="17">
        <f t="shared" si="74"/>
        <v>0.64898740201566441</v>
      </c>
      <c r="AC136" s="311">
        <f t="shared" si="75"/>
        <v>0.37142249208166317</v>
      </c>
      <c r="AD136" s="316">
        <f t="shared" si="76"/>
        <v>0.26637547196821387</v>
      </c>
      <c r="AE136" s="21">
        <f t="shared" si="77"/>
        <v>0.6377979640498771</v>
      </c>
      <c r="AF136" s="170">
        <f>Sizing!DU150</f>
        <v>2.9973794920998782E-2</v>
      </c>
      <c r="AG136" s="170">
        <f>Sizing!DV150</f>
        <v>0.17312941668300849</v>
      </c>
      <c r="AH136" s="170">
        <f>Sizing!DW150</f>
        <v>2.9973794920998782E-2</v>
      </c>
      <c r="AI136" s="272">
        <f>Sizing!DX150</f>
        <v>0.17312941668300849</v>
      </c>
      <c r="AJ136" s="216">
        <f>Sizing!GJ150</f>
        <v>0.25</v>
      </c>
      <c r="AK136" s="216">
        <f>Sizing!GK150</f>
        <v>2.3622047244094495E-2</v>
      </c>
      <c r="AL136" s="17">
        <f>Sizing!GL150</f>
        <v>2.3622047244094495E-2</v>
      </c>
      <c r="AM136" s="216">
        <f t="shared" si="50"/>
        <v>3.6269531605028051E-3</v>
      </c>
      <c r="AN136" s="138">
        <f t="shared" si="51"/>
        <v>7.2254596295506844E-4</v>
      </c>
      <c r="AO136" s="138">
        <f t="shared" si="52"/>
        <v>4.3494991234578739E-3</v>
      </c>
      <c r="AP136" s="311">
        <f t="shared" si="78"/>
        <v>7.9063033402178573E-2</v>
      </c>
      <c r="AQ136" s="11">
        <f t="shared" si="79"/>
        <v>1.5750596458159495E-2</v>
      </c>
      <c r="AR136" s="21">
        <f t="shared" si="80"/>
        <v>9.4813629860338075E-2</v>
      </c>
      <c r="AS136" s="11">
        <f t="shared" si="53"/>
        <v>5.3197165610441906E-3</v>
      </c>
      <c r="AT136" s="21">
        <f t="shared" si="54"/>
        <v>5.3197165610441906E-3</v>
      </c>
      <c r="AU136" s="170">
        <f>Sizing!JC150</f>
        <v>5.2711395752220482E-4</v>
      </c>
      <c r="AV136" s="272">
        <f>Sizing!JD150</f>
        <v>2.2958962466152619E-2</v>
      </c>
      <c r="AW136" s="170">
        <f>Sizing!JC150</f>
        <v>5.2711395752220482E-4</v>
      </c>
      <c r="AX136" s="272">
        <f>Sizing!JD150</f>
        <v>2.2958962466152619E-2</v>
      </c>
      <c r="AY136" s="216">
        <f>Sizing!IT150</f>
        <v>0.25</v>
      </c>
      <c r="AZ136" s="216">
        <f>Sizing!IU150</f>
        <v>1.5748031496062995E-2</v>
      </c>
      <c r="BA136" s="17">
        <f>Sizing!IV150</f>
        <v>1.5748031496062995E-2</v>
      </c>
      <c r="BB136" s="216">
        <f t="shared" si="55"/>
        <v>2.4179687736685367E-3</v>
      </c>
      <c r="BC136" s="138">
        <f t="shared" si="56"/>
        <v>7.2254596295506844E-4</v>
      </c>
      <c r="BD136" s="138">
        <f t="shared" si="57"/>
        <v>3.1405147366236051E-3</v>
      </c>
      <c r="BE136" s="311">
        <f t="shared" si="58"/>
        <v>2.6354344467392859E-2</v>
      </c>
      <c r="BF136" s="11">
        <f t="shared" si="59"/>
        <v>7.8752982290797476E-3</v>
      </c>
      <c r="BG136" s="21">
        <f t="shared" si="60"/>
        <v>3.4229642696472606E-2</v>
      </c>
      <c r="BH136" s="21">
        <f t="shared" si="61"/>
        <v>9.3551612559541041E-5</v>
      </c>
      <c r="BI136" s="21">
        <f t="shared" si="62"/>
        <v>9.3551612559541041E-5</v>
      </c>
      <c r="BJ136" s="561"/>
      <c r="BK136">
        <f t="shared" si="63"/>
        <v>1.7417159350000002</v>
      </c>
      <c r="BL136">
        <f t="shared" si="64"/>
        <v>1.7417159350000002</v>
      </c>
      <c r="BM136">
        <f>C136*'Inputs-Imperial'!$E$12</f>
        <v>0.87085796750000011</v>
      </c>
      <c r="BN136">
        <f>C136*'Inputs-Imperial'!$E$12</f>
        <v>0.87085796750000011</v>
      </c>
      <c r="BO136">
        <f>C136*'Inputs-Imperial'!$E$12</f>
        <v>0.87085796750000011</v>
      </c>
      <c r="BP136">
        <f>C136*'Weight '!$E$15</f>
        <v>1.7417159350000002</v>
      </c>
      <c r="BQ136">
        <f>C136*'Weight '!$E$15</f>
        <v>1.7417159350000002</v>
      </c>
      <c r="BR136">
        <f>C136*'Weight '!$E$15</f>
        <v>1.7417159350000002</v>
      </c>
      <c r="BS136">
        <f t="shared" si="65"/>
        <v>2.3929934118991696</v>
      </c>
      <c r="BT136" s="564">
        <f t="shared" si="66"/>
        <v>1.4266551749695595</v>
      </c>
      <c r="BU136">
        <f t="shared" si="67"/>
        <v>1.677345341666201</v>
      </c>
    </row>
    <row r="137" spans="1:73" x14ac:dyDescent="0.25">
      <c r="A137" s="186">
        <v>91</v>
      </c>
      <c r="B137" s="187">
        <f>A137/100*'Inputs-Imperial'!$E$5</f>
        <v>21.914042695999999</v>
      </c>
      <c r="C137" s="188">
        <f>'Inputs-Imperial'!$E$10+('Inputs-Imperial'!$E$9-'Inputs-Imperial'!$E$10)*(100-A137)/100</f>
        <v>3.4656333130000001</v>
      </c>
      <c r="D137" s="187">
        <f t="shared" si="68"/>
        <v>0.24081365600000026</v>
      </c>
      <c r="E137" s="188">
        <f t="shared" si="69"/>
        <v>0.8367148962502704</v>
      </c>
      <c r="F137" s="423">
        <f>Sizing!F151</f>
        <v>50.609573406962888</v>
      </c>
      <c r="G137" s="423">
        <f>Sizing!G151</f>
        <v>506.09573406962892</v>
      </c>
      <c r="H137" s="423">
        <f>Sizing!H151</f>
        <v>572.28301365009418</v>
      </c>
      <c r="I137" s="423">
        <f>Sizing!I151</f>
        <v>-669.21652282427499</v>
      </c>
      <c r="J137" s="189">
        <f>Sizing!J151</f>
        <v>57.228301365009415</v>
      </c>
      <c r="K137" s="128">
        <v>91</v>
      </c>
      <c r="L137" s="12">
        <f t="shared" si="45"/>
        <v>262.968512352</v>
      </c>
      <c r="M137" s="11">
        <f t="shared" si="45"/>
        <v>41.587599756000003</v>
      </c>
      <c r="N137" s="11">
        <f t="shared" si="45"/>
        <v>2.8897638720000032</v>
      </c>
      <c r="O137" s="152">
        <f t="shared" si="46"/>
        <v>120.48694506003895</v>
      </c>
      <c r="P137" s="8">
        <f t="shared" si="81"/>
        <v>7.4857679560800001</v>
      </c>
      <c r="Q137" s="12">
        <f t="shared" si="70"/>
        <v>21.687650110807009</v>
      </c>
      <c r="R137" s="8">
        <f t="shared" si="82"/>
        <v>3.7428839780400001</v>
      </c>
      <c r="S137" s="12">
        <f t="shared" si="71"/>
        <v>10.843825055403505</v>
      </c>
      <c r="T137" s="17">
        <f>Sizing!CN151</f>
        <v>0.75</v>
      </c>
      <c r="U137" s="17">
        <f>Sizing!CO151</f>
        <v>2.3622047244094495E-2</v>
      </c>
      <c r="V137" s="17">
        <f>Sizing!CP151</f>
        <v>1.5748031496062995E-2</v>
      </c>
      <c r="W137" s="128">
        <f t="shared" si="47"/>
        <v>3.0224609670856709E-3</v>
      </c>
      <c r="X137" s="2">
        <f t="shared" si="48"/>
        <v>2.1676378888652054E-3</v>
      </c>
      <c r="Y137" s="2">
        <f t="shared" si="49"/>
        <v>5.1900988559508768E-3</v>
      </c>
      <c r="Z137" s="216">
        <f t="shared" si="72"/>
        <v>0.37601252345354585</v>
      </c>
      <c r="AA137" s="138">
        <f t="shared" si="73"/>
        <v>0.26966733446739</v>
      </c>
      <c r="AB137" s="17">
        <f t="shared" si="74"/>
        <v>0.64567985792093585</v>
      </c>
      <c r="AC137" s="311">
        <f t="shared" si="75"/>
        <v>0.36952954891124334</v>
      </c>
      <c r="AD137" s="316">
        <f t="shared" si="76"/>
        <v>0.26501789766622807</v>
      </c>
      <c r="AE137" s="21">
        <f t="shared" si="77"/>
        <v>0.63454744657747142</v>
      </c>
      <c r="AF137" s="170">
        <f>Sizing!DU151</f>
        <v>2.9973794920998782E-2</v>
      </c>
      <c r="AG137" s="170">
        <f>Sizing!DV151</f>
        <v>0.17312941668300849</v>
      </c>
      <c r="AH137" s="170">
        <f>Sizing!DW151</f>
        <v>2.9973794920998782E-2</v>
      </c>
      <c r="AI137" s="272">
        <f>Sizing!DX151</f>
        <v>0.17312941668300849</v>
      </c>
      <c r="AJ137" s="216">
        <f>Sizing!GJ151</f>
        <v>0.25</v>
      </c>
      <c r="AK137" s="216">
        <f>Sizing!GK151</f>
        <v>2.3622047244094495E-2</v>
      </c>
      <c r="AL137" s="17">
        <f>Sizing!GL151</f>
        <v>2.3622047244094495E-2</v>
      </c>
      <c r="AM137" s="216">
        <f t="shared" si="50"/>
        <v>3.6269531605028051E-3</v>
      </c>
      <c r="AN137" s="138">
        <f t="shared" si="51"/>
        <v>7.2254596295506844E-4</v>
      </c>
      <c r="AO137" s="138">
        <f t="shared" si="52"/>
        <v>4.3494991234578739E-3</v>
      </c>
      <c r="AP137" s="311">
        <f t="shared" si="78"/>
        <v>7.8660091113270492E-2</v>
      </c>
      <c r="AQ137" s="11">
        <f t="shared" si="79"/>
        <v>1.5670324033545648E-2</v>
      </c>
      <c r="AR137" s="21">
        <f t="shared" si="80"/>
        <v>9.4330415146816143E-2</v>
      </c>
      <c r="AS137" s="11">
        <f t="shared" si="53"/>
        <v>5.3197165610441906E-3</v>
      </c>
      <c r="AT137" s="21">
        <f t="shared" si="54"/>
        <v>5.3197165610441906E-3</v>
      </c>
      <c r="AU137" s="170">
        <f>Sizing!JC151</f>
        <v>5.2711395752220482E-4</v>
      </c>
      <c r="AV137" s="272">
        <f>Sizing!JD151</f>
        <v>2.2958962466152619E-2</v>
      </c>
      <c r="AW137" s="170">
        <f>Sizing!JC151</f>
        <v>5.2711395752220482E-4</v>
      </c>
      <c r="AX137" s="272">
        <f>Sizing!JD151</f>
        <v>2.2958962466152619E-2</v>
      </c>
      <c r="AY137" s="216">
        <f>Sizing!IT151</f>
        <v>0.25</v>
      </c>
      <c r="AZ137" s="216">
        <f>Sizing!IU151</f>
        <v>1.5748031496062995E-2</v>
      </c>
      <c r="BA137" s="17">
        <f>Sizing!IV151</f>
        <v>1.5748031496062995E-2</v>
      </c>
      <c r="BB137" s="216">
        <f t="shared" si="55"/>
        <v>2.4179687736685367E-3</v>
      </c>
      <c r="BC137" s="138">
        <f t="shared" si="56"/>
        <v>7.2254596295506844E-4</v>
      </c>
      <c r="BD137" s="138">
        <f t="shared" si="57"/>
        <v>3.1405147366236051E-3</v>
      </c>
      <c r="BE137" s="311">
        <f t="shared" si="58"/>
        <v>2.6220030371090164E-2</v>
      </c>
      <c r="BF137" s="11">
        <f t="shared" si="59"/>
        <v>7.8351620167728241E-3</v>
      </c>
      <c r="BG137" s="21">
        <f t="shared" si="60"/>
        <v>3.405519238786299E-2</v>
      </c>
      <c r="BH137" s="21">
        <f t="shared" si="61"/>
        <v>9.3551612559541041E-5</v>
      </c>
      <c r="BI137" s="21">
        <f t="shared" si="62"/>
        <v>9.3551612559541041E-5</v>
      </c>
      <c r="BJ137" s="561"/>
      <c r="BK137">
        <f t="shared" si="63"/>
        <v>1.7328166565000001</v>
      </c>
      <c r="BL137">
        <f t="shared" si="64"/>
        <v>1.7328166565000001</v>
      </c>
      <c r="BM137">
        <f>C137*'Inputs-Imperial'!$E$12</f>
        <v>0.86640832825000003</v>
      </c>
      <c r="BN137">
        <f>C137*'Inputs-Imperial'!$E$12</f>
        <v>0.86640832825000003</v>
      </c>
      <c r="BO137">
        <f>C137*'Inputs-Imperial'!$E$12</f>
        <v>0.86640832825000003</v>
      </c>
      <c r="BP137">
        <f>C137*'Weight '!$E$15</f>
        <v>1.7328166565000001</v>
      </c>
      <c r="BQ137">
        <f>C137*'Weight '!$E$15</f>
        <v>1.7328166565000001</v>
      </c>
      <c r="BR137">
        <f>C137*'Weight '!$E$15</f>
        <v>1.7328166565000001</v>
      </c>
      <c r="BS137">
        <f t="shared" si="65"/>
        <v>2.3686815682912279</v>
      </c>
      <c r="BT137" s="564">
        <f t="shared" si="66"/>
        <v>1.4194394483802937</v>
      </c>
      <c r="BU137">
        <f t="shared" si="67"/>
        <v>1.6687443560865549</v>
      </c>
    </row>
    <row r="138" spans="1:73" x14ac:dyDescent="0.25">
      <c r="A138" s="186">
        <v>92</v>
      </c>
      <c r="B138" s="187">
        <f>A138/100*'Inputs-Imperial'!$E$5</f>
        <v>22.154856351999999</v>
      </c>
      <c r="C138" s="188">
        <f>'Inputs-Imperial'!$E$10+('Inputs-Imperial'!$E$9-'Inputs-Imperial'!$E$10)*(100-A138)/100</f>
        <v>3.4478347560000002</v>
      </c>
      <c r="D138" s="187">
        <f t="shared" si="68"/>
        <v>0.24081365600000026</v>
      </c>
      <c r="E138" s="188">
        <f t="shared" si="69"/>
        <v>0.8324287606675761</v>
      </c>
      <c r="F138" s="423">
        <f>Sizing!F152</f>
        <v>44.116819987246238</v>
      </c>
      <c r="G138" s="423">
        <f>Sizing!G152</f>
        <v>441.16819987246242</v>
      </c>
      <c r="H138" s="423">
        <f>Sizing!H152</f>
        <v>450.40824964278295</v>
      </c>
      <c r="I138" s="423">
        <f>Sizing!I152</f>
        <v>-570.27529457668811</v>
      </c>
      <c r="J138" s="189">
        <f>Sizing!J152</f>
        <v>45.040824964278293</v>
      </c>
      <c r="K138" s="128">
        <v>92</v>
      </c>
      <c r="L138" s="12">
        <f t="shared" si="45"/>
        <v>265.85827622400001</v>
      </c>
      <c r="M138" s="11">
        <f t="shared" si="45"/>
        <v>41.374017072000001</v>
      </c>
      <c r="N138" s="11">
        <f t="shared" si="45"/>
        <v>2.8897638720000032</v>
      </c>
      <c r="O138" s="152">
        <f t="shared" si="46"/>
        <v>119.86974153613096</v>
      </c>
      <c r="P138" s="8">
        <f t="shared" si="81"/>
        <v>7.4473230729599997</v>
      </c>
      <c r="Q138" s="12">
        <f t="shared" si="70"/>
        <v>21.57655347650357</v>
      </c>
      <c r="R138" s="8">
        <f t="shared" si="82"/>
        <v>3.7236615364799999</v>
      </c>
      <c r="S138" s="12">
        <f t="shared" si="71"/>
        <v>10.788276738251785</v>
      </c>
      <c r="T138" s="17">
        <f>Sizing!CN152</f>
        <v>0.75</v>
      </c>
      <c r="U138" s="17">
        <f>Sizing!CO152</f>
        <v>2.3622047244094495E-2</v>
      </c>
      <c r="V138" s="17">
        <f>Sizing!CP152</f>
        <v>1.5748031496062995E-2</v>
      </c>
      <c r="W138" s="128">
        <f t="shared" si="47"/>
        <v>3.0224609670856709E-3</v>
      </c>
      <c r="X138" s="2">
        <f t="shared" si="48"/>
        <v>2.1676378888652054E-3</v>
      </c>
      <c r="Y138" s="2">
        <f t="shared" si="49"/>
        <v>5.1900988559508768E-3</v>
      </c>
      <c r="Z138" s="216">
        <f t="shared" si="72"/>
        <v>0.3740863707538204</v>
      </c>
      <c r="AA138" s="138">
        <f t="shared" si="73"/>
        <v>0.2682859430723869</v>
      </c>
      <c r="AB138" s="17">
        <f t="shared" si="74"/>
        <v>0.64237231382620741</v>
      </c>
      <c r="AC138" s="311">
        <f t="shared" si="75"/>
        <v>0.36763660574082352</v>
      </c>
      <c r="AD138" s="316">
        <f t="shared" si="76"/>
        <v>0.26366032336424233</v>
      </c>
      <c r="AE138" s="21">
        <f t="shared" si="77"/>
        <v>0.63129692910506585</v>
      </c>
      <c r="AF138" s="170">
        <f>Sizing!DU152</f>
        <v>2.9973794920998782E-2</v>
      </c>
      <c r="AG138" s="170">
        <f>Sizing!DV152</f>
        <v>0.17312941668300849</v>
      </c>
      <c r="AH138" s="170">
        <f>Sizing!DW152</f>
        <v>2.9973794920998782E-2</v>
      </c>
      <c r="AI138" s="272">
        <f>Sizing!DX152</f>
        <v>0.17312941668300849</v>
      </c>
      <c r="AJ138" s="216">
        <f>Sizing!GJ152</f>
        <v>0.25</v>
      </c>
      <c r="AK138" s="216">
        <f>Sizing!GK152</f>
        <v>2.3622047244094495E-2</v>
      </c>
      <c r="AL138" s="17">
        <f>Sizing!GL152</f>
        <v>2.3622047244094495E-2</v>
      </c>
      <c r="AM138" s="216">
        <f t="shared" si="50"/>
        <v>3.6269531605028051E-3</v>
      </c>
      <c r="AN138" s="138">
        <f t="shared" si="51"/>
        <v>7.2254596295506844E-4</v>
      </c>
      <c r="AO138" s="138">
        <f t="shared" si="52"/>
        <v>4.3494991234578739E-3</v>
      </c>
      <c r="AP138" s="311">
        <f t="shared" si="78"/>
        <v>7.825714882436241E-2</v>
      </c>
      <c r="AQ138" s="11">
        <f t="shared" si="79"/>
        <v>1.5590051608931801E-2</v>
      </c>
      <c r="AR138" s="21">
        <f t="shared" si="80"/>
        <v>9.3847200433294212E-2</v>
      </c>
      <c r="AS138" s="11">
        <f t="shared" si="53"/>
        <v>5.3197165610441906E-3</v>
      </c>
      <c r="AT138" s="21">
        <f t="shared" si="54"/>
        <v>5.3197165610441906E-3</v>
      </c>
      <c r="AU138" s="170">
        <f>Sizing!JC152</f>
        <v>5.2711395752220482E-4</v>
      </c>
      <c r="AV138" s="272">
        <f>Sizing!JD152</f>
        <v>2.2958962466152619E-2</v>
      </c>
      <c r="AW138" s="170">
        <f>Sizing!JC152</f>
        <v>5.2711395752220482E-4</v>
      </c>
      <c r="AX138" s="272">
        <f>Sizing!JD152</f>
        <v>2.2958962466152619E-2</v>
      </c>
      <c r="AY138" s="216">
        <f>Sizing!IT152</f>
        <v>0.25</v>
      </c>
      <c r="AZ138" s="216">
        <f>Sizing!IU152</f>
        <v>1.5748031496062995E-2</v>
      </c>
      <c r="BA138" s="17">
        <f>Sizing!IV152</f>
        <v>1.5748031496062995E-2</v>
      </c>
      <c r="BB138" s="216">
        <f t="shared" si="55"/>
        <v>2.4179687736685367E-3</v>
      </c>
      <c r="BC138" s="138">
        <f t="shared" si="56"/>
        <v>7.2254596295506844E-4</v>
      </c>
      <c r="BD138" s="138">
        <f t="shared" si="57"/>
        <v>3.1405147366236051E-3</v>
      </c>
      <c r="BE138" s="311">
        <f t="shared" si="58"/>
        <v>2.6085716274787469E-2</v>
      </c>
      <c r="BF138" s="11">
        <f t="shared" si="59"/>
        <v>7.7950258044659007E-3</v>
      </c>
      <c r="BG138" s="21">
        <f t="shared" si="60"/>
        <v>3.3880742079253366E-2</v>
      </c>
      <c r="BH138" s="21">
        <f t="shared" si="61"/>
        <v>9.3551612559541041E-5</v>
      </c>
      <c r="BI138" s="21">
        <f t="shared" si="62"/>
        <v>9.3551612559541041E-5</v>
      </c>
      <c r="BJ138" s="561"/>
      <c r="BK138">
        <f t="shared" si="63"/>
        <v>1.7239173780000001</v>
      </c>
      <c r="BL138">
        <f t="shared" si="64"/>
        <v>1.7239173780000001</v>
      </c>
      <c r="BM138">
        <f>C138*'Inputs-Imperial'!$E$12</f>
        <v>0.86195868900000006</v>
      </c>
      <c r="BN138">
        <f>C138*'Inputs-Imperial'!$E$12</f>
        <v>0.86195868900000006</v>
      </c>
      <c r="BO138">
        <f>C138*'Inputs-Imperial'!$E$12</f>
        <v>0.86195868900000006</v>
      </c>
      <c r="BP138">
        <f>C138*'Weight '!$E$15</f>
        <v>1.7239173780000001</v>
      </c>
      <c r="BQ138">
        <f>C138*'Weight '!$E$15</f>
        <v>1.7239173780000001</v>
      </c>
      <c r="BR138">
        <f>C138*'Weight '!$E$15</f>
        <v>1.7239173780000001</v>
      </c>
      <c r="BS138">
        <f t="shared" si="65"/>
        <v>2.3444938539419713</v>
      </c>
      <c r="BT138" s="564">
        <f t="shared" si="66"/>
        <v>1.4122237217910281</v>
      </c>
      <c r="BU138">
        <f t="shared" si="67"/>
        <v>1.6601433737202826</v>
      </c>
    </row>
    <row r="139" spans="1:73" x14ac:dyDescent="0.25">
      <c r="A139" s="186">
        <v>93</v>
      </c>
      <c r="B139" s="187">
        <f>A139/100*'Inputs-Imperial'!$E$5</f>
        <v>22.395670008</v>
      </c>
      <c r="C139" s="188">
        <f>'Inputs-Imperial'!$E$10+('Inputs-Imperial'!$E$9-'Inputs-Imperial'!$E$10)*(100-A139)/100</f>
        <v>3.4300361990000003</v>
      </c>
      <c r="D139" s="187">
        <f t="shared" si="68"/>
        <v>0.24081365600000026</v>
      </c>
      <c r="E139" s="188">
        <f t="shared" si="69"/>
        <v>0.82814262508488168</v>
      </c>
      <c r="F139" s="423">
        <f>Sizing!F153</f>
        <v>37.790074179373399</v>
      </c>
      <c r="G139" s="423">
        <f>Sizing!G153</f>
        <v>377.90074179373403</v>
      </c>
      <c r="H139" s="423">
        <f>Sizing!H153</f>
        <v>344.16892252055641</v>
      </c>
      <c r="I139" s="423">
        <f>Sizing!I153</f>
        <v>-476.43734320419384</v>
      </c>
      <c r="J139" s="189">
        <f>Sizing!J153</f>
        <v>34.416892252055639</v>
      </c>
      <c r="K139" s="128">
        <v>93</v>
      </c>
      <c r="L139" s="12">
        <f t="shared" si="45"/>
        <v>268.74804009600001</v>
      </c>
      <c r="M139" s="11">
        <f t="shared" si="45"/>
        <v>41.160434388000006</v>
      </c>
      <c r="N139" s="11">
        <f t="shared" si="45"/>
        <v>2.8897638720000032</v>
      </c>
      <c r="O139" s="152">
        <f t="shared" si="46"/>
        <v>119.25253801222296</v>
      </c>
      <c r="P139" s="8">
        <f t="shared" si="81"/>
        <v>7.4088781898400011</v>
      </c>
      <c r="Q139" s="12">
        <f t="shared" si="70"/>
        <v>21.465456842200133</v>
      </c>
      <c r="R139" s="8">
        <f t="shared" si="82"/>
        <v>3.7044390949200006</v>
      </c>
      <c r="S139" s="12">
        <f t="shared" si="71"/>
        <v>10.732728421100067</v>
      </c>
      <c r="T139" s="17">
        <f>Sizing!CN153</f>
        <v>0.75</v>
      </c>
      <c r="U139" s="17">
        <f>Sizing!CO153</f>
        <v>2.3622047244094495E-2</v>
      </c>
      <c r="V139" s="17">
        <f>Sizing!CP153</f>
        <v>1.5748031496062995E-2</v>
      </c>
      <c r="W139" s="128">
        <f t="shared" si="47"/>
        <v>3.0224609670856709E-3</v>
      </c>
      <c r="X139" s="2">
        <f t="shared" si="48"/>
        <v>2.1676378888652054E-3</v>
      </c>
      <c r="Y139" s="2">
        <f t="shared" si="49"/>
        <v>5.1900988559508768E-3</v>
      </c>
      <c r="Z139" s="216">
        <f t="shared" si="72"/>
        <v>0.37216021805409494</v>
      </c>
      <c r="AA139" s="138">
        <f t="shared" si="73"/>
        <v>0.26690455167738381</v>
      </c>
      <c r="AB139" s="17">
        <f t="shared" si="74"/>
        <v>0.63906476973147874</v>
      </c>
      <c r="AC139" s="311">
        <f t="shared" si="75"/>
        <v>0.36574366257040364</v>
      </c>
      <c r="AD139" s="316">
        <f t="shared" si="76"/>
        <v>0.26230274906225648</v>
      </c>
      <c r="AE139" s="21">
        <f t="shared" si="77"/>
        <v>0.62804641163266017</v>
      </c>
      <c r="AF139" s="170">
        <f>Sizing!DU153</f>
        <v>2.9973794920998782E-2</v>
      </c>
      <c r="AG139" s="170">
        <f>Sizing!DV153</f>
        <v>0.17312941668300849</v>
      </c>
      <c r="AH139" s="170">
        <f>Sizing!DW153</f>
        <v>2.9973794920998782E-2</v>
      </c>
      <c r="AI139" s="272">
        <f>Sizing!DX153</f>
        <v>0.17312941668300849</v>
      </c>
      <c r="AJ139" s="216">
        <f>Sizing!GJ153</f>
        <v>0.25</v>
      </c>
      <c r="AK139" s="216">
        <f>Sizing!GK153</f>
        <v>2.3622047244094495E-2</v>
      </c>
      <c r="AL139" s="17">
        <f>Sizing!GL153</f>
        <v>2.3622047244094495E-2</v>
      </c>
      <c r="AM139" s="216">
        <f t="shared" si="50"/>
        <v>3.6269531605028051E-3</v>
      </c>
      <c r="AN139" s="138">
        <f t="shared" si="51"/>
        <v>7.2254596295506844E-4</v>
      </c>
      <c r="AO139" s="138">
        <f t="shared" si="52"/>
        <v>4.3494991234578739E-3</v>
      </c>
      <c r="AP139" s="311">
        <f t="shared" si="78"/>
        <v>7.7854206535454329E-2</v>
      </c>
      <c r="AQ139" s="11">
        <f t="shared" si="79"/>
        <v>1.5509779184317958E-2</v>
      </c>
      <c r="AR139" s="21">
        <f t="shared" si="80"/>
        <v>9.3363985719772294E-2</v>
      </c>
      <c r="AS139" s="11">
        <f t="shared" si="53"/>
        <v>5.3197165610441906E-3</v>
      </c>
      <c r="AT139" s="21">
        <f t="shared" si="54"/>
        <v>5.3197165610441906E-3</v>
      </c>
      <c r="AU139" s="170">
        <f>Sizing!JC153</f>
        <v>5.2711395752220482E-4</v>
      </c>
      <c r="AV139" s="272">
        <f>Sizing!JD153</f>
        <v>2.2958962466152619E-2</v>
      </c>
      <c r="AW139" s="170">
        <f>Sizing!JC153</f>
        <v>5.2711395752220482E-4</v>
      </c>
      <c r="AX139" s="272">
        <f>Sizing!JD153</f>
        <v>2.2958962466152619E-2</v>
      </c>
      <c r="AY139" s="216">
        <f>Sizing!IT153</f>
        <v>0.25</v>
      </c>
      <c r="AZ139" s="216">
        <f>Sizing!IU153</f>
        <v>1.5748031496062995E-2</v>
      </c>
      <c r="BA139" s="17">
        <f>Sizing!IV153</f>
        <v>1.5748031496062995E-2</v>
      </c>
      <c r="BB139" s="216">
        <f t="shared" si="55"/>
        <v>2.4179687736685367E-3</v>
      </c>
      <c r="BC139" s="138">
        <f t="shared" si="56"/>
        <v>7.2254596295506844E-4</v>
      </c>
      <c r="BD139" s="138">
        <f t="shared" si="57"/>
        <v>3.1405147366236051E-3</v>
      </c>
      <c r="BE139" s="311">
        <f t="shared" si="58"/>
        <v>2.5951402178484777E-2</v>
      </c>
      <c r="BF139" s="11">
        <f t="shared" si="59"/>
        <v>7.754889592158979E-3</v>
      </c>
      <c r="BG139" s="21">
        <f t="shared" si="60"/>
        <v>3.3706291770643756E-2</v>
      </c>
      <c r="BH139" s="21">
        <f t="shared" si="61"/>
        <v>9.3551612559541041E-5</v>
      </c>
      <c r="BI139" s="21">
        <f t="shared" si="62"/>
        <v>9.3551612559541041E-5</v>
      </c>
      <c r="BJ139" s="561"/>
      <c r="BK139">
        <f t="shared" si="63"/>
        <v>1.7150180995000002</v>
      </c>
      <c r="BL139">
        <f t="shared" si="64"/>
        <v>1.7150180995000002</v>
      </c>
      <c r="BM139">
        <f>C139*'Inputs-Imperial'!$E$12</f>
        <v>0.85750904975000009</v>
      </c>
      <c r="BN139">
        <f>C139*'Inputs-Imperial'!$E$12</f>
        <v>0.85750904975000009</v>
      </c>
      <c r="BO139">
        <f>C139*'Inputs-Imperial'!$E$12</f>
        <v>0.85750904975000009</v>
      </c>
      <c r="BP139">
        <f>C139*'Weight '!$E$15</f>
        <v>1.7150180995000002</v>
      </c>
      <c r="BQ139">
        <f>C139*'Weight '!$E$15</f>
        <v>1.7150180995000002</v>
      </c>
      <c r="BR139">
        <f>C139*'Weight '!$E$15</f>
        <v>1.7150180995000002</v>
      </c>
      <c r="BS139">
        <f t="shared" si="65"/>
        <v>2.3204302688513967</v>
      </c>
      <c r="BT139" s="564">
        <f t="shared" si="66"/>
        <v>1.4050079952017622</v>
      </c>
      <c r="BU139">
        <f t="shared" si="67"/>
        <v>1.6515423946168917</v>
      </c>
    </row>
    <row r="140" spans="1:73" x14ac:dyDescent="0.25">
      <c r="A140" s="186">
        <v>94</v>
      </c>
      <c r="B140" s="187">
        <f>A140/100*'Inputs-Imperial'!$E$5</f>
        <v>22.636483663999996</v>
      </c>
      <c r="C140" s="188">
        <f>'Inputs-Imperial'!$E$10+('Inputs-Imperial'!$E$9-'Inputs-Imperial'!$E$10)*(100-A140)/100</f>
        <v>3.4122376420000005</v>
      </c>
      <c r="D140" s="187">
        <f t="shared" si="68"/>
        <v>0.24081365599999671</v>
      </c>
      <c r="E140" s="188">
        <f t="shared" si="69"/>
        <v>0.82385648950217516</v>
      </c>
      <c r="F140" s="423">
        <f>Sizing!F154</f>
        <v>31.640756540793706</v>
      </c>
      <c r="G140" s="423">
        <f>Sizing!G154</f>
        <v>316.40756540793711</v>
      </c>
      <c r="H140" s="423">
        <f>Sizing!H154</f>
        <v>253.16526328409657</v>
      </c>
      <c r="I140" s="423">
        <f>Sizing!I154</f>
        <v>-387.91539176595984</v>
      </c>
      <c r="J140" s="189">
        <f>Sizing!J154</f>
        <v>25.316526328409655</v>
      </c>
      <c r="K140" s="128">
        <v>94</v>
      </c>
      <c r="L140" s="12">
        <f t="shared" si="45"/>
        <v>271.63780396799996</v>
      </c>
      <c r="M140" s="11">
        <f t="shared" si="45"/>
        <v>40.946851704000004</v>
      </c>
      <c r="N140" s="11">
        <f t="shared" si="45"/>
        <v>2.8897638719999605</v>
      </c>
      <c r="O140" s="152">
        <f t="shared" si="46"/>
        <v>118.63533448831323</v>
      </c>
      <c r="P140" s="8">
        <f t="shared" si="81"/>
        <v>7.3704333067200007</v>
      </c>
      <c r="Q140" s="12">
        <f t="shared" si="70"/>
        <v>21.354360207896381</v>
      </c>
      <c r="R140" s="8">
        <f t="shared" si="82"/>
        <v>3.6852166533600004</v>
      </c>
      <c r="S140" s="12">
        <f t="shared" si="71"/>
        <v>10.67718010394819</v>
      </c>
      <c r="T140" s="17">
        <f>Sizing!CN154</f>
        <v>0.75</v>
      </c>
      <c r="U140" s="17">
        <f>Sizing!CO154</f>
        <v>2.3622047244094495E-2</v>
      </c>
      <c r="V140" s="17">
        <f>Sizing!CP154</f>
        <v>1.5748031496062995E-2</v>
      </c>
      <c r="W140" s="128">
        <f t="shared" si="47"/>
        <v>3.0224609670856709E-3</v>
      </c>
      <c r="X140" s="2">
        <f t="shared" si="48"/>
        <v>2.1676378888652054E-3</v>
      </c>
      <c r="Y140" s="2">
        <f t="shared" si="49"/>
        <v>5.1900988559508768E-3</v>
      </c>
      <c r="Z140" s="216">
        <f t="shared" si="72"/>
        <v>0.37023406535436409</v>
      </c>
      <c r="AA140" s="138">
        <f t="shared" si="73"/>
        <v>0.26552316028237682</v>
      </c>
      <c r="AB140" s="17">
        <f t="shared" si="74"/>
        <v>0.63575722563674097</v>
      </c>
      <c r="AC140" s="311">
        <f t="shared" si="75"/>
        <v>0.36385071939997848</v>
      </c>
      <c r="AD140" s="316">
        <f t="shared" si="76"/>
        <v>0.26094517476026685</v>
      </c>
      <c r="AE140" s="21">
        <f t="shared" si="77"/>
        <v>0.62479589416024539</v>
      </c>
      <c r="AF140" s="170">
        <f>Sizing!DU154</f>
        <v>2.9973794920998782E-2</v>
      </c>
      <c r="AG140" s="170">
        <f>Sizing!DV154</f>
        <v>0.17312941668300849</v>
      </c>
      <c r="AH140" s="170">
        <f>Sizing!DW154</f>
        <v>2.9973794920998782E-2</v>
      </c>
      <c r="AI140" s="272">
        <f>Sizing!DX154</f>
        <v>0.17312941668300849</v>
      </c>
      <c r="AJ140" s="216">
        <f>Sizing!GJ154</f>
        <v>0.25</v>
      </c>
      <c r="AK140" s="216">
        <f>Sizing!GK154</f>
        <v>2.3622047244094495E-2</v>
      </c>
      <c r="AL140" s="17">
        <f>Sizing!GL154</f>
        <v>2.3622047244094495E-2</v>
      </c>
      <c r="AM140" s="216">
        <f t="shared" si="50"/>
        <v>3.6269531605028051E-3</v>
      </c>
      <c r="AN140" s="138">
        <f t="shared" si="51"/>
        <v>7.2254596295506844E-4</v>
      </c>
      <c r="AO140" s="138">
        <f t="shared" si="52"/>
        <v>4.3494991234578739E-3</v>
      </c>
      <c r="AP140" s="311">
        <f t="shared" si="78"/>
        <v>7.745126424654511E-2</v>
      </c>
      <c r="AQ140" s="11">
        <f t="shared" si="79"/>
        <v>1.5429506759703886E-2</v>
      </c>
      <c r="AR140" s="21">
        <f t="shared" si="80"/>
        <v>9.2880771006249016E-2</v>
      </c>
      <c r="AS140" s="11">
        <f t="shared" si="53"/>
        <v>5.3197165610441126E-3</v>
      </c>
      <c r="AT140" s="21">
        <f t="shared" si="54"/>
        <v>5.3197165610441126E-3</v>
      </c>
      <c r="AU140" s="170">
        <f>Sizing!JC154</f>
        <v>5.2711395752220482E-4</v>
      </c>
      <c r="AV140" s="272">
        <f>Sizing!JD154</f>
        <v>2.2958962466152619E-2</v>
      </c>
      <c r="AW140" s="170">
        <f>Sizing!JC154</f>
        <v>5.2711395752220482E-4</v>
      </c>
      <c r="AX140" s="272">
        <f>Sizing!JD154</f>
        <v>2.2958962466152619E-2</v>
      </c>
      <c r="AY140" s="216">
        <f>Sizing!IT154</f>
        <v>0.25</v>
      </c>
      <c r="AZ140" s="216">
        <f>Sizing!IU154</f>
        <v>1.5748031496062995E-2</v>
      </c>
      <c r="BA140" s="17">
        <f>Sizing!IV154</f>
        <v>1.5748031496062995E-2</v>
      </c>
      <c r="BB140" s="216">
        <f t="shared" si="55"/>
        <v>2.4179687736685367E-3</v>
      </c>
      <c r="BC140" s="138">
        <f t="shared" si="56"/>
        <v>7.2254596295506844E-4</v>
      </c>
      <c r="BD140" s="138">
        <f t="shared" si="57"/>
        <v>3.1405147366236051E-3</v>
      </c>
      <c r="BE140" s="311">
        <f t="shared" si="58"/>
        <v>2.5817088082181704E-2</v>
      </c>
      <c r="BF140" s="11">
        <f t="shared" si="59"/>
        <v>7.7147533798519428E-3</v>
      </c>
      <c r="BG140" s="21">
        <f t="shared" si="60"/>
        <v>3.3531841462033647E-2</v>
      </c>
      <c r="BH140" s="21">
        <f t="shared" si="61"/>
        <v>9.3551612559539658E-5</v>
      </c>
      <c r="BI140" s="21">
        <f t="shared" si="62"/>
        <v>9.3551612559539658E-5</v>
      </c>
      <c r="BJ140" s="561"/>
      <c r="BK140">
        <f t="shared" si="63"/>
        <v>1.7061188210000002</v>
      </c>
      <c r="BL140">
        <f t="shared" si="64"/>
        <v>1.7061188210000002</v>
      </c>
      <c r="BM140">
        <f>C140*'Inputs-Imperial'!$E$12</f>
        <v>0.85305941050000011</v>
      </c>
      <c r="BN140">
        <f>C140*'Inputs-Imperial'!$E$12</f>
        <v>0.85305941050000011</v>
      </c>
      <c r="BO140">
        <f>C140*'Inputs-Imperial'!$E$12</f>
        <v>0.85305941050000011</v>
      </c>
      <c r="BP140">
        <f>C140*'Weight '!$E$15</f>
        <v>1.7061188210000002</v>
      </c>
      <c r="BQ140">
        <f>C140*'Weight '!$E$15</f>
        <v>1.7061188210000002</v>
      </c>
      <c r="BR140">
        <f>C140*'Weight '!$E$15</f>
        <v>1.7061188210000002</v>
      </c>
      <c r="BS140">
        <f t="shared" si="65"/>
        <v>2.2964908130194748</v>
      </c>
      <c r="BT140" s="564">
        <f t="shared" si="66"/>
        <v>1.3977922686124762</v>
      </c>
      <c r="BU140">
        <f t="shared" si="67"/>
        <v>1.6429414188269156</v>
      </c>
    </row>
    <row r="141" spans="1:73" x14ac:dyDescent="0.25">
      <c r="A141" s="186">
        <v>95</v>
      </c>
      <c r="B141" s="187">
        <f>A141/100*'Inputs-Imperial'!$E$5</f>
        <v>22.877297319999997</v>
      </c>
      <c r="C141" s="188">
        <f>'Inputs-Imperial'!$E$10+('Inputs-Imperial'!$E$9-'Inputs-Imperial'!$E$10)*(100-A141)/100</f>
        <v>3.3944390850000001</v>
      </c>
      <c r="D141" s="187">
        <f t="shared" si="68"/>
        <v>0.24081365600000026</v>
      </c>
      <c r="E141" s="188">
        <f t="shared" si="69"/>
        <v>0.81957035391949296</v>
      </c>
      <c r="F141" s="423">
        <f>Sizing!F155</f>
        <v>25.682978094637896</v>
      </c>
      <c r="G141" s="423">
        <f>Sizing!G155</f>
        <v>256.829780946379</v>
      </c>
      <c r="H141" s="423">
        <f>Sizing!H155</f>
        <v>176.970000672152</v>
      </c>
      <c r="I141" s="423">
        <f>Sizing!I155</f>
        <v>-304.97375609246745</v>
      </c>
      <c r="J141" s="189">
        <f>Sizing!J155</f>
        <v>17.6970000672152</v>
      </c>
      <c r="K141" s="128">
        <v>95</v>
      </c>
      <c r="L141" s="12">
        <f t="shared" si="45"/>
        <v>274.52756783999996</v>
      </c>
      <c r="M141" s="11">
        <f t="shared" si="45"/>
        <v>40.733269020000002</v>
      </c>
      <c r="N141" s="11">
        <f t="shared" si="45"/>
        <v>2.8897638720000032</v>
      </c>
      <c r="O141" s="152">
        <f t="shared" si="46"/>
        <v>118.01813096440699</v>
      </c>
      <c r="P141" s="8">
        <f t="shared" si="81"/>
        <v>7.3319884236000004</v>
      </c>
      <c r="Q141" s="12">
        <f t="shared" si="70"/>
        <v>21.243263573593257</v>
      </c>
      <c r="R141" s="8">
        <f t="shared" si="82"/>
        <v>3.6659942118000002</v>
      </c>
      <c r="S141" s="12">
        <f t="shared" si="71"/>
        <v>10.621631786796629</v>
      </c>
      <c r="T141" s="17">
        <f>Sizing!CN155</f>
        <v>0.75</v>
      </c>
      <c r="U141" s="17">
        <f>Sizing!CO155</f>
        <v>2.3622047244094495E-2</v>
      </c>
      <c r="V141" s="17">
        <f>Sizing!CP155</f>
        <v>1.5748031496062995E-2</v>
      </c>
      <c r="W141" s="128">
        <f t="shared" si="47"/>
        <v>3.0224609670856709E-3</v>
      </c>
      <c r="X141" s="2">
        <f t="shared" si="48"/>
        <v>2.1676378888652054E-3</v>
      </c>
      <c r="Y141" s="2">
        <f t="shared" si="49"/>
        <v>5.1900988559508768E-3</v>
      </c>
      <c r="Z141" s="216">
        <f t="shared" si="72"/>
        <v>0.36830791265464408</v>
      </c>
      <c r="AA141" s="138">
        <f t="shared" si="73"/>
        <v>0.26414176888737767</v>
      </c>
      <c r="AB141" s="17">
        <f t="shared" si="74"/>
        <v>0.63244968154202175</v>
      </c>
      <c r="AC141" s="311">
        <f t="shared" si="75"/>
        <v>0.36195777622956404</v>
      </c>
      <c r="AD141" s="316">
        <f t="shared" si="76"/>
        <v>0.25958760045828494</v>
      </c>
      <c r="AE141" s="21">
        <f t="shared" si="77"/>
        <v>0.62154537668784904</v>
      </c>
      <c r="AF141" s="170">
        <f>Sizing!DU155</f>
        <v>2.9973794920998782E-2</v>
      </c>
      <c r="AG141" s="170">
        <f>Sizing!DV155</f>
        <v>0.17312941668300849</v>
      </c>
      <c r="AH141" s="170">
        <f>Sizing!DW155</f>
        <v>2.9973794920998782E-2</v>
      </c>
      <c r="AI141" s="272">
        <f>Sizing!DX155</f>
        <v>0.17312941668300849</v>
      </c>
      <c r="AJ141" s="216">
        <f>Sizing!GJ155</f>
        <v>0.25</v>
      </c>
      <c r="AK141" s="216">
        <f>Sizing!GK155</f>
        <v>2.3622047244094495E-2</v>
      </c>
      <c r="AL141" s="17">
        <f>Sizing!GL155</f>
        <v>2.3622047244094495E-2</v>
      </c>
      <c r="AM141" s="216">
        <f t="shared" si="50"/>
        <v>3.6269531605028051E-3</v>
      </c>
      <c r="AN141" s="138">
        <f t="shared" si="51"/>
        <v>7.2254596295506844E-4</v>
      </c>
      <c r="AO141" s="138">
        <f t="shared" si="52"/>
        <v>4.3494991234578739E-3</v>
      </c>
      <c r="AP141" s="311">
        <f t="shared" si="78"/>
        <v>7.704832195763818E-2</v>
      </c>
      <c r="AQ141" s="11">
        <f t="shared" si="79"/>
        <v>1.5349234335090268E-2</v>
      </c>
      <c r="AR141" s="21">
        <f t="shared" si="80"/>
        <v>9.2397556292728458E-2</v>
      </c>
      <c r="AS141" s="11">
        <f t="shared" si="53"/>
        <v>5.3197165610441906E-3</v>
      </c>
      <c r="AT141" s="21">
        <f t="shared" si="54"/>
        <v>5.3197165610441906E-3</v>
      </c>
      <c r="AU141" s="170">
        <f>Sizing!JC155</f>
        <v>5.2711395752220482E-4</v>
      </c>
      <c r="AV141" s="272">
        <f>Sizing!JD155</f>
        <v>2.2958962466152619E-2</v>
      </c>
      <c r="AW141" s="170">
        <f>Sizing!JC155</f>
        <v>5.2711395752220482E-4</v>
      </c>
      <c r="AX141" s="272">
        <f>Sizing!JD155</f>
        <v>2.2958962466152619E-2</v>
      </c>
      <c r="AY141" s="216">
        <f>Sizing!IT155</f>
        <v>0.25</v>
      </c>
      <c r="AZ141" s="216">
        <f>Sizing!IU155</f>
        <v>1.5748031496062995E-2</v>
      </c>
      <c r="BA141" s="17">
        <f>Sizing!IV155</f>
        <v>1.5748031496062995E-2</v>
      </c>
      <c r="BB141" s="216">
        <f t="shared" si="55"/>
        <v>2.4179687736685367E-3</v>
      </c>
      <c r="BC141" s="138">
        <f t="shared" si="56"/>
        <v>7.2254596295506844E-4</v>
      </c>
      <c r="BD141" s="138">
        <f t="shared" si="57"/>
        <v>3.1405147366236051E-3</v>
      </c>
      <c r="BE141" s="311">
        <f t="shared" si="58"/>
        <v>2.5682773985879391E-2</v>
      </c>
      <c r="BF141" s="11">
        <f t="shared" si="59"/>
        <v>7.6746171675451339E-3</v>
      </c>
      <c r="BG141" s="21">
        <f t="shared" si="60"/>
        <v>3.3357391153424523E-2</v>
      </c>
      <c r="BH141" s="21">
        <f t="shared" si="61"/>
        <v>9.3551612559541041E-5</v>
      </c>
      <c r="BI141" s="21">
        <f t="shared" si="62"/>
        <v>9.3551612559541041E-5</v>
      </c>
      <c r="BJ141" s="561"/>
      <c r="BK141">
        <f t="shared" si="63"/>
        <v>1.6972195425000001</v>
      </c>
      <c r="BL141">
        <f t="shared" si="64"/>
        <v>1.6972195425000001</v>
      </c>
      <c r="BM141">
        <f>C141*'Inputs-Imperial'!$E$12</f>
        <v>0.84860977125000003</v>
      </c>
      <c r="BN141">
        <f>C141*'Inputs-Imperial'!$E$12</f>
        <v>0.84860977125000003</v>
      </c>
      <c r="BO141">
        <f>C141*'Inputs-Imperial'!$E$12</f>
        <v>0.84860977125000003</v>
      </c>
      <c r="BP141">
        <f>C141*'Weight '!$E$15</f>
        <v>1.6972195425000001</v>
      </c>
      <c r="BQ141">
        <f>C141*'Weight '!$E$15</f>
        <v>1.6972195425000001</v>
      </c>
      <c r="BR141">
        <f>C141*'Weight '!$E$15</f>
        <v>1.6972195425000001</v>
      </c>
      <c r="BS141">
        <f t="shared" si="65"/>
        <v>2.2726754864463046</v>
      </c>
      <c r="BT141" s="564">
        <f t="shared" si="66"/>
        <v>1.3905765420232312</v>
      </c>
      <c r="BU141">
        <f t="shared" si="67"/>
        <v>1.6343404464019333</v>
      </c>
    </row>
    <row r="142" spans="1:73" x14ac:dyDescent="0.25">
      <c r="A142" s="186">
        <v>96</v>
      </c>
      <c r="B142" s="187">
        <f>A142/100*'Inputs-Imperial'!$E$5</f>
        <v>23.118110975999997</v>
      </c>
      <c r="C142" s="188">
        <f>'Inputs-Imperial'!$E$10+('Inputs-Imperial'!$E$9-'Inputs-Imperial'!$E$10)*(100-A142)/100</f>
        <v>3.3766405280000003</v>
      </c>
      <c r="D142" s="187">
        <f t="shared" si="68"/>
        <v>0.24081365600000026</v>
      </c>
      <c r="E142" s="188">
        <f t="shared" si="69"/>
        <v>0.81528421833679854</v>
      </c>
      <c r="F142" s="423">
        <f>Sizing!F156</f>
        <v>19.934865001398848</v>
      </c>
      <c r="G142" s="423">
        <f>Sizing!G156</f>
        <v>199.34865001398848</v>
      </c>
      <c r="H142" s="423">
        <f>Sizing!H156</f>
        <v>115.12188215277526</v>
      </c>
      <c r="I142" s="423">
        <f>Sizing!I156</f>
        <v>-227.95546138880047</v>
      </c>
      <c r="J142" s="189">
        <f>Sizing!J156</f>
        <v>11.512188215277526</v>
      </c>
      <c r="K142" s="128">
        <v>96</v>
      </c>
      <c r="L142" s="12">
        <f t="shared" si="45"/>
        <v>277.41733171199996</v>
      </c>
      <c r="M142" s="11">
        <f t="shared" si="45"/>
        <v>40.519686336000007</v>
      </c>
      <c r="N142" s="11">
        <f t="shared" si="45"/>
        <v>2.8897638720000032</v>
      </c>
      <c r="O142" s="152">
        <f t="shared" si="46"/>
        <v>117.40092744049899</v>
      </c>
      <c r="P142" s="8">
        <f t="shared" si="81"/>
        <v>7.2935435404800009</v>
      </c>
      <c r="Q142" s="12">
        <f t="shared" si="70"/>
        <v>21.132166939289817</v>
      </c>
      <c r="R142" s="8">
        <f t="shared" si="82"/>
        <v>3.6467717702400004</v>
      </c>
      <c r="S142" s="12">
        <f t="shared" si="71"/>
        <v>10.566083469644909</v>
      </c>
      <c r="T142" s="17">
        <f>Sizing!CN156</f>
        <v>0.75</v>
      </c>
      <c r="U142" s="17">
        <f>Sizing!CO156</f>
        <v>2.3622047244094495E-2</v>
      </c>
      <c r="V142" s="17">
        <f>Sizing!CP156</f>
        <v>1.5748031496062995E-2</v>
      </c>
      <c r="W142" s="128">
        <f t="shared" si="47"/>
        <v>3.0224609670856709E-3</v>
      </c>
      <c r="X142" s="2">
        <f t="shared" si="48"/>
        <v>2.1676378888652054E-3</v>
      </c>
      <c r="Y142" s="2">
        <f t="shared" si="49"/>
        <v>5.1900988559508768E-3</v>
      </c>
      <c r="Z142" s="216">
        <f t="shared" si="72"/>
        <v>0.36638175995491862</v>
      </c>
      <c r="AA142" s="138">
        <f t="shared" si="73"/>
        <v>0.26276037749237452</v>
      </c>
      <c r="AB142" s="17">
        <f t="shared" si="74"/>
        <v>0.62914213744729319</v>
      </c>
      <c r="AC142" s="311">
        <f t="shared" si="75"/>
        <v>0.36006483305914416</v>
      </c>
      <c r="AD142" s="316">
        <f t="shared" si="76"/>
        <v>0.25823002615629909</v>
      </c>
      <c r="AE142" s="21">
        <f t="shared" si="77"/>
        <v>0.61829485921544336</v>
      </c>
      <c r="AF142" s="170">
        <f>Sizing!DU156</f>
        <v>2.9973794920998782E-2</v>
      </c>
      <c r="AG142" s="170">
        <f>Sizing!DV156</f>
        <v>0.17312941668300849</v>
      </c>
      <c r="AH142" s="170">
        <f>Sizing!DW156</f>
        <v>2.9973794920998782E-2</v>
      </c>
      <c r="AI142" s="272">
        <f>Sizing!DX156</f>
        <v>0.17312941668300849</v>
      </c>
      <c r="AJ142" s="216">
        <f>Sizing!GJ156</f>
        <v>0.25</v>
      </c>
      <c r="AK142" s="216">
        <f>Sizing!GK156</f>
        <v>2.3622047244094495E-2</v>
      </c>
      <c r="AL142" s="17">
        <f>Sizing!GL156</f>
        <v>2.3622047244094495E-2</v>
      </c>
      <c r="AM142" s="216">
        <f t="shared" si="50"/>
        <v>3.6269531605028051E-3</v>
      </c>
      <c r="AN142" s="138">
        <f t="shared" si="51"/>
        <v>7.2254596295506844E-4</v>
      </c>
      <c r="AO142" s="138">
        <f t="shared" si="52"/>
        <v>4.3494991234578739E-3</v>
      </c>
      <c r="AP142" s="311">
        <f t="shared" si="78"/>
        <v>7.6645379668730099E-2</v>
      </c>
      <c r="AQ142" s="11">
        <f t="shared" si="79"/>
        <v>1.5268961910476423E-2</v>
      </c>
      <c r="AR142" s="21">
        <f t="shared" si="80"/>
        <v>9.1914341579206527E-2</v>
      </c>
      <c r="AS142" s="11">
        <f t="shared" si="53"/>
        <v>5.3197165610441906E-3</v>
      </c>
      <c r="AT142" s="21">
        <f t="shared" si="54"/>
        <v>5.3197165610441906E-3</v>
      </c>
      <c r="AU142" s="170">
        <f>Sizing!JC156</f>
        <v>5.2711395752220482E-4</v>
      </c>
      <c r="AV142" s="272">
        <f>Sizing!JD156</f>
        <v>2.2958962466152619E-2</v>
      </c>
      <c r="AW142" s="170">
        <f>Sizing!JC156</f>
        <v>5.2711395752220482E-4</v>
      </c>
      <c r="AX142" s="272">
        <f>Sizing!JD156</f>
        <v>2.2958962466152619E-2</v>
      </c>
      <c r="AY142" s="216">
        <f>Sizing!IT156</f>
        <v>0.25</v>
      </c>
      <c r="AZ142" s="216">
        <f>Sizing!IU156</f>
        <v>1.5748031496062995E-2</v>
      </c>
      <c r="BA142" s="17">
        <f>Sizing!IV156</f>
        <v>1.5748031496062995E-2</v>
      </c>
      <c r="BB142" s="216">
        <f t="shared" si="55"/>
        <v>2.4179687736685367E-3</v>
      </c>
      <c r="BC142" s="138">
        <f t="shared" si="56"/>
        <v>7.2254596295506844E-4</v>
      </c>
      <c r="BD142" s="138">
        <f t="shared" si="57"/>
        <v>3.1405147366236051E-3</v>
      </c>
      <c r="BE142" s="311">
        <f t="shared" si="58"/>
        <v>2.5548459889576696E-2</v>
      </c>
      <c r="BF142" s="11">
        <f t="shared" si="59"/>
        <v>7.6344809552382114E-3</v>
      </c>
      <c r="BG142" s="21">
        <f t="shared" si="60"/>
        <v>3.3182940844814907E-2</v>
      </c>
      <c r="BH142" s="21">
        <f t="shared" si="61"/>
        <v>9.3551612559541041E-5</v>
      </c>
      <c r="BI142" s="21">
        <f t="shared" si="62"/>
        <v>9.3551612559541041E-5</v>
      </c>
      <c r="BJ142" s="561"/>
      <c r="BK142">
        <f t="shared" si="63"/>
        <v>1.6883202640000001</v>
      </c>
      <c r="BL142">
        <f t="shared" si="64"/>
        <v>1.6883202640000001</v>
      </c>
      <c r="BM142">
        <f>C142*'Inputs-Imperial'!$E$12</f>
        <v>0.84416013200000006</v>
      </c>
      <c r="BN142">
        <f>C142*'Inputs-Imperial'!$E$12</f>
        <v>0.84416013200000006</v>
      </c>
      <c r="BO142">
        <f>C142*'Inputs-Imperial'!$E$12</f>
        <v>0.84416013200000006</v>
      </c>
      <c r="BP142">
        <f>C142*'Weight '!$E$15</f>
        <v>1.6883202640000001</v>
      </c>
      <c r="BQ142">
        <f>C142*'Weight '!$E$15</f>
        <v>1.6883202640000001</v>
      </c>
      <c r="BR142">
        <f>C142*'Weight '!$E$15</f>
        <v>1.6883202640000001</v>
      </c>
      <c r="BS142">
        <f t="shared" si="65"/>
        <v>2.2489842891317839</v>
      </c>
      <c r="BT142" s="564">
        <f t="shared" si="66"/>
        <v>1.3833608154339654</v>
      </c>
      <c r="BU142">
        <f t="shared" si="67"/>
        <v>1.625739477394601</v>
      </c>
    </row>
    <row r="143" spans="1:73" x14ac:dyDescent="0.25">
      <c r="A143" s="186">
        <v>97</v>
      </c>
      <c r="B143" s="187">
        <f>A143/100*'Inputs-Imperial'!$E$5</f>
        <v>23.358924631999997</v>
      </c>
      <c r="C143" s="188">
        <f>'Inputs-Imperial'!$E$10+('Inputs-Imperial'!$E$9-'Inputs-Imperial'!$E$10)*(100-A143)/100</f>
        <v>3.3588419710000004</v>
      </c>
      <c r="D143" s="187">
        <f t="shared" si="68"/>
        <v>0.24081365600000026</v>
      </c>
      <c r="E143" s="188">
        <f t="shared" si="69"/>
        <v>0.81099808275410412</v>
      </c>
      <c r="F143" s="423">
        <f>Sizing!F157</f>
        <v>14.421051478122273</v>
      </c>
      <c r="G143" s="423">
        <f>Sizing!G157</f>
        <v>144.21051478122274</v>
      </c>
      <c r="H143" s="423">
        <f>Sizing!H157</f>
        <v>67.116004924242191</v>
      </c>
      <c r="I143" s="423">
        <f>Sizing!I157</f>
        <v>-157.33476660259635</v>
      </c>
      <c r="J143" s="189">
        <f>Sizing!J157</f>
        <v>6.7116004924242185</v>
      </c>
      <c r="K143" s="128">
        <v>97</v>
      </c>
      <c r="L143" s="12">
        <f t="shared" si="45"/>
        <v>280.30709558399997</v>
      </c>
      <c r="M143" s="11">
        <f t="shared" si="45"/>
        <v>40.306103652000004</v>
      </c>
      <c r="N143" s="11">
        <f t="shared" si="45"/>
        <v>2.8897638720000032</v>
      </c>
      <c r="O143" s="152">
        <f t="shared" si="46"/>
        <v>116.78372391659099</v>
      </c>
      <c r="P143" s="8">
        <f t="shared" si="81"/>
        <v>7.2550986573600005</v>
      </c>
      <c r="Q143" s="12">
        <f t="shared" si="70"/>
        <v>21.021070304986381</v>
      </c>
      <c r="R143" s="8">
        <f t="shared" si="82"/>
        <v>3.6275493286800002</v>
      </c>
      <c r="S143" s="12">
        <f t="shared" si="71"/>
        <v>10.51053515249319</v>
      </c>
      <c r="T143" s="17">
        <f>Sizing!CN157</f>
        <v>0.75</v>
      </c>
      <c r="U143" s="17">
        <f>Sizing!CO157</f>
        <v>2.3622047244094495E-2</v>
      </c>
      <c r="V143" s="17">
        <f>Sizing!CP157</f>
        <v>1.5748031496062995E-2</v>
      </c>
      <c r="W143" s="128">
        <f t="shared" si="47"/>
        <v>3.0224609670856709E-3</v>
      </c>
      <c r="X143" s="2">
        <f t="shared" si="48"/>
        <v>2.1676378888652054E-3</v>
      </c>
      <c r="Y143" s="2">
        <f t="shared" si="49"/>
        <v>5.1900988559508768E-3</v>
      </c>
      <c r="Z143" s="216">
        <f t="shared" si="72"/>
        <v>0.36445560725519316</v>
      </c>
      <c r="AA143" s="138">
        <f t="shared" si="73"/>
        <v>0.26137898609737142</v>
      </c>
      <c r="AB143" s="17">
        <f t="shared" si="74"/>
        <v>0.62583459335256464</v>
      </c>
      <c r="AC143" s="311">
        <f t="shared" si="75"/>
        <v>0.35817188988872428</v>
      </c>
      <c r="AD143" s="316">
        <f t="shared" si="76"/>
        <v>0.25687245185431329</v>
      </c>
      <c r="AE143" s="21">
        <f t="shared" si="77"/>
        <v>0.61504434174303768</v>
      </c>
      <c r="AF143" s="170">
        <f>Sizing!DU157</f>
        <v>2.9973794920998782E-2</v>
      </c>
      <c r="AG143" s="170">
        <f>Sizing!DV157</f>
        <v>0.17312941668300849</v>
      </c>
      <c r="AH143" s="170">
        <f>Sizing!DW157</f>
        <v>2.9973794920998782E-2</v>
      </c>
      <c r="AI143" s="272">
        <f>Sizing!DX157</f>
        <v>0.17312941668300849</v>
      </c>
      <c r="AJ143" s="216">
        <f>Sizing!GJ157</f>
        <v>0.25</v>
      </c>
      <c r="AK143" s="216">
        <f>Sizing!GK157</f>
        <v>2.3622047244094495E-2</v>
      </c>
      <c r="AL143" s="17">
        <f>Sizing!GL157</f>
        <v>2.3622047244094495E-2</v>
      </c>
      <c r="AM143" s="216">
        <f t="shared" si="50"/>
        <v>3.6269531605028051E-3</v>
      </c>
      <c r="AN143" s="138">
        <f t="shared" si="51"/>
        <v>7.2254596295506844E-4</v>
      </c>
      <c r="AO143" s="138">
        <f t="shared" si="52"/>
        <v>4.3494991234578739E-3</v>
      </c>
      <c r="AP143" s="311">
        <f t="shared" si="78"/>
        <v>7.6242437379822017E-2</v>
      </c>
      <c r="AQ143" s="11">
        <f t="shared" si="79"/>
        <v>1.5188689485862579E-2</v>
      </c>
      <c r="AR143" s="21">
        <f t="shared" si="80"/>
        <v>9.1431126865684609E-2</v>
      </c>
      <c r="AS143" s="11">
        <f t="shared" si="53"/>
        <v>5.3197165610441906E-3</v>
      </c>
      <c r="AT143" s="21">
        <f t="shared" si="54"/>
        <v>5.3197165610441906E-3</v>
      </c>
      <c r="AU143" s="170">
        <f>Sizing!JC157</f>
        <v>5.2711395752220482E-4</v>
      </c>
      <c r="AV143" s="272">
        <f>Sizing!JD157</f>
        <v>2.2958962466152619E-2</v>
      </c>
      <c r="AW143" s="170">
        <f>Sizing!JC157</f>
        <v>5.2711395752220482E-4</v>
      </c>
      <c r="AX143" s="272">
        <f>Sizing!JD157</f>
        <v>2.2958962466152619E-2</v>
      </c>
      <c r="AY143" s="216">
        <f>Sizing!IT157</f>
        <v>0.25</v>
      </c>
      <c r="AZ143" s="216">
        <f>Sizing!IU157</f>
        <v>1.5748031496062995E-2</v>
      </c>
      <c r="BA143" s="17">
        <f>Sizing!IV157</f>
        <v>1.5748031496062995E-2</v>
      </c>
      <c r="BB143" s="216">
        <f t="shared" si="55"/>
        <v>2.4179687736685367E-3</v>
      </c>
      <c r="BC143" s="138">
        <f t="shared" si="56"/>
        <v>7.2254596295506844E-4</v>
      </c>
      <c r="BD143" s="138">
        <f t="shared" si="57"/>
        <v>3.1405147366236051E-3</v>
      </c>
      <c r="BE143" s="311">
        <f t="shared" si="58"/>
        <v>2.5414145793274008E-2</v>
      </c>
      <c r="BF143" s="11">
        <f t="shared" si="59"/>
        <v>7.5943447429312897E-3</v>
      </c>
      <c r="BG143" s="21">
        <f t="shared" si="60"/>
        <v>3.3008490536205297E-2</v>
      </c>
      <c r="BH143" s="21">
        <f t="shared" si="61"/>
        <v>9.3551612559541041E-5</v>
      </c>
      <c r="BI143" s="21">
        <f t="shared" si="62"/>
        <v>9.3551612559541041E-5</v>
      </c>
      <c r="BJ143" s="561"/>
      <c r="BK143">
        <f t="shared" si="63"/>
        <v>1.6794209855000002</v>
      </c>
      <c r="BL143">
        <f t="shared" si="64"/>
        <v>1.6794209855000002</v>
      </c>
      <c r="BM143">
        <f>C143*'Inputs-Imperial'!$E$12</f>
        <v>0.83971049275000009</v>
      </c>
      <c r="BN143">
        <f>C143*'Inputs-Imperial'!$E$12</f>
        <v>0.83971049275000009</v>
      </c>
      <c r="BO143">
        <f>C143*'Inputs-Imperial'!$E$12</f>
        <v>0.83971049275000009</v>
      </c>
      <c r="BP143">
        <f>C143*'Weight '!$E$15</f>
        <v>1.6794209855000002</v>
      </c>
      <c r="BQ143">
        <f>C143*'Weight '!$E$15</f>
        <v>1.6794209855000002</v>
      </c>
      <c r="BR143">
        <f>C143*'Weight '!$E$15</f>
        <v>1.6794209855000002</v>
      </c>
      <c r="BS143">
        <f t="shared" si="65"/>
        <v>2.2254172210759502</v>
      </c>
      <c r="BT143" s="564">
        <f t="shared" si="66"/>
        <v>1.3761450888446995</v>
      </c>
      <c r="BU143">
        <f t="shared" si="67"/>
        <v>1.6171385118586814</v>
      </c>
    </row>
    <row r="144" spans="1:73" x14ac:dyDescent="0.25">
      <c r="A144" s="186">
        <v>98</v>
      </c>
      <c r="B144" s="187">
        <f>A144/100*'Inputs-Imperial'!$E$5</f>
        <v>23.599738287999998</v>
      </c>
      <c r="C144" s="188">
        <f>'Inputs-Imperial'!$E$10+('Inputs-Imperial'!$E$9-'Inputs-Imperial'!$E$10)*(100-A144)/100</f>
        <v>3.3410434140000005</v>
      </c>
      <c r="D144" s="187">
        <f t="shared" si="68"/>
        <v>0.24081365600000026</v>
      </c>
      <c r="E144" s="188">
        <f t="shared" si="69"/>
        <v>0.80671194717140982</v>
      </c>
      <c r="F144" s="423">
        <f>Sizing!F158</f>
        <v>9.1781850854377307</v>
      </c>
      <c r="G144" s="423">
        <f>Sizing!G158</f>
        <v>91.781850854377311</v>
      </c>
      <c r="H144" s="423">
        <f>Sizing!H158</f>
        <v>32.388143626133861</v>
      </c>
      <c r="I144" s="423">
        <f>Sizing!I158</f>
        <v>-93.837957113525647</v>
      </c>
      <c r="J144" s="189">
        <f>Sizing!J158</f>
        <v>3.2388143626133861</v>
      </c>
      <c r="K144" s="128">
        <v>98</v>
      </c>
      <c r="L144" s="12">
        <f t="shared" si="45"/>
        <v>283.19685945599997</v>
      </c>
      <c r="M144" s="11">
        <f t="shared" si="45"/>
        <v>40.092520968000002</v>
      </c>
      <c r="N144" s="11">
        <f t="shared" si="45"/>
        <v>2.8897638720000032</v>
      </c>
      <c r="O144" s="152">
        <f t="shared" si="46"/>
        <v>116.16652039268303</v>
      </c>
      <c r="P144" s="8">
        <f t="shared" si="81"/>
        <v>7.2166537742400001</v>
      </c>
      <c r="Q144" s="12">
        <f t="shared" si="70"/>
        <v>20.909973670682941</v>
      </c>
      <c r="R144" s="8">
        <f t="shared" si="82"/>
        <v>3.60832688712</v>
      </c>
      <c r="S144" s="12">
        <f t="shared" si="71"/>
        <v>10.454986835341471</v>
      </c>
      <c r="T144" s="17">
        <f>Sizing!CN158</f>
        <v>0.75</v>
      </c>
      <c r="U144" s="17">
        <f>Sizing!CO158</f>
        <v>2.3622047244094495E-2</v>
      </c>
      <c r="V144" s="17">
        <f>Sizing!CP158</f>
        <v>1.5748031496062995E-2</v>
      </c>
      <c r="W144" s="128">
        <f t="shared" si="47"/>
        <v>3.0224609670856709E-3</v>
      </c>
      <c r="X144" s="2">
        <f t="shared" si="48"/>
        <v>2.1676378888652054E-3</v>
      </c>
      <c r="Y144" s="2">
        <f t="shared" si="49"/>
        <v>5.1900988559508768E-3</v>
      </c>
      <c r="Z144" s="216">
        <f t="shared" si="72"/>
        <v>0.36252945455546781</v>
      </c>
      <c r="AA144" s="138">
        <f t="shared" si="73"/>
        <v>0.25999759470236838</v>
      </c>
      <c r="AB144" s="17">
        <f t="shared" si="74"/>
        <v>0.62252704925783631</v>
      </c>
      <c r="AC144" s="311">
        <f t="shared" si="75"/>
        <v>0.35627894671830457</v>
      </c>
      <c r="AD144" s="316">
        <f t="shared" si="76"/>
        <v>0.25551487755232755</v>
      </c>
      <c r="AE144" s="21">
        <f t="shared" si="77"/>
        <v>0.61179382427063222</v>
      </c>
      <c r="AF144" s="170">
        <f>Sizing!DU158</f>
        <v>2.9973794920998782E-2</v>
      </c>
      <c r="AG144" s="170">
        <f>Sizing!DV158</f>
        <v>0.17312941668300849</v>
      </c>
      <c r="AH144" s="170">
        <f>Sizing!DW158</f>
        <v>2.9973794920998782E-2</v>
      </c>
      <c r="AI144" s="272">
        <f>Sizing!DX158</f>
        <v>0.17312941668300849</v>
      </c>
      <c r="AJ144" s="216">
        <f>Sizing!GJ158</f>
        <v>0.25</v>
      </c>
      <c r="AK144" s="216">
        <f>Sizing!GK158</f>
        <v>2.3622047244094495E-2</v>
      </c>
      <c r="AL144" s="17">
        <f>Sizing!GL158</f>
        <v>2.3622047244094495E-2</v>
      </c>
      <c r="AM144" s="216">
        <f t="shared" si="50"/>
        <v>3.6269531605028051E-3</v>
      </c>
      <c r="AN144" s="138">
        <f t="shared" si="51"/>
        <v>7.2254596295506844E-4</v>
      </c>
      <c r="AO144" s="138">
        <f t="shared" si="52"/>
        <v>4.3494991234578739E-3</v>
      </c>
      <c r="AP144" s="311">
        <f t="shared" si="78"/>
        <v>7.5839495090913936E-2</v>
      </c>
      <c r="AQ144" s="11">
        <f t="shared" si="79"/>
        <v>1.5108417061248733E-2</v>
      </c>
      <c r="AR144" s="21">
        <f t="shared" si="80"/>
        <v>9.0947912152162677E-2</v>
      </c>
      <c r="AS144" s="11">
        <f t="shared" si="53"/>
        <v>5.3197165610441906E-3</v>
      </c>
      <c r="AT144" s="21">
        <f t="shared" si="54"/>
        <v>5.3197165610441906E-3</v>
      </c>
      <c r="AU144" s="170">
        <f>Sizing!JC158</f>
        <v>5.2711395752220482E-4</v>
      </c>
      <c r="AV144" s="272">
        <f>Sizing!JD158</f>
        <v>2.2958962466152619E-2</v>
      </c>
      <c r="AW144" s="170">
        <f>Sizing!JC158</f>
        <v>5.2711395752220482E-4</v>
      </c>
      <c r="AX144" s="272">
        <f>Sizing!JD158</f>
        <v>2.2958962466152619E-2</v>
      </c>
      <c r="AY144" s="216">
        <f>Sizing!IT158</f>
        <v>0.25</v>
      </c>
      <c r="AZ144" s="216">
        <f>Sizing!IU158</f>
        <v>1.5748031496062995E-2</v>
      </c>
      <c r="BA144" s="17">
        <f>Sizing!IV158</f>
        <v>1.5748031496062995E-2</v>
      </c>
      <c r="BB144" s="216">
        <f t="shared" si="55"/>
        <v>2.4179687736685367E-3</v>
      </c>
      <c r="BC144" s="138">
        <f t="shared" si="56"/>
        <v>7.2254596295506844E-4</v>
      </c>
      <c r="BD144" s="138">
        <f t="shared" si="57"/>
        <v>3.1405147366236051E-3</v>
      </c>
      <c r="BE144" s="311">
        <f t="shared" si="58"/>
        <v>2.527983169697131E-2</v>
      </c>
      <c r="BF144" s="11">
        <f t="shared" si="59"/>
        <v>7.5542085306243663E-3</v>
      </c>
      <c r="BG144" s="21">
        <f t="shared" si="60"/>
        <v>3.2834040227595673E-2</v>
      </c>
      <c r="BH144" s="21">
        <f t="shared" si="61"/>
        <v>9.3551612559541041E-5</v>
      </c>
      <c r="BI144" s="21">
        <f t="shared" si="62"/>
        <v>9.3551612559541041E-5</v>
      </c>
      <c r="BJ144" s="561"/>
      <c r="BK144">
        <f t="shared" si="63"/>
        <v>1.6705217070000002</v>
      </c>
      <c r="BL144">
        <f t="shared" si="64"/>
        <v>1.6705217070000002</v>
      </c>
      <c r="BM144">
        <f>C144*'Inputs-Imperial'!$E$12</f>
        <v>0.83526085350000012</v>
      </c>
      <c r="BN144">
        <f>C144*'Inputs-Imperial'!$E$12</f>
        <v>0.83526085350000012</v>
      </c>
      <c r="BO144">
        <f>C144*'Inputs-Imperial'!$E$12</f>
        <v>0.83526085350000012</v>
      </c>
      <c r="BP144">
        <f>C144*'Weight '!$E$15</f>
        <v>1.6705217070000002</v>
      </c>
      <c r="BQ144">
        <f>C144*'Weight '!$E$15</f>
        <v>1.6705217070000002</v>
      </c>
      <c r="BR144">
        <f>C144*'Weight '!$E$15</f>
        <v>1.6705217070000002</v>
      </c>
      <c r="BS144">
        <f t="shared" si="65"/>
        <v>2.2019742822787993</v>
      </c>
      <c r="BT144" s="564">
        <f t="shared" si="66"/>
        <v>1.3689293622554342</v>
      </c>
      <c r="BU144">
        <f t="shared" si="67"/>
        <v>1.6085375498490651</v>
      </c>
    </row>
    <row r="145" spans="1:73" x14ac:dyDescent="0.25">
      <c r="A145" s="186">
        <v>99</v>
      </c>
      <c r="B145" s="187">
        <f>A145/100*'Inputs-Imperial'!$E$5</f>
        <v>23.840551943999998</v>
      </c>
      <c r="C145" s="188">
        <f>'Inputs-Imperial'!$E$10+('Inputs-Imperial'!$E$9-'Inputs-Imperial'!$E$10)*(100-A145)/100</f>
        <v>3.3232448570000002</v>
      </c>
      <c r="D145" s="187">
        <f t="shared" si="68"/>
        <v>0.24081365600000026</v>
      </c>
      <c r="E145" s="188">
        <f t="shared" si="69"/>
        <v>0.80242581158871529</v>
      </c>
      <c r="F145" s="423">
        <f>Sizing!F159</f>
        <v>4.2712779409173143</v>
      </c>
      <c r="G145" s="423">
        <f>Sizing!G159</f>
        <v>42.712779409173145</v>
      </c>
      <c r="H145" s="423">
        <f>Sizing!H159</f>
        <v>10.285820567444516</v>
      </c>
      <c r="I145" s="423">
        <f>Sizing!I159</f>
        <v>-38.825819631711084</v>
      </c>
      <c r="J145" s="189">
        <f>Sizing!J159</f>
        <v>1.0285820567444515</v>
      </c>
      <c r="K145" s="128">
        <v>99</v>
      </c>
      <c r="L145" s="12">
        <f t="shared" si="45"/>
        <v>286.08662332799997</v>
      </c>
      <c r="M145" s="11">
        <f t="shared" si="45"/>
        <v>39.878938284</v>
      </c>
      <c r="N145" s="11">
        <f t="shared" si="45"/>
        <v>2.8897638720000032</v>
      </c>
      <c r="O145" s="152">
        <f t="shared" si="46"/>
        <v>115.54931686877501</v>
      </c>
      <c r="P145" s="8">
        <f t="shared" si="81"/>
        <v>7.1782088911199997</v>
      </c>
      <c r="Q145" s="12">
        <f t="shared" si="70"/>
        <v>20.798877036379501</v>
      </c>
      <c r="R145" s="8">
        <f t="shared" si="82"/>
        <v>3.5891044455599999</v>
      </c>
      <c r="S145" s="12">
        <f t="shared" si="71"/>
        <v>10.399438518189751</v>
      </c>
      <c r="T145" s="17">
        <f>Sizing!CN159</f>
        <v>0.75</v>
      </c>
      <c r="U145" s="17">
        <f>Sizing!CO159</f>
        <v>2.3622047244094495E-2</v>
      </c>
      <c r="V145" s="17">
        <f>Sizing!CP159</f>
        <v>1.5748031496062995E-2</v>
      </c>
      <c r="W145" s="128">
        <f t="shared" si="47"/>
        <v>3.0224609670856709E-3</v>
      </c>
      <c r="X145" s="2">
        <f t="shared" si="48"/>
        <v>2.1676378888652054E-3</v>
      </c>
      <c r="Y145" s="2">
        <f t="shared" si="49"/>
        <v>5.1900988559508768E-3</v>
      </c>
      <c r="Z145" s="216">
        <f t="shared" si="72"/>
        <v>0.3606033018557423</v>
      </c>
      <c r="AA145" s="138">
        <f t="shared" si="73"/>
        <v>0.25861620330736523</v>
      </c>
      <c r="AB145" s="17">
        <f t="shared" si="74"/>
        <v>0.61921950516310753</v>
      </c>
      <c r="AC145" s="311">
        <f t="shared" si="75"/>
        <v>0.35438600354788469</v>
      </c>
      <c r="AD145" s="316">
        <f t="shared" si="76"/>
        <v>0.25415730325034169</v>
      </c>
      <c r="AE145" s="21">
        <f t="shared" si="77"/>
        <v>0.60854330679822644</v>
      </c>
      <c r="AF145" s="170">
        <f>Sizing!DU159</f>
        <v>2.9973794920998782E-2</v>
      </c>
      <c r="AG145" s="170">
        <f>Sizing!DV159</f>
        <v>0.17312941668300849</v>
      </c>
      <c r="AH145" s="170">
        <f>Sizing!DW159</f>
        <v>2.9973794920998782E-2</v>
      </c>
      <c r="AI145" s="272">
        <f>Sizing!DX159</f>
        <v>0.17312941668300849</v>
      </c>
      <c r="AJ145" s="216">
        <f>Sizing!GJ159</f>
        <v>0.25</v>
      </c>
      <c r="AK145" s="216">
        <f>Sizing!GK159</f>
        <v>2.3622047244094495E-2</v>
      </c>
      <c r="AL145" s="17">
        <f>Sizing!GL159</f>
        <v>2.3622047244094495E-2</v>
      </c>
      <c r="AM145" s="216">
        <f t="shared" si="50"/>
        <v>3.6269531605028051E-3</v>
      </c>
      <c r="AN145" s="138">
        <f t="shared" si="51"/>
        <v>7.2254596295506844E-4</v>
      </c>
      <c r="AO145" s="138">
        <f t="shared" si="52"/>
        <v>4.3494991234578739E-3</v>
      </c>
      <c r="AP145" s="311">
        <f t="shared" si="78"/>
        <v>7.5436552802005855E-2</v>
      </c>
      <c r="AQ145" s="11">
        <f t="shared" si="79"/>
        <v>1.5028144636634887E-2</v>
      </c>
      <c r="AR145" s="21">
        <f t="shared" si="80"/>
        <v>9.0464697438640745E-2</v>
      </c>
      <c r="AS145" s="11">
        <f t="shared" si="53"/>
        <v>5.3197165610441906E-3</v>
      </c>
      <c r="AT145" s="21">
        <f t="shared" si="54"/>
        <v>5.3197165610441906E-3</v>
      </c>
      <c r="AU145" s="170">
        <f>Sizing!JC159</f>
        <v>5.2711395752220482E-4</v>
      </c>
      <c r="AV145" s="272">
        <f>Sizing!JD159</f>
        <v>2.2958962466152619E-2</v>
      </c>
      <c r="AW145" s="170">
        <f>Sizing!JC159</f>
        <v>5.2711395752220482E-4</v>
      </c>
      <c r="AX145" s="272">
        <f>Sizing!JD159</f>
        <v>2.2958962466152619E-2</v>
      </c>
      <c r="AY145" s="216">
        <f>Sizing!IT159</f>
        <v>0.25</v>
      </c>
      <c r="AZ145" s="216">
        <f>Sizing!IU159</f>
        <v>1.5748031496062995E-2</v>
      </c>
      <c r="BA145" s="17">
        <f>Sizing!IV159</f>
        <v>1.5748031496062995E-2</v>
      </c>
      <c r="BB145" s="216">
        <f t="shared" si="55"/>
        <v>2.4179687736685367E-3</v>
      </c>
      <c r="BC145" s="138">
        <f t="shared" si="56"/>
        <v>7.2254596295506844E-4</v>
      </c>
      <c r="BD145" s="138">
        <f t="shared" si="57"/>
        <v>3.1405147366236051E-3</v>
      </c>
      <c r="BE145" s="311">
        <f t="shared" si="58"/>
        <v>2.5145517600668615E-2</v>
      </c>
      <c r="BF145" s="11">
        <f t="shared" si="59"/>
        <v>7.5140723183174437E-3</v>
      </c>
      <c r="BG145" s="21">
        <f t="shared" si="60"/>
        <v>3.2659589918986057E-2</v>
      </c>
      <c r="BH145" s="21">
        <f t="shared" si="61"/>
        <v>9.3551612559541041E-5</v>
      </c>
      <c r="BI145" s="21">
        <f t="shared" si="62"/>
        <v>9.3551612559541041E-5</v>
      </c>
      <c r="BJ145" s="561"/>
      <c r="BK145">
        <f t="shared" si="63"/>
        <v>1.6616224285000001</v>
      </c>
      <c r="BL145">
        <f t="shared" si="64"/>
        <v>1.6616224285000001</v>
      </c>
      <c r="BM145">
        <f>C145*'Inputs-Imperial'!$E$12</f>
        <v>0.83081121425000004</v>
      </c>
      <c r="BN145">
        <f>C145*'Inputs-Imperial'!$E$12</f>
        <v>0.83081121425000004</v>
      </c>
      <c r="BO145">
        <f>C145*'Inputs-Imperial'!$E$12</f>
        <v>0.83081121425000004</v>
      </c>
      <c r="BP145">
        <f>C145*'Weight '!$E$15</f>
        <v>1.6616224285000001</v>
      </c>
      <c r="BQ145">
        <f>C145*'Weight '!$E$15</f>
        <v>1.6616224285000001</v>
      </c>
      <c r="BR145">
        <f>C145*'Weight '!$E$15</f>
        <v>1.6616224285000001</v>
      </c>
      <c r="BS145">
        <f t="shared" si="65"/>
        <v>2.1786554727403331</v>
      </c>
      <c r="BT145" s="564">
        <f t="shared" si="66"/>
        <v>1.3617136356661681</v>
      </c>
      <c r="BU145">
        <f t="shared" si="67"/>
        <v>1.5999365914218127</v>
      </c>
    </row>
    <row r="146" spans="1:73" ht="15.75" thickBot="1" x14ac:dyDescent="0.3">
      <c r="A146" s="190">
        <v>100</v>
      </c>
      <c r="B146" s="191">
        <f>A146/100*'Inputs-Imperial'!$E$5</f>
        <v>24.081365599999998</v>
      </c>
      <c r="C146" s="192">
        <f>'Inputs-Imperial'!$E$10+('Inputs-Imperial'!$E$9-'Inputs-Imperial'!$E$10)*(100-A146)/100</f>
        <v>3.3054463000000003</v>
      </c>
      <c r="D146" s="191">
        <f t="shared" si="68"/>
        <v>0.24081365600000026</v>
      </c>
      <c r="E146" s="192">
        <f t="shared" si="69"/>
        <v>0.79813967600602098</v>
      </c>
      <c r="F146" s="193">
        <f>Sizing!F160</f>
        <v>0</v>
      </c>
      <c r="G146" s="193">
        <f>Sizing!G160</f>
        <v>0</v>
      </c>
      <c r="H146" s="193">
        <f>Sizing!H160</f>
        <v>0</v>
      </c>
      <c r="I146" s="193">
        <f>Sizing!I160</f>
        <v>0</v>
      </c>
      <c r="J146" s="194">
        <f>Sizing!J160</f>
        <v>0</v>
      </c>
      <c r="K146" s="131">
        <v>100</v>
      </c>
      <c r="L146" s="168">
        <f t="shared" si="45"/>
        <v>288.97638719999998</v>
      </c>
      <c r="M146" s="172">
        <f t="shared" si="45"/>
        <v>39.665355600000005</v>
      </c>
      <c r="N146" s="172">
        <f t="shared" si="45"/>
        <v>2.8897638720000032</v>
      </c>
      <c r="O146" s="137">
        <f t="shared" si="46"/>
        <v>114.93211334486702</v>
      </c>
      <c r="P146" s="8">
        <f t="shared" si="81"/>
        <v>7.1397640080000011</v>
      </c>
      <c r="Q146" s="12">
        <f t="shared" si="70"/>
        <v>20.687780402076061</v>
      </c>
      <c r="R146" s="8">
        <f t="shared" si="82"/>
        <v>3.5698820040000006</v>
      </c>
      <c r="S146" s="12">
        <f t="shared" si="71"/>
        <v>10.343890201038031</v>
      </c>
      <c r="T146" s="206">
        <f>Sizing!CN160</f>
        <v>0.75</v>
      </c>
      <c r="U146" s="206">
        <f>Sizing!CO160</f>
        <v>2.3622047244094495E-2</v>
      </c>
      <c r="V146" s="206">
        <f>Sizing!CP160</f>
        <v>1.5748031496062995E-2</v>
      </c>
      <c r="W146" s="131">
        <f t="shared" si="47"/>
        <v>3.0224609670856709E-3</v>
      </c>
      <c r="X146" s="29">
        <f t="shared" si="48"/>
        <v>2.1676378888652054E-3</v>
      </c>
      <c r="Y146" s="29">
        <f t="shared" si="49"/>
        <v>5.1900988559508768E-3</v>
      </c>
      <c r="Z146" s="218">
        <f t="shared" si="72"/>
        <v>0.35867714915601684</v>
      </c>
      <c r="AA146" s="220">
        <f t="shared" si="73"/>
        <v>0.25723481191236214</v>
      </c>
      <c r="AB146" s="206">
        <f t="shared" si="74"/>
        <v>0.61591196106837909</v>
      </c>
      <c r="AC146" s="317">
        <f t="shared" si="75"/>
        <v>0.35249306037746486</v>
      </c>
      <c r="AD146" s="318">
        <f t="shared" si="76"/>
        <v>0.2527997289483559</v>
      </c>
      <c r="AE146" s="319">
        <f t="shared" si="77"/>
        <v>0.60529278932582076</v>
      </c>
      <c r="AF146" s="171">
        <f>Sizing!DU160</f>
        <v>2.9973794920998782E-2</v>
      </c>
      <c r="AG146" s="171">
        <f>Sizing!DV160</f>
        <v>0.17312941668300849</v>
      </c>
      <c r="AH146" s="171">
        <f>Sizing!DW160</f>
        <v>2.9973794920998782E-2</v>
      </c>
      <c r="AI146" s="303">
        <f>Sizing!DX160</f>
        <v>0.17312941668300849</v>
      </c>
      <c r="AJ146" s="218">
        <f>Sizing!GJ160</f>
        <v>0.25</v>
      </c>
      <c r="AK146" s="218">
        <f>Sizing!GK160</f>
        <v>2.3622047244094495E-2</v>
      </c>
      <c r="AL146" s="206">
        <f>Sizing!GL160</f>
        <v>2.3622047244094495E-2</v>
      </c>
      <c r="AM146" s="218">
        <f t="shared" si="50"/>
        <v>3.6269531605028051E-3</v>
      </c>
      <c r="AN146" s="220">
        <f t="shared" si="51"/>
        <v>7.2254596295506844E-4</v>
      </c>
      <c r="AO146" s="220">
        <f t="shared" si="52"/>
        <v>4.3494991234578739E-3</v>
      </c>
      <c r="AP146" s="317">
        <f t="shared" si="78"/>
        <v>7.5033610513097759E-2</v>
      </c>
      <c r="AQ146" s="172">
        <f t="shared" si="79"/>
        <v>1.4947872212021041E-2</v>
      </c>
      <c r="AR146" s="319">
        <f t="shared" si="80"/>
        <v>8.9981482725118814E-2</v>
      </c>
      <c r="AS146" s="172">
        <f t="shared" si="53"/>
        <v>5.3197165610441906E-3</v>
      </c>
      <c r="AT146" s="319">
        <f t="shared" si="54"/>
        <v>5.3197165610441906E-3</v>
      </c>
      <c r="AU146" s="171">
        <f>Sizing!JC160</f>
        <v>5.2711395752220482E-4</v>
      </c>
      <c r="AV146" s="303">
        <f>Sizing!JD160</f>
        <v>2.2958962466152619E-2</v>
      </c>
      <c r="AW146" s="171">
        <f>Sizing!JC160</f>
        <v>5.2711395752220482E-4</v>
      </c>
      <c r="AX146" s="303">
        <f>Sizing!JD160</f>
        <v>2.2958962466152619E-2</v>
      </c>
      <c r="AY146" s="218">
        <f>Sizing!IT160</f>
        <v>0.25</v>
      </c>
      <c r="AZ146" s="218">
        <f>Sizing!IU160</f>
        <v>1.5748031496062995E-2</v>
      </c>
      <c r="BA146" s="206">
        <f>Sizing!IV160</f>
        <v>1.5748031496062995E-2</v>
      </c>
      <c r="BB146" s="218">
        <f t="shared" si="55"/>
        <v>2.4179687736685367E-3</v>
      </c>
      <c r="BC146" s="220">
        <f t="shared" si="56"/>
        <v>7.2254596295506844E-4</v>
      </c>
      <c r="BD146" s="220">
        <f t="shared" si="57"/>
        <v>3.1405147366236051E-3</v>
      </c>
      <c r="BE146" s="311">
        <f t="shared" si="58"/>
        <v>2.501120350436592E-2</v>
      </c>
      <c r="BF146" s="11">
        <f t="shared" si="59"/>
        <v>7.4739361060105203E-3</v>
      </c>
      <c r="BG146" s="319">
        <f t="shared" si="60"/>
        <v>3.248513961037644E-2</v>
      </c>
      <c r="BH146" s="21">
        <f t="shared" si="61"/>
        <v>9.3551612559541041E-5</v>
      </c>
      <c r="BI146" s="21">
        <f t="shared" si="62"/>
        <v>9.3551612559541041E-5</v>
      </c>
      <c r="BJ146" s="561"/>
      <c r="BK146">
        <f t="shared" si="63"/>
        <v>1.6527231500000001</v>
      </c>
      <c r="BL146">
        <f t="shared" si="64"/>
        <v>1.6527231500000001</v>
      </c>
      <c r="BM146">
        <f>C146*'Inputs-Imperial'!$E$12</f>
        <v>0.82636157500000007</v>
      </c>
      <c r="BN146">
        <f>C146*'Inputs-Imperial'!$E$12</f>
        <v>0.82636157500000007</v>
      </c>
      <c r="BO146">
        <f>C146*'Inputs-Imperial'!$E$12</f>
        <v>0.82636157500000007</v>
      </c>
      <c r="BP146">
        <f>C146*'Weight '!$E$15</f>
        <v>1.6527231500000001</v>
      </c>
      <c r="BQ146">
        <f>C146*'Weight '!$E$15</f>
        <v>1.6527231500000001</v>
      </c>
      <c r="BR146">
        <f>C146*'Weight '!$E$15</f>
        <v>1.6527231500000001</v>
      </c>
      <c r="BS146">
        <f t="shared" si="65"/>
        <v>2.1554607924605516</v>
      </c>
      <c r="BT146" s="564">
        <f t="shared" si="66"/>
        <v>1.3544979090769025</v>
      </c>
      <c r="BU146">
        <f t="shared" si="67"/>
        <v>1.5913356366341751</v>
      </c>
    </row>
    <row r="148" spans="1:73" x14ac:dyDescent="0.25">
      <c r="BT148" s="564">
        <f>SUM(BT46:BT146)</f>
        <v>318.8817455282271</v>
      </c>
    </row>
  </sheetData>
  <sheetProtection sheet="1" objects="1" scenarios="1"/>
  <mergeCells count="8">
    <mergeCell ref="H10:P10"/>
    <mergeCell ref="H11:M11"/>
    <mergeCell ref="H18:M18"/>
    <mergeCell ref="AU44:BI44"/>
    <mergeCell ref="A44:J44"/>
    <mergeCell ref="K44:O44"/>
    <mergeCell ref="T44:AE44"/>
    <mergeCell ref="AF44:AT44"/>
  </mergeCells>
  <conditionalFormatting sqref="T46:V146">
    <cfRule type="colorScale" priority="14">
      <colorScale>
        <cfvo type="min"/>
        <cfvo type="max"/>
        <color rgb="FFFCFCFF"/>
        <color rgb="FFF8696B"/>
      </colorScale>
    </cfRule>
  </conditionalFormatting>
  <conditionalFormatting sqref="U46:V146">
    <cfRule type="colorScale" priority="13">
      <colorScale>
        <cfvo type="min"/>
        <cfvo type="max"/>
        <color rgb="FFFCFCFF"/>
        <color rgb="FF63BE7B"/>
      </colorScale>
    </cfRule>
  </conditionalFormatting>
  <conditionalFormatting sqref="AF46:AF146">
    <cfRule type="colorScale" priority="12">
      <colorScale>
        <cfvo type="min"/>
        <cfvo type="max"/>
        <color rgb="FFFCFCFF"/>
        <color rgb="FFF8696B"/>
      </colorScale>
    </cfRule>
  </conditionalFormatting>
  <conditionalFormatting sqref="AH46:AH146">
    <cfRule type="colorScale" priority="11">
      <colorScale>
        <cfvo type="min"/>
        <cfvo type="max"/>
        <color rgb="FFFCFCFF"/>
        <color rgb="FF63BE7B"/>
      </colorScale>
    </cfRule>
  </conditionalFormatting>
  <conditionalFormatting sqref="AJ46:AL146">
    <cfRule type="colorScale" priority="10">
      <colorScale>
        <cfvo type="min"/>
        <cfvo type="max"/>
        <color rgb="FFFCFCFF"/>
        <color rgb="FFF8696B"/>
      </colorScale>
    </cfRule>
  </conditionalFormatting>
  <conditionalFormatting sqref="AK46:AL146">
    <cfRule type="colorScale" priority="9">
      <colorScale>
        <cfvo type="min"/>
        <cfvo type="max"/>
        <color rgb="FFFCFCFF"/>
        <color rgb="FF63BE7B"/>
      </colorScale>
    </cfRule>
  </conditionalFormatting>
  <conditionalFormatting sqref="AU46:AU146">
    <cfRule type="colorScale" priority="4">
      <colorScale>
        <cfvo type="min"/>
        <cfvo type="max"/>
        <color rgb="FFFCFCFF"/>
        <color rgb="FFF8696B"/>
      </colorScale>
    </cfRule>
  </conditionalFormatting>
  <conditionalFormatting sqref="AW46:AW146">
    <cfRule type="colorScale" priority="1">
      <colorScale>
        <cfvo type="min"/>
        <cfvo type="max"/>
        <color rgb="FFFCFCFF"/>
        <color rgb="FFF8696B"/>
      </colorScale>
    </cfRule>
  </conditionalFormatting>
  <conditionalFormatting sqref="AY46:BA146">
    <cfRule type="colorScale" priority="3">
      <colorScale>
        <cfvo type="min"/>
        <cfvo type="max"/>
        <color rgb="FFFCFCFF"/>
        <color rgb="FFF8696B"/>
      </colorScale>
    </cfRule>
  </conditionalFormatting>
  <conditionalFormatting sqref="AZ46:BA146">
    <cfRule type="colorScale" priority="2">
      <colorScale>
        <cfvo type="min"/>
        <cfvo type="max"/>
        <color rgb="FFFCFCFF"/>
        <color rgb="FF63BE7B"/>
      </colorScale>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5E4AD3-1823-4F38-8753-F7034AC764E7}">
  <dimension ref="A1:CX144"/>
  <sheetViews>
    <sheetView zoomScale="85" zoomScaleNormal="85" workbookViewId="0">
      <selection activeCell="N26" sqref="N26"/>
    </sheetView>
  </sheetViews>
  <sheetFormatPr defaultRowHeight="15" outlineLevelCol="1" x14ac:dyDescent="0.25"/>
  <cols>
    <col min="1" max="1" width="39.140625" customWidth="1"/>
    <col min="2" max="2" width="47.140625" customWidth="1"/>
    <col min="3" max="3" width="16" customWidth="1"/>
    <col min="4" max="4" width="9.140625" bestFit="1" customWidth="1"/>
    <col min="5" max="5" width="11" customWidth="1"/>
    <col min="6" max="6" width="13.28515625" customWidth="1"/>
    <col min="7" max="7" width="12" customWidth="1"/>
    <col min="8" max="8" width="6.7109375" customWidth="1"/>
    <col min="9" max="9" width="7.5703125" customWidth="1"/>
    <col min="10" max="10" width="9.85546875" customWidth="1"/>
    <col min="11" max="11" width="8.140625" bestFit="1" customWidth="1"/>
    <col min="12" max="12" width="5.42578125" customWidth="1"/>
    <col min="13" max="13" width="5.85546875" bestFit="1" customWidth="1"/>
    <col min="14" max="14" width="11.85546875" customWidth="1"/>
    <col min="15" max="15" width="11" customWidth="1"/>
    <col min="16" max="16" width="12" customWidth="1"/>
    <col min="17" max="17" width="16.42578125" bestFit="1" customWidth="1"/>
    <col min="18" max="20" width="9.140625" customWidth="1"/>
    <col min="21" max="21" width="9.5703125" bestFit="1" customWidth="1"/>
    <col min="22" max="22" width="9.5703125" customWidth="1"/>
    <col min="23" max="23" width="12.42578125" customWidth="1"/>
    <col min="24" max="24" width="11.140625" customWidth="1"/>
    <col min="25" max="25" width="10.85546875" customWidth="1"/>
    <col min="27" max="27" width="14.140625" customWidth="1"/>
    <col min="28" max="28" width="11.42578125" bestFit="1" customWidth="1"/>
    <col min="31" max="31" width="10.5703125" customWidth="1"/>
    <col min="36" max="36" width="10.5703125" customWidth="1"/>
    <col min="37" max="37" width="11.7109375" customWidth="1"/>
    <col min="38" max="38" width="10.28515625" customWidth="1"/>
    <col min="39" max="39" width="15.140625" customWidth="1"/>
    <col min="40" max="40" width="15.28515625" customWidth="1"/>
    <col min="41" max="41" width="12.85546875" customWidth="1"/>
    <col min="42" max="42" width="13.28515625" customWidth="1"/>
    <col min="43" max="43" width="14.7109375" customWidth="1"/>
    <col min="44" max="44" width="18.42578125" customWidth="1"/>
    <col min="45" max="45" width="15.140625" customWidth="1"/>
    <col min="46" max="46" width="14.85546875" customWidth="1"/>
    <col min="47" max="47" width="11.28515625" customWidth="1"/>
    <col min="48" max="48" width="14.42578125" customWidth="1"/>
    <col min="49" max="49" width="11.140625" customWidth="1"/>
    <col min="53" max="53" width="10.42578125" customWidth="1"/>
    <col min="55" max="55" width="11.5703125" bestFit="1" customWidth="1"/>
    <col min="77" max="99" width="9.140625" hidden="1" customWidth="1" outlineLevel="1"/>
    <col min="100" max="100" width="8.7109375" collapsed="1"/>
    <col min="101" max="101" width="13.42578125" bestFit="1" customWidth="1"/>
    <col min="102" max="102" width="12.85546875" bestFit="1" customWidth="1"/>
  </cols>
  <sheetData>
    <row r="1" spans="1:17" x14ac:dyDescent="0.25">
      <c r="A1" s="4" t="s">
        <v>129</v>
      </c>
    </row>
    <row r="2" spans="1:17" x14ac:dyDescent="0.25">
      <c r="A2" t="s">
        <v>1107</v>
      </c>
    </row>
    <row r="3" spans="1:17" x14ac:dyDescent="0.25">
      <c r="A3" t="s">
        <v>1106</v>
      </c>
    </row>
    <row r="8" spans="1:17" x14ac:dyDescent="0.25">
      <c r="Q8" s="41"/>
    </row>
    <row r="10" spans="1:17" ht="15.75" thickBot="1" x14ac:dyDescent="0.3"/>
    <row r="11" spans="1:17" ht="15.75" thickBot="1" x14ac:dyDescent="0.3">
      <c r="A11" s="197" t="s">
        <v>152</v>
      </c>
      <c r="B11" s="124" t="str">
        <f>'Inputs-Imperial'!B1</f>
        <v>Description</v>
      </c>
      <c r="C11" s="125" t="str">
        <f>'Inputs-Imperial'!C1</f>
        <v>Symbol</v>
      </c>
      <c r="D11" s="125" t="str">
        <f>'Inputs-Imperial'!D1</f>
        <v>Unit</v>
      </c>
      <c r="E11" s="120" t="s">
        <v>152</v>
      </c>
      <c r="F11" s="174"/>
    </row>
    <row r="12" spans="1:17" x14ac:dyDescent="0.25">
      <c r="A12" s="273" t="str">
        <f>'Inputs-Imperial'!A5</f>
        <v>Planform</v>
      </c>
      <c r="B12" s="203"/>
      <c r="C12" s="203"/>
      <c r="D12" s="203"/>
      <c r="E12" s="271"/>
      <c r="F12" s="174"/>
    </row>
    <row r="13" spans="1:17" x14ac:dyDescent="0.25">
      <c r="A13" s="306"/>
      <c r="B13" s="2" t="str">
        <f>'Inputs-Imperial'!B5</f>
        <v>Half-Span</v>
      </c>
      <c r="C13" s="2" t="str">
        <f>'Inputs-Imperial'!C5</f>
        <v>b/2</v>
      </c>
      <c r="D13" s="2" t="str">
        <f>'Inputs-Imperial'!D5</f>
        <v>ft</v>
      </c>
      <c r="E13" s="272">
        <f>'Inputs-Imperial'!E5</f>
        <v>24.081365599999998</v>
      </c>
      <c r="F13" s="174"/>
    </row>
    <row r="14" spans="1:17" x14ac:dyDescent="0.25">
      <c r="A14" s="306"/>
      <c r="B14" s="425" t="str">
        <f>'Inputs-Imperial'!B6</f>
        <v>Core Zone Split (% Half-Span)</v>
      </c>
      <c r="C14" s="425" t="str">
        <f>'Inputs-Imperial'!C6</f>
        <v>Core_Split1</v>
      </c>
      <c r="D14" s="425" t="str">
        <f>'Inputs-Imperial'!D6</f>
        <v>-</v>
      </c>
      <c r="E14" s="426">
        <f>'Inputs-Imperial'!E6</f>
        <v>0.25</v>
      </c>
      <c r="F14" s="174"/>
    </row>
    <row r="15" spans="1:17" x14ac:dyDescent="0.25">
      <c r="A15" s="306"/>
      <c r="B15" s="425" t="str">
        <f>'Inputs-Imperial'!B7</f>
        <v>Core Zone Split (% Half-Span)</v>
      </c>
      <c r="C15" s="425" t="str">
        <f>'Inputs-Imperial'!C7</f>
        <v>Core_Split2</v>
      </c>
      <c r="D15" s="425" t="str">
        <f>'Inputs-Imperial'!D7</f>
        <v>-</v>
      </c>
      <c r="E15" s="426">
        <f>'Inputs-Imperial'!E7</f>
        <v>0.5</v>
      </c>
      <c r="F15" s="174"/>
    </row>
    <row r="16" spans="1:17" ht="15.75" thickBot="1" x14ac:dyDescent="0.3">
      <c r="A16" s="306"/>
      <c r="B16" s="425" t="str">
        <f>'Inputs-Imperial'!B8</f>
        <v>Core Zone Split (% Half-Span)</v>
      </c>
      <c r="C16" s="425" t="str">
        <f>'Inputs-Imperial'!C8</f>
        <v>Core_Split3</v>
      </c>
      <c r="D16" s="425" t="str">
        <f>'Inputs-Imperial'!D8</f>
        <v>-</v>
      </c>
      <c r="E16" s="426">
        <f>'Inputs-Imperial'!E8</f>
        <v>0.75</v>
      </c>
      <c r="F16" s="174"/>
    </row>
    <row r="17" spans="1:49" x14ac:dyDescent="0.25">
      <c r="A17" s="273" t="str">
        <f>'Inputs-Imperial'!A11</f>
        <v>Main Spar</v>
      </c>
      <c r="B17" s="24" t="str">
        <f>'Inputs-Imperial'!B11</f>
        <v>Spar Height/Chord</v>
      </c>
      <c r="C17" s="347" t="str">
        <f>'Inputs-Imperial'!C11</f>
        <v>Spar_t/c</v>
      </c>
      <c r="D17" s="347" t="str">
        <f>'Inputs-Imperial'!D11</f>
        <v>-</v>
      </c>
      <c r="E17" s="427">
        <f>'Inputs-Imperial'!E11</f>
        <v>0.18</v>
      </c>
      <c r="F17" s="175"/>
    </row>
    <row r="18" spans="1:49" ht="15.75" thickBot="1" x14ac:dyDescent="0.3">
      <c r="A18" s="275"/>
      <c r="B18" s="276" t="str">
        <f>'Inputs-Imperial'!B12</f>
        <v>Spar Location % Chord</v>
      </c>
      <c r="C18" s="29" t="str">
        <f>'Inputs-Imperial'!C12</f>
        <v>Spar_x/c</v>
      </c>
      <c r="D18" s="277" t="str">
        <f>'Inputs-Imperial'!D12</f>
        <v>-</v>
      </c>
      <c r="E18" s="206">
        <f>'Inputs-Imperial'!E12</f>
        <v>0.25</v>
      </c>
      <c r="F18" s="138"/>
    </row>
    <row r="19" spans="1:49" x14ac:dyDescent="0.25">
      <c r="A19" s="156" t="str">
        <f>'Inputs-Imperial'!A14</f>
        <v>Aft Shear Web</v>
      </c>
      <c r="B19" s="2" t="str">
        <f>'Inputs-Imperial'!B14</f>
        <v>Aft Web Height/Chord</v>
      </c>
      <c r="C19" s="2" t="str">
        <f>'Inputs-Imperial'!C14</f>
        <v>AW_t/c</v>
      </c>
      <c r="D19" s="6" t="str">
        <f>'Inputs-Imperial'!D14</f>
        <v>-</v>
      </c>
      <c r="E19" s="17">
        <f>'Inputs-Imperial'!E14</f>
        <v>0.09</v>
      </c>
      <c r="F19" s="138"/>
    </row>
    <row r="20" spans="1:49" x14ac:dyDescent="0.25">
      <c r="A20" s="26"/>
      <c r="B20" s="13" t="str">
        <f>'Inputs-Imperial'!B15</f>
        <v>Aft Web Location % Chord</v>
      </c>
      <c r="C20" s="1" t="str">
        <f>'Inputs-Imperial'!C15</f>
        <v>AW_x/c_tip</v>
      </c>
      <c r="D20" s="10" t="str">
        <f>'Inputs-Imperial'!D15</f>
        <v>-</v>
      </c>
      <c r="E20" s="16">
        <f>'Inputs-Imperial'!E15</f>
        <v>0.75</v>
      </c>
      <c r="F20" s="138"/>
    </row>
    <row r="21" spans="1:49" x14ac:dyDescent="0.25">
      <c r="A21" s="157" t="str">
        <f>'Inputs-Imperial'!A16</f>
        <v>Structural Factors</v>
      </c>
      <c r="B21" s="3" t="str">
        <f>'Inputs-Imperial'!B16</f>
        <v>Factor of Safety, Stress</v>
      </c>
      <c r="C21" s="3" t="str">
        <f>'Inputs-Imperial'!C16</f>
        <v>FS_stress</v>
      </c>
      <c r="D21" s="3" t="str">
        <f>'Inputs-Imperial'!D16</f>
        <v>-</v>
      </c>
      <c r="E21" s="15">
        <f>'Inputs-Imperial'!E16</f>
        <v>1.5</v>
      </c>
      <c r="F21" s="2"/>
    </row>
    <row r="22" spans="1:49" x14ac:dyDescent="0.25">
      <c r="A22" s="26"/>
      <c r="B22" s="1" t="str">
        <f>'Inputs-Imperial'!B17</f>
        <v>Factor of Safety, Buckling/Wrinkling/Crimp</v>
      </c>
      <c r="C22" s="1" t="str">
        <f>'Inputs-Imperial'!C17</f>
        <v>FS_buckling</v>
      </c>
      <c r="D22" s="1" t="str">
        <f>'Inputs-Imperial'!D17</f>
        <v>-</v>
      </c>
      <c r="E22" s="19">
        <f>'Inputs-Imperial'!E17</f>
        <v>1.8</v>
      </c>
      <c r="F22" s="11"/>
    </row>
    <row r="23" spans="1:49" x14ac:dyDescent="0.25">
      <c r="A23" s="157" t="str">
        <f>'Inputs-Imperial'!A18</f>
        <v>Materials - Spar Caps</v>
      </c>
      <c r="B23" s="2" t="str">
        <f>'Inputs-Imperial'!B20</f>
        <v>Spar Cap Modulus</v>
      </c>
      <c r="C23" s="2" t="str">
        <f>'Inputs-Imperial'!C20</f>
        <v>E11_Cap</v>
      </c>
      <c r="D23" s="2" t="str">
        <f>'Inputs-Imperial'!D20</f>
        <v>psi</v>
      </c>
      <c r="E23" s="74">
        <f>'Inputs-Imperial'!E20</f>
        <v>15954180</v>
      </c>
      <c r="F23" s="116"/>
    </row>
    <row r="24" spans="1:49" x14ac:dyDescent="0.25">
      <c r="A24" s="26"/>
      <c r="B24" s="1" t="str">
        <f>'Inputs-Imperial'!B22</f>
        <v>Spar Cap Density</v>
      </c>
      <c r="C24" s="1" t="str">
        <f>'Inputs-Imperial'!C22</f>
        <v>rho_Cap</v>
      </c>
      <c r="D24" s="1" t="str">
        <f>'Inputs-Imperial'!D22</f>
        <v>lb/in^3</v>
      </c>
      <c r="E24" s="16">
        <f>'Inputs-Imperial'!E22</f>
        <v>6.141640685118082E-2</v>
      </c>
      <c r="F24" s="138"/>
    </row>
    <row r="25" spans="1:49" x14ac:dyDescent="0.25">
      <c r="A25" s="157" t="str">
        <f>'Inputs-Imperial'!A23</f>
        <v>Material - Skins and Webs</v>
      </c>
      <c r="B25" s="2" t="str">
        <f>'Inputs-Imperial'!B24</f>
        <v>Bias Shear Modulus</v>
      </c>
      <c r="C25" s="2" t="str">
        <f>'Inputs-Imperial'!C24</f>
        <v>G12_Bias</v>
      </c>
      <c r="D25" s="2" t="str">
        <f>'Inputs-Imperial'!D24</f>
        <v>psi</v>
      </c>
      <c r="E25" s="74">
        <f>'Inputs-Imperial'!E24</f>
        <v>3770988.0000000005</v>
      </c>
      <c r="F25" s="116"/>
    </row>
    <row r="26" spans="1:49" x14ac:dyDescent="0.25">
      <c r="A26" s="25"/>
      <c r="B26" s="2" t="str">
        <f>'Inputs-Imperial'!B25</f>
        <v>Bias Skin Compression Modulus</v>
      </c>
      <c r="C26" s="2" t="str">
        <f>'Inputs-Imperial'!C25</f>
        <v>E11_Bias</v>
      </c>
      <c r="D26" s="2" t="str">
        <f>'Inputs-Imperial'!D25</f>
        <v>psi</v>
      </c>
      <c r="E26" s="74">
        <f>'Inputs-Imperial'!E25</f>
        <v>2175570</v>
      </c>
      <c r="F26" s="116"/>
      <c r="G26" s="116"/>
      <c r="AL26" t="s">
        <v>766</v>
      </c>
    </row>
    <row r="27" spans="1:49" x14ac:dyDescent="0.25">
      <c r="A27" s="25"/>
      <c r="B27" s="2" t="str">
        <f>'Inputs-Imperial'!B26</f>
        <v>Warp Fabric Modulus</v>
      </c>
      <c r="C27" s="2" t="str">
        <f>'Inputs-Imperial'!C26</f>
        <v>E11=E22</v>
      </c>
      <c r="D27" s="2" t="str">
        <f>'Inputs-Imperial'!D26</f>
        <v>psi</v>
      </c>
      <c r="E27" s="74">
        <f>'Inputs-Imperial'!E26</f>
        <v>7687014.0000000009</v>
      </c>
      <c r="F27" s="116"/>
      <c r="G27" s="116"/>
    </row>
    <row r="28" spans="1:49" x14ac:dyDescent="0.25">
      <c r="A28" s="25"/>
      <c r="B28" s="2" t="str">
        <f>'Inputs-Imperial'!B27</f>
        <v>Skin Density</v>
      </c>
      <c r="C28" s="2" t="str">
        <f>'Inputs-Imperial'!C27</f>
        <v>rho_Bias</v>
      </c>
      <c r="D28" s="2" t="str">
        <f>'Inputs-Imperial'!D27</f>
        <v>lb/in^3</v>
      </c>
      <c r="E28" s="17">
        <f>'Inputs-Imperial'!E27</f>
        <v>6.141640685118082E-2</v>
      </c>
      <c r="F28" s="138"/>
      <c r="G28" s="138"/>
    </row>
    <row r="29" spans="1:49" x14ac:dyDescent="0.25">
      <c r="A29" s="26"/>
      <c r="B29" s="1" t="str">
        <f>'Inputs-Imperial'!B28</f>
        <v>Skin Cured Ply Thickness</v>
      </c>
      <c r="C29" s="1" t="str">
        <f>'Inputs-Imperial'!C28</f>
        <v>CPT_Bias</v>
      </c>
      <c r="D29" s="1" t="str">
        <f>'Inputs-Imperial'!D28</f>
        <v>in</v>
      </c>
      <c r="E29" s="20">
        <f>'Inputs-Imperial'!E28</f>
        <v>7.8740157480314977E-3</v>
      </c>
      <c r="F29" s="2"/>
      <c r="G29" s="2"/>
    </row>
    <row r="30" spans="1:49" x14ac:dyDescent="0.25">
      <c r="A30" s="157" t="str">
        <f>'Inputs-Imperial'!A29</f>
        <v>Material - Skin and Web Core</v>
      </c>
      <c r="B30" s="3" t="str">
        <f>'Inputs-Imperial'!B29</f>
        <v>Core Modulus (E11=E22=E33)</v>
      </c>
      <c r="C30" s="3" t="str">
        <f>'Inputs-Imperial'!C29</f>
        <v>E_Core</v>
      </c>
      <c r="D30" s="3" t="str">
        <f>'Inputs-Imperial'!D29</f>
        <v>psi</v>
      </c>
      <c r="E30" s="73">
        <f>'Inputs-Imperial'!E29</f>
        <v>8267.1660000000011</v>
      </c>
      <c r="F30" s="116"/>
      <c r="G30" s="116"/>
    </row>
    <row r="31" spans="1:49" x14ac:dyDescent="0.25">
      <c r="A31" s="225"/>
      <c r="B31" s="2" t="str">
        <f>'Inputs-Imperial'!B30</f>
        <v>Core Shear Modulus (G12=G13)</v>
      </c>
      <c r="C31" s="2" t="str">
        <f>'Inputs-Imperial'!C30</f>
        <v>G_Core</v>
      </c>
      <c r="D31" s="2" t="str">
        <f>'Inputs-Imperial'!D30</f>
        <v>psi</v>
      </c>
      <c r="E31" s="74">
        <f>'Inputs-Imperial'!E30</f>
        <v>2610.6840000000002</v>
      </c>
      <c r="F31" s="116"/>
      <c r="AL31" s="553" t="s">
        <v>767</v>
      </c>
      <c r="AW31" t="s">
        <v>781</v>
      </c>
    </row>
    <row r="32" spans="1:49" ht="15.75" thickBot="1" x14ac:dyDescent="0.3">
      <c r="A32" s="26"/>
      <c r="B32" s="1" t="str">
        <f>'Inputs-Imperial'!B33</f>
        <v>Core Density</v>
      </c>
      <c r="C32" s="1" t="str">
        <f>'Inputs-Imperial'!C33</f>
        <v>rho_Core</v>
      </c>
      <c r="D32" s="1" t="str">
        <f>'Inputs-Imperial'!D33</f>
        <v>lb/in^3</v>
      </c>
      <c r="E32" s="18">
        <f>'Inputs-Imperial'!E33</f>
        <v>2.312147081456219E-3</v>
      </c>
      <c r="F32" s="2"/>
    </row>
    <row r="33" spans="1:102" x14ac:dyDescent="0.25">
      <c r="A33" s="157" t="str">
        <f>'Inputs-Imperial'!A34</f>
        <v>Manufacturing Weight Factors</v>
      </c>
      <c r="B33" s="3" t="str">
        <f>'Inputs-Imperial'!B34</f>
        <v>As-Built Sandwich Weight Factor  (W_built/W_laminate)</v>
      </c>
      <c r="C33" s="3" t="str">
        <f>'Inputs-Imperial'!C34</f>
        <v>K_Fab</v>
      </c>
      <c r="D33" s="3" t="str">
        <f>'Inputs-Imperial'!D34</f>
        <v>-</v>
      </c>
      <c r="E33" s="195">
        <f>'Inputs-Imperial'!E34</f>
        <v>1.25</v>
      </c>
      <c r="F33" s="8"/>
    </row>
    <row r="34" spans="1:102" ht="15.75" thickBot="1" x14ac:dyDescent="0.3">
      <c r="A34" s="28"/>
      <c r="B34" s="29" t="str">
        <f>'Inputs-Imperial'!B35</f>
        <v>Bonded Joint Weight  (W_joints/W_laminate)</v>
      </c>
      <c r="C34" s="29" t="str">
        <f>'Inputs-Imperial'!C35</f>
        <v>K_Fab</v>
      </c>
      <c r="D34" s="29" t="str">
        <f>'Inputs-Imperial'!D35</f>
        <v>-</v>
      </c>
      <c r="E34" s="30">
        <f>'Inputs-Imperial'!E35</f>
        <v>1.05</v>
      </c>
      <c r="F34" s="2"/>
    </row>
    <row r="35" spans="1:102" ht="15.75" thickBot="1" x14ac:dyDescent="0.3">
      <c r="AM35" s="4" t="s">
        <v>129</v>
      </c>
      <c r="AR35" s="4" t="s">
        <v>129</v>
      </c>
      <c r="AW35" s="4" t="s">
        <v>129</v>
      </c>
      <c r="BF35" s="4" t="s">
        <v>129</v>
      </c>
    </row>
    <row r="36" spans="1:102" ht="15.75" thickBot="1" x14ac:dyDescent="0.3">
      <c r="A36" s="229" t="s">
        <v>358</v>
      </c>
      <c r="B36" s="208"/>
      <c r="C36" s="208"/>
      <c r="D36" s="208"/>
      <c r="E36" s="196"/>
      <c r="AM36" t="s">
        <v>769</v>
      </c>
      <c r="AR36" t="s">
        <v>773</v>
      </c>
      <c r="AW36" t="s">
        <v>783</v>
      </c>
      <c r="BF36" t="s">
        <v>927</v>
      </c>
    </row>
    <row r="37" spans="1:102" x14ac:dyDescent="0.25">
      <c r="A37" s="158"/>
      <c r="B37" s="24" t="s">
        <v>354</v>
      </c>
      <c r="C37" s="24" t="s">
        <v>357</v>
      </c>
      <c r="D37" s="24" t="s">
        <v>14</v>
      </c>
      <c r="E37" s="293">
        <f>1.044*('Inputs-Imperial'!E11/0.182)</f>
        <v>1.0325274725274727</v>
      </c>
      <c r="AM37" t="s">
        <v>774</v>
      </c>
      <c r="AR37" t="s">
        <v>774</v>
      </c>
      <c r="AW37" t="s">
        <v>784</v>
      </c>
      <c r="BF37" t="s">
        <v>932</v>
      </c>
      <c r="BQ37" t="s">
        <v>833</v>
      </c>
    </row>
    <row r="38" spans="1:102" ht="15.75" thickBot="1" x14ac:dyDescent="0.3">
      <c r="A38" s="227"/>
      <c r="B38" s="29" t="s">
        <v>355</v>
      </c>
      <c r="C38" s="29" t="s">
        <v>356</v>
      </c>
      <c r="D38" s="29" t="s">
        <v>14</v>
      </c>
      <c r="E38" s="206">
        <f>1.026*('Inputs-Imperial'!E11/0.182)</f>
        <v>1.0147252747252749</v>
      </c>
      <c r="AM38" t="s">
        <v>765</v>
      </c>
      <c r="AR38" t="s">
        <v>765</v>
      </c>
      <c r="AW38" t="s">
        <v>787</v>
      </c>
      <c r="BQ38">
        <v>1000</v>
      </c>
      <c r="BZ38">
        <f>BV44*(BX44-$BG44/3)</f>
        <v>180.89035561194822</v>
      </c>
    </row>
    <row r="39" spans="1:102" x14ac:dyDescent="0.25">
      <c r="AM39" t="s">
        <v>768</v>
      </c>
      <c r="AR39" t="s">
        <v>768</v>
      </c>
      <c r="BZ39">
        <f>BW44*(-$BF44+BX44+$BG44/3)</f>
        <v>-127.6155764197883</v>
      </c>
    </row>
    <row r="40" spans="1:102" x14ac:dyDescent="0.25">
      <c r="AX40" t="s">
        <v>789</v>
      </c>
      <c r="BM40">
        <f>PI()/8*BF44*BI44</f>
        <v>1.4541306020285985</v>
      </c>
      <c r="BQ40" t="s">
        <v>834</v>
      </c>
      <c r="BZ40">
        <f>(BV44+BW44)*($BG44-BX44)</f>
        <v>-113.24763390716262</v>
      </c>
    </row>
    <row r="41" spans="1:102" ht="15.75" thickBot="1" x14ac:dyDescent="0.3">
      <c r="P41" s="80" t="s">
        <v>372</v>
      </c>
      <c r="R41" s="80" t="s">
        <v>775</v>
      </c>
      <c r="W41" s="80" t="s">
        <v>359</v>
      </c>
    </row>
    <row r="42" spans="1:102" ht="15" customHeight="1" thickBot="1" x14ac:dyDescent="0.3">
      <c r="A42" s="854" t="s">
        <v>155</v>
      </c>
      <c r="B42" s="855"/>
      <c r="C42" s="855"/>
      <c r="D42" s="855"/>
      <c r="E42" s="855"/>
      <c r="F42" s="855"/>
      <c r="G42" s="855"/>
      <c r="H42" s="855"/>
      <c r="I42" s="855"/>
      <c r="J42" s="856"/>
      <c r="K42" s="821" t="s">
        <v>13</v>
      </c>
      <c r="L42" s="822"/>
      <c r="M42" s="822"/>
      <c r="N42" s="822"/>
      <c r="O42" s="823"/>
      <c r="P42" s="459"/>
      <c r="Q42" s="544"/>
      <c r="R42" s="543"/>
      <c r="S42" s="544"/>
      <c r="T42" s="544"/>
      <c r="U42" s="558" t="s">
        <v>360</v>
      </c>
      <c r="V42" s="537"/>
      <c r="W42" s="557"/>
      <c r="X42" s="540" t="s">
        <v>371</v>
      </c>
      <c r="Y42" s="541"/>
      <c r="Z42" s="541"/>
      <c r="AA42" s="541"/>
      <c r="AB42" s="541"/>
      <c r="AC42" s="541"/>
      <c r="AD42" s="541"/>
      <c r="AE42" s="541"/>
      <c r="AF42" s="546" t="s">
        <v>387</v>
      </c>
      <c r="AG42" s="547"/>
      <c r="AH42" s="547"/>
      <c r="AI42" s="547"/>
      <c r="AJ42" s="547"/>
      <c r="AK42" s="547"/>
      <c r="AL42" s="548"/>
      <c r="AM42" s="540" t="s">
        <v>655</v>
      </c>
      <c r="AN42" s="541"/>
      <c r="AO42" s="541"/>
      <c r="AP42" s="541"/>
      <c r="AQ42" s="542"/>
      <c r="AR42" s="546" t="s">
        <v>659</v>
      </c>
      <c r="AS42" s="547"/>
      <c r="AT42" s="547"/>
      <c r="AU42" s="547"/>
      <c r="AV42" s="548"/>
      <c r="AW42" s="558" t="s">
        <v>667</v>
      </c>
      <c r="AX42" s="559"/>
      <c r="AY42" s="559"/>
      <c r="AZ42" s="559"/>
      <c r="BA42" s="559"/>
      <c r="BB42" s="559"/>
      <c r="BC42" s="559"/>
      <c r="BD42" s="596"/>
      <c r="BE42" s="597"/>
      <c r="BF42" s="597"/>
      <c r="BG42" s="597"/>
      <c r="BH42" s="597"/>
      <c r="BI42" s="597"/>
      <c r="BJ42" s="597"/>
      <c r="BK42" s="597"/>
      <c r="BL42" s="597"/>
      <c r="BM42" s="597"/>
      <c r="BN42" s="598" t="s">
        <v>835</v>
      </c>
      <c r="BO42" s="597"/>
      <c r="BP42" s="597"/>
      <c r="BQ42" s="597"/>
      <c r="BR42" s="597"/>
      <c r="BS42" s="597"/>
      <c r="BT42" s="597"/>
      <c r="BU42" s="597"/>
      <c r="BV42" s="597"/>
      <c r="BW42" s="597"/>
      <c r="BX42" s="599"/>
      <c r="BY42" s="598" t="s">
        <v>849</v>
      </c>
      <c r="BZ42" s="597"/>
      <c r="CA42" s="597"/>
      <c r="CB42" s="597"/>
      <c r="CC42" s="598" t="s">
        <v>850</v>
      </c>
      <c r="CD42" s="597"/>
      <c r="CE42" s="597"/>
      <c r="CF42" s="597"/>
      <c r="CG42" s="598" t="s">
        <v>851</v>
      </c>
      <c r="CH42" s="597"/>
      <c r="CI42" s="597"/>
      <c r="CJ42" s="597"/>
      <c r="CK42" s="598" t="s">
        <v>852</v>
      </c>
      <c r="CL42" s="597"/>
      <c r="CM42" s="597"/>
      <c r="CN42" s="597"/>
      <c r="CO42" s="598" t="s">
        <v>853</v>
      </c>
      <c r="CP42" s="597"/>
      <c r="CQ42" s="597"/>
      <c r="CR42" s="597"/>
      <c r="CS42" s="598" t="s">
        <v>854</v>
      </c>
      <c r="CT42" s="597"/>
      <c r="CU42" s="597"/>
      <c r="CV42" s="738"/>
      <c r="CW42" s="740" t="s">
        <v>926</v>
      </c>
      <c r="CX42" s="740"/>
    </row>
    <row r="43" spans="1:102" ht="87.6" customHeight="1" thickBot="1" x14ac:dyDescent="0.3">
      <c r="A43" s="176" t="s">
        <v>130</v>
      </c>
      <c r="B43" s="177" t="s">
        <v>132</v>
      </c>
      <c r="C43" s="177" t="s">
        <v>131</v>
      </c>
      <c r="D43" s="178" t="s">
        <v>145</v>
      </c>
      <c r="E43" s="178" t="s">
        <v>153</v>
      </c>
      <c r="F43" s="178" t="str">
        <f>Sizing!F59</f>
        <v>Lead-Lag Shear [lbs] -
 Vx</v>
      </c>
      <c r="G43" s="178" t="str">
        <f>Sizing!G59</f>
        <v>Shear [lbs] -
 OB Edge - Vz</v>
      </c>
      <c r="H43" s="178" t="str">
        <f>Sizing!H59</f>
        <v>Moment [ft-lbs] -
 OB Edge - Mx</v>
      </c>
      <c r="I43" s="178" t="str">
        <f>Sizing!I59</f>
        <v>Wing Torsion
[ft-lbs] -
 My</v>
      </c>
      <c r="J43" s="178" t="str">
        <f>Sizing!J59</f>
        <v>Lead-Lag Moment
[ft-lbs] -
Mz</v>
      </c>
      <c r="K43" s="163" t="s">
        <v>176</v>
      </c>
      <c r="L43" s="125" t="s">
        <v>173</v>
      </c>
      <c r="M43" s="125" t="s">
        <v>174</v>
      </c>
      <c r="N43" s="125" t="s">
        <v>175</v>
      </c>
      <c r="O43" s="154" t="s">
        <v>156</v>
      </c>
      <c r="P43" s="124" t="s">
        <v>373</v>
      </c>
      <c r="Q43" s="125" t="s">
        <v>163</v>
      </c>
      <c r="R43" s="124" t="str">
        <f>Sizing!X59</f>
        <v>Spar 
Offset 
from LE 
[in]</v>
      </c>
      <c r="S43" s="125" t="str">
        <f>Sizing!Y59</f>
        <v>Aft Web Offset 
from LE 
[in]</v>
      </c>
      <c r="T43" s="125" t="str">
        <f>Sizing!Z59</f>
        <v>Distance 
from Spar 
to 
Aft Web 
[in]</v>
      </c>
      <c r="U43" s="310" t="str">
        <f>Sizing!CN59</f>
        <v>Wing Skin As-Built Core Thickness
[in]</v>
      </c>
      <c r="V43" s="125" t="str">
        <f>Sizing!CO59</f>
        <v>As-built Skin Facesheet OML Thickness [in]</v>
      </c>
      <c r="W43" s="154" t="str">
        <f>Sizing!CP59</f>
        <v>As-built Skin Facesheet IML Thickness [in]</v>
      </c>
      <c r="X43" s="161" t="str">
        <f>Sizing!DU59</f>
        <v>As-built
Vert Spar
Comp.
Cap Area [in^2]</v>
      </c>
      <c r="Y43" s="252" t="str">
        <f>Sizing!DV59</f>
        <v>As-built 
Comp Cap Square
Side Length 
[in]</v>
      </c>
      <c r="Z43" s="252" t="str">
        <f>Sizing!DW59</f>
        <v>As-built
Vert Spar
Tension
Cap Area [in^2]</v>
      </c>
      <c r="AA43" s="162" t="str">
        <f>Sizing!DX59</f>
        <v>As-built
Tension
 Cap Square
Side Length 
[in]</v>
      </c>
      <c r="AB43" s="252" t="str">
        <f>Sizing!DO59</f>
        <v>Spar Cap Centroid Dist
[in]</v>
      </c>
      <c r="AC43" s="320" t="str">
        <f>Sizing!GJ59</f>
        <v>As-Built Spar Core Thickness
[in]</v>
      </c>
      <c r="AD43" s="321" t="str">
        <f>Sizing!GK59</f>
        <v>As-built Facesheet 1 Thickness [in]</v>
      </c>
      <c r="AE43" s="322" t="str">
        <f>Sizing!GL59</f>
        <v>As-built Facesheet 2 Thickness [in]</v>
      </c>
      <c r="AF43" s="124" t="str">
        <f>Sizing!JC59</f>
        <v>As-Built
Drag Spar
Cap Area 
[in^2]</v>
      </c>
      <c r="AG43" s="124" t="str">
        <f>Sizing!JD59</f>
        <v xml:space="preserve">
 As-Built
Cap Square
Side Length 
[in]</v>
      </c>
      <c r="AH43" s="124" t="str">
        <f>Sizing!JC59</f>
        <v>As-Built
Drag Spar
Cap Area 
[in^2]</v>
      </c>
      <c r="AI43" s="124" t="str">
        <f>Sizing!JD59</f>
        <v xml:space="preserve">
 As-Built
Cap Square
Side Length 
[in]</v>
      </c>
      <c r="AJ43" s="325" t="str">
        <f>Sizing!IT59</f>
        <v>As-Built Aft Web Core Thickness
[in]</v>
      </c>
      <c r="AK43" s="326" t="str">
        <f>Sizing!IU59</f>
        <v>As-built Skin Facesheet 1 Thickness [in]</v>
      </c>
      <c r="AL43" s="327" t="str">
        <f>Sizing!IV59</f>
        <v>As-built Skin Facesheet 2 Thickness [in]</v>
      </c>
      <c r="AM43" s="124" t="s">
        <v>776</v>
      </c>
      <c r="AN43" s="125" t="s">
        <v>770</v>
      </c>
      <c r="AO43" s="125" t="s">
        <v>771</v>
      </c>
      <c r="AP43" s="125" t="s">
        <v>772</v>
      </c>
      <c r="AQ43" s="119" t="s">
        <v>793</v>
      </c>
      <c r="AR43" s="124" t="s">
        <v>777</v>
      </c>
      <c r="AS43" s="544" t="s">
        <v>778</v>
      </c>
      <c r="AT43" s="544" t="s">
        <v>779</v>
      </c>
      <c r="AU43" s="544" t="s">
        <v>780</v>
      </c>
      <c r="AV43" s="119" t="s">
        <v>792</v>
      </c>
      <c r="AW43" s="161" t="s">
        <v>782</v>
      </c>
      <c r="AX43" s="252" t="s">
        <v>785</v>
      </c>
      <c r="AY43" s="252" t="s">
        <v>786</v>
      </c>
      <c r="AZ43" s="252" t="s">
        <v>788</v>
      </c>
      <c r="BA43" s="252" t="s">
        <v>790</v>
      </c>
      <c r="BB43" s="252" t="s">
        <v>791</v>
      </c>
      <c r="BC43" s="124" t="s">
        <v>794</v>
      </c>
      <c r="BD43" s="569" t="s">
        <v>176</v>
      </c>
      <c r="BE43" s="570" t="s">
        <v>613</v>
      </c>
      <c r="BF43" s="570" t="s">
        <v>827</v>
      </c>
      <c r="BG43" s="570" t="s">
        <v>825</v>
      </c>
      <c r="BH43" s="570" t="s">
        <v>826</v>
      </c>
      <c r="BI43" s="570" t="s">
        <v>829</v>
      </c>
      <c r="BJ43" s="570" t="s">
        <v>830</v>
      </c>
      <c r="BK43" s="570" t="s">
        <v>828</v>
      </c>
      <c r="BL43" s="570" t="s">
        <v>831</v>
      </c>
      <c r="BM43" s="570" t="s">
        <v>832</v>
      </c>
      <c r="BN43" s="570" t="s">
        <v>836</v>
      </c>
      <c r="BO43" s="570" t="s">
        <v>837</v>
      </c>
      <c r="BP43" s="570" t="s">
        <v>838</v>
      </c>
      <c r="BQ43" s="570" t="s">
        <v>839</v>
      </c>
      <c r="BR43" s="570" t="s">
        <v>840</v>
      </c>
      <c r="BS43" s="570" t="s">
        <v>844</v>
      </c>
      <c r="BT43" s="570" t="s">
        <v>843</v>
      </c>
      <c r="BU43" s="570" t="s">
        <v>846</v>
      </c>
      <c r="BV43" s="570" t="s">
        <v>841</v>
      </c>
      <c r="BW43" s="570" t="s">
        <v>842</v>
      </c>
      <c r="BX43" s="570" t="s">
        <v>845</v>
      </c>
      <c r="BY43" s="633" t="s">
        <v>847</v>
      </c>
      <c r="BZ43" s="634" t="s">
        <v>841</v>
      </c>
      <c r="CA43" s="634" t="s">
        <v>848</v>
      </c>
      <c r="CB43" s="634" t="s">
        <v>845</v>
      </c>
      <c r="CC43" s="634" t="s">
        <v>847</v>
      </c>
      <c r="CD43" s="634" t="s">
        <v>841</v>
      </c>
      <c r="CE43" s="634" t="s">
        <v>848</v>
      </c>
      <c r="CF43" s="634" t="s">
        <v>845</v>
      </c>
      <c r="CG43" s="634" t="s">
        <v>847</v>
      </c>
      <c r="CH43" s="634" t="s">
        <v>841</v>
      </c>
      <c r="CI43" s="634" t="s">
        <v>848</v>
      </c>
      <c r="CJ43" s="634" t="s">
        <v>845</v>
      </c>
      <c r="CK43" s="634" t="s">
        <v>847</v>
      </c>
      <c r="CL43" s="634" t="s">
        <v>841</v>
      </c>
      <c r="CM43" s="634" t="s">
        <v>848</v>
      </c>
      <c r="CN43" s="634" t="s">
        <v>845</v>
      </c>
      <c r="CO43" s="634" t="s">
        <v>847</v>
      </c>
      <c r="CP43" s="634" t="s">
        <v>841</v>
      </c>
      <c r="CQ43" s="634" t="s">
        <v>848</v>
      </c>
      <c r="CR43" s="634" t="s">
        <v>845</v>
      </c>
      <c r="CS43" s="634" t="s">
        <v>847</v>
      </c>
      <c r="CT43" s="634" t="s">
        <v>841</v>
      </c>
      <c r="CU43" s="634" t="s">
        <v>848</v>
      </c>
      <c r="CV43" s="600" t="s">
        <v>845</v>
      </c>
      <c r="CW43" s="739" t="s">
        <v>928</v>
      </c>
      <c r="CX43" s="741" t="s">
        <v>929</v>
      </c>
    </row>
    <row r="44" spans="1:102" x14ac:dyDescent="0.25">
      <c r="A44" s="180">
        <v>0</v>
      </c>
      <c r="B44" s="181">
        <f>A44/100*'Inputs-Imperial'!$E$5</f>
        <v>0</v>
      </c>
      <c r="C44" s="182">
        <f>'Inputs-Imperial'!$E$10+('Inputs-Imperial'!$E$9-'Inputs-Imperial'!$E$10)*(100-A44)/100</f>
        <v>5.0853020000000004</v>
      </c>
      <c r="D44" s="183">
        <v>0</v>
      </c>
      <c r="E44" s="183">
        <v>0</v>
      </c>
      <c r="F44" s="184">
        <f>Sizing!F60</f>
        <v>970.77706817218188</v>
      </c>
      <c r="G44" s="184">
        <f>Sizing!G60</f>
        <v>9707.7706817218186</v>
      </c>
      <c r="H44" s="184">
        <f>Sizing!H60</f>
        <v>105068.09904309957</v>
      </c>
      <c r="I44" s="184">
        <f>Sizing!I60</f>
        <v>-23217.821192543794</v>
      </c>
      <c r="J44" s="185">
        <f>Sizing!J60</f>
        <v>10506.809904309965</v>
      </c>
      <c r="K44" s="129">
        <v>0</v>
      </c>
      <c r="L44" s="166">
        <f>B44*12</f>
        <v>0</v>
      </c>
      <c r="M44" s="173">
        <f>C44*12</f>
        <v>61.023624000000005</v>
      </c>
      <c r="N44" s="173">
        <f>D44*12</f>
        <v>0</v>
      </c>
      <c r="O44" s="167">
        <f>E44*12*12</f>
        <v>0</v>
      </c>
      <c r="P44" s="202">
        <f t="shared" ref="P44:P75" si="0">M44*$E$17</f>
        <v>10.984252320000001</v>
      </c>
      <c r="Q44" s="130">
        <f t="shared" ref="Q44:Q75" si="1">M44*$E$19</f>
        <v>5.4921261600000006</v>
      </c>
      <c r="R44" s="202">
        <f>Sizing!X60</f>
        <v>15.255906000000001</v>
      </c>
      <c r="S44" s="130">
        <f>Sizing!Y60</f>
        <v>45.767718000000002</v>
      </c>
      <c r="T44" s="130">
        <f>Sizing!Z60</f>
        <v>30.511811999999999</v>
      </c>
      <c r="U44" s="293">
        <f>Sizing!CN60</f>
        <v>2</v>
      </c>
      <c r="V44" s="293">
        <f>Sizing!CO60</f>
        <v>2.3622047244094495E-2</v>
      </c>
      <c r="W44" s="293">
        <f>Sizing!CP60</f>
        <v>2.3622047244094495E-2</v>
      </c>
      <c r="X44" s="202">
        <f>Sizing!DU60</f>
        <v>3.5859228878785925</v>
      </c>
      <c r="Y44" s="202">
        <f>Sizing!DV60</f>
        <v>1.8936533177639967</v>
      </c>
      <c r="Z44" s="202">
        <f>Sizing!DW60</f>
        <v>3.5859228878785925</v>
      </c>
      <c r="AA44" s="195">
        <f>Sizing!DX60</f>
        <v>1.8936533177639967</v>
      </c>
      <c r="AB44" s="195">
        <f>P44-2*(U44+V44+W44)-Y44/2-AA44/2</f>
        <v>4.9961108132596266</v>
      </c>
      <c r="AC44" s="240">
        <f>Sizing!GJ60</f>
        <v>0.75</v>
      </c>
      <c r="AD44" s="240">
        <f>Sizing!GK60</f>
        <v>6.2992125984251982E-2</v>
      </c>
      <c r="AE44" s="293">
        <f>Sizing!GL60</f>
        <v>6.2992125984251982E-2</v>
      </c>
      <c r="AF44" s="202">
        <f>Sizing!JC60</f>
        <v>5.3419963961966015E-2</v>
      </c>
      <c r="AG44" s="195">
        <f>Sizing!JD60</f>
        <v>0.23112759238560421</v>
      </c>
      <c r="AH44" s="202">
        <f>Sizing!JC60</f>
        <v>5.3419963961966015E-2</v>
      </c>
      <c r="AI44" s="195">
        <f>Sizing!JD60</f>
        <v>0.23112759238560421</v>
      </c>
      <c r="AJ44" s="240">
        <f>Sizing!IT60</f>
        <v>0.5</v>
      </c>
      <c r="AK44" s="240">
        <f>Sizing!IU60</f>
        <v>1.5748031496062995E-2</v>
      </c>
      <c r="AL44" s="293">
        <f>Sizing!IV60</f>
        <v>1.5748031496062995E-2</v>
      </c>
      <c r="AM44" s="170">
        <f>(X44*AB44/2-Z44*AB44/2)/(X44+Z44)</f>
        <v>0</v>
      </c>
      <c r="AN44" s="11">
        <f>X44*((AB44/2-AM44)^2)</f>
        <v>22.377165799836703</v>
      </c>
      <c r="AO44" s="11">
        <f>Z44*((AB44/2+AM44)^2)</f>
        <v>22.377165799836703</v>
      </c>
      <c r="AP44" s="11">
        <f>AN44+AO44</f>
        <v>44.754331599673407</v>
      </c>
      <c r="AQ44" s="555">
        <f>AP44*$E$23</f>
        <v>714018662.1208775</v>
      </c>
      <c r="AR44" s="311">
        <f>((X44+Z44)*R44+(AF44+AH44)*S44)/(X44+Z44+AF44+AH44)</f>
        <v>15.703772541793379</v>
      </c>
      <c r="AS44" s="11">
        <f>(X44+Z44)*(AR44-R44)^2</f>
        <v>1.4385606633748187</v>
      </c>
      <c r="AT44" s="11">
        <f>(AF44+AH44)*(S44-AR44)^2</f>
        <v>96.566287691066066</v>
      </c>
      <c r="AU44" s="11">
        <f>AS44+AT44</f>
        <v>98.004848354440881</v>
      </c>
      <c r="AV44" s="555">
        <f>AU44*$E$23</f>
        <v>1563586991.5194535</v>
      </c>
      <c r="AW44" s="138">
        <f>V44+W44</f>
        <v>4.724409448818899E-2</v>
      </c>
      <c r="AX44" s="138">
        <f>AD44+AE44</f>
        <v>0.12598425196850396</v>
      </c>
      <c r="AY44" s="554">
        <f>AK44+AL44</f>
        <v>3.1496062992125991E-2</v>
      </c>
      <c r="AZ44" s="12">
        <f>PI()*S44*P44</f>
        <v>1579.3545360772591</v>
      </c>
      <c r="BA44" s="11">
        <f>PI()*(3*(S44+P44)-SQRT((3*S44+P44)*(S44+3*P44)))</f>
        <v>195.44812987161208</v>
      </c>
      <c r="BB44">
        <f>4*(AZ44^2)*AW44/BA44</f>
        <v>2411.7665401598038</v>
      </c>
      <c r="BC44" s="555">
        <f>BB44*$E$25</f>
        <v>9094742681.7441387</v>
      </c>
      <c r="BD44">
        <f>K44</f>
        <v>0</v>
      </c>
      <c r="BE44" s="207">
        <f>C44</f>
        <v>5.0853020000000004</v>
      </c>
      <c r="BF44" s="207">
        <f>'Inputs-Imperial'!$E$15*BE44</f>
        <v>3.8139765000000003</v>
      </c>
      <c r="BG44" s="207">
        <f>'Inputs-Imperial'!$E$12*BE44</f>
        <v>1.2713255000000001</v>
      </c>
      <c r="BH44">
        <f>'Inputs-Imperial'!$E$11*BE44</f>
        <v>0.91535436000000003</v>
      </c>
      <c r="BI44">
        <f>BH44 /SQRT(1 - ((BG44-BF44/2)/(BF44/2))^2)</f>
        <v>0.97087991271700846</v>
      </c>
      <c r="BJ44">
        <f>'Weight '!U46+'Weight '!V46 /12</f>
        <v>2.5590551181102369E-2</v>
      </c>
      <c r="BK44">
        <f>('Weight '!AK46+'Weight '!AL46)/12</f>
        <v>1.0498687664041996E-2</v>
      </c>
      <c r="BL44">
        <f>'Weight '!AG46/12</f>
        <v>0.15780444314699973</v>
      </c>
      <c r="BM44">
        <f>'Weight '!AI46/12</f>
        <v>0.15780444314699973</v>
      </c>
      <c r="BN44" s="554">
        <f>(SQRT(BH44^2/4+BG44^2/4)/SQRT(1+BF44^2/4+BI44^2/4))*PI()*(BF44/2+BI44/2)*(1+3*((BF44/2-BI44/2)^2)/((BF44/2+BI44/2)^2)/(10+SQRT(4-3*((BF44/2-BI44/2)^2)/((BF44/2+BI44/2)^2))))</f>
        <v>2.9082680220240831</v>
      </c>
      <c r="BO44" s="554">
        <f>PI()*(BF44/2+BI44/2)*(1+3*((BF44/2-BI44/2)^2)/((BF44/2+BI44/2)^2)/(10+SQRT(4-3*((BF44/2-BI44/2)^2)/((BF44/2+BI44/2)^2))))-BN44</f>
        <v>5.2873106526108931</v>
      </c>
      <c r="BP44">
        <f>BL44</f>
        <v>0.15780444314699973</v>
      </c>
      <c r="BQ44">
        <f>BM44</f>
        <v>0.15780444314699973</v>
      </c>
      <c r="BR44">
        <f>BH44-BP44-BQ44</f>
        <v>0.59974547370600062</v>
      </c>
      <c r="BS44">
        <f>3/4*BH44*BG44</f>
        <v>0.87278500455313501</v>
      </c>
      <c r="BT44">
        <f>PI()/4*BF44*BI44-BS44</f>
        <v>2.0354761995040618</v>
      </c>
      <c r="BU44">
        <f>PI()/4*(BF44/2)^3*(BI44/2)</f>
        <v>2.6440487169007989</v>
      </c>
      <c r="BV44">
        <f>$BQ$38/(BP44+BR44+BQ44+BN44)/2</f>
        <v>130.76605115364941</v>
      </c>
      <c r="BW44" s="207">
        <f xml:space="preserve"> ($BQ$38-BV44*($BP44+$BR44+$BQ44+$BN44))/($BP44+$BR44+$BQ44+$BO44)</f>
        <v>80.610511608063533</v>
      </c>
      <c r="BX44">
        <f>2*(BV44*$BS44-BW44*$BT44 )/$BQ$38 + $BF44/2</f>
        <v>1.8070879914869484</v>
      </c>
      <c r="BY44" s="572">
        <f>BV44*(BX44-$BG44/3)+BW44*(-$BF44+BX44+$BG44/3)+(BV44+BW44)*($BG44-BX44)</f>
        <v>-59.972854715002697</v>
      </c>
      <c r="BZ44" s="573">
        <f>BV44-BY44/3</f>
        <v>150.75700272531697</v>
      </c>
      <c r="CA44" s="602">
        <f xml:space="preserve"> ($BQ$38-BZ44*($BP44+$BR44+$BQ44+$BN44))/($BP44+$BR44+$BQ44+$BO44)</f>
        <v>68.2871232400026</v>
      </c>
      <c r="CB44" s="573">
        <f>2*(BZ44*$BS44-CA44*$BT44 )/$BQ$38 + $BF44/2</f>
        <v>1.8921515244448137</v>
      </c>
      <c r="CC44" s="573">
        <f>BZ44*(CB44-$BG44/3)+CA44*(-$BF44+CB44+$BG44/3)+(BZ44-CA44)*(CB44-$BG44)</f>
        <v>170.26995406942902</v>
      </c>
      <c r="CD44" s="573">
        <f>BZ44-CC44/3</f>
        <v>94.000351368840626</v>
      </c>
      <c r="CE44" s="602">
        <f xml:space="preserve"> ($BQ$38-CD44*($BP44+$BR44+$BQ44+$BN44))/($BP44+$BR44+$BQ44+$BO44)</f>
        <v>103.27466521012937</v>
      </c>
      <c r="CF44" s="573">
        <f>2*(CD44*$BS44-CE44*$BT44 )/$BQ$38 + $BF44/2</f>
        <v>1.6506461981009628</v>
      </c>
      <c r="CG44" s="573">
        <f>CD44*(CF44-$BG44/3)+CE44*(-$BF44+CF44+$BG44/3)+(CD44-CE44)*(CF44-$BG44)</f>
        <v>-67.843605367293733</v>
      </c>
      <c r="CH44" s="573">
        <f t="shared" ref="CH44" si="2">CD44-CG44/3</f>
        <v>116.61488649127188</v>
      </c>
      <c r="CI44" s="602">
        <f t="shared" ref="CI44" si="3" xml:space="preserve"> ($BQ$38-CH44*($BP44+$BR44+$BQ44+$BN44))/($BP44+$BR44+$BQ44+$BO44)</f>
        <v>89.333973188652578</v>
      </c>
      <c r="CJ44" s="573">
        <f>2*(CH44*$BS44-CI44*$BT44 )/$BQ$38 + $BF44/2</f>
        <v>1.7468733460092236</v>
      </c>
      <c r="CK44" s="573">
        <f t="shared" ref="CK44" si="4">CH44*(CJ44-$BG44/3)+CI44*(-$BF44+CJ44+$BG44/3)+(CH44-CI44)*(CJ44-$BG44)</f>
        <v>20.46130519929126</v>
      </c>
      <c r="CL44" s="573">
        <f t="shared" ref="CL44" si="5">CH44-CK44/3</f>
        <v>109.79445142484145</v>
      </c>
      <c r="CM44" s="602">
        <f t="shared" ref="CM44" si="6" xml:space="preserve"> ($BQ$38-CL44*($BP44+$BR44+$BQ44+$BN44))/($BP44+$BR44+$BQ44+$BO44)</f>
        <v>93.53841887806567</v>
      </c>
      <c r="CN44" s="573">
        <f>2*(CL44*$BS44-CM44*$BT44 )/$BQ$38 + $BF44/2</f>
        <v>1.7178517008423904</v>
      </c>
      <c r="CO44" s="573">
        <f t="shared" ref="CO44" si="7">CL44*(CN44-$BG44/3)+CM44*(-$BF44+CN44+$BG44/3)+(CL44-CM44)*(CN44-$BG44)</f>
        <v>-7.0877728090513239</v>
      </c>
      <c r="CP44" s="573">
        <f t="shared" ref="CP44" si="8">CL44-CO44/3</f>
        <v>112.1570423611919</v>
      </c>
      <c r="CQ44" s="602">
        <f t="shared" ref="CQ44" si="9" xml:space="preserve"> ($BQ$38-CP44*($BP44+$BR44+$BQ44+$BN44))/($BP44+$BR44+$BQ44+$BO44)</f>
        <v>92.082003681463874</v>
      </c>
      <c r="CR44" s="573">
        <f>2*(CP44*$BS44-CQ44*$BT44 )/$BQ$38 + $BF44/2</f>
        <v>1.727904765663228</v>
      </c>
      <c r="CS44" s="573">
        <f t="shared" ref="CS44" si="10">CP44*(CR44-$BG44/3)+CQ44*(-$BF44+CR44+$BG44/3)+(CP44-CQ44)*(CR44-$BG44)</f>
        <v>2.3655664338092404</v>
      </c>
      <c r="CT44" s="573">
        <f>CP44-CS44/3</f>
        <v>111.36852021658882</v>
      </c>
      <c r="CU44" s="635">
        <f xml:space="preserve"> ($BQ$38-CT44*($BP44+$BR44+$BQ44+$BN44))/($BP44+$BR44+$BQ44+$BO44)</f>
        <v>92.568086827127232</v>
      </c>
      <c r="CV44" s="575">
        <f>2*(CT44*$BS44-CU44*$BT44 )/$BQ$38 + $BF44/2</f>
        <v>1.724549523708137</v>
      </c>
      <c r="CW44">
        <f>CT44*(CV44-$BG44/3)+CU44*(-$BF44+CV44+$BG44/3)+(CT44-CU44)*(CV44-$BG44)</f>
        <v>-0.8000779895248975</v>
      </c>
      <c r="CX44" s="576">
        <f>CV44/BE44</f>
        <v>0.33912430839075769</v>
      </c>
    </row>
    <row r="45" spans="1:102" x14ac:dyDescent="0.25">
      <c r="A45" s="186">
        <v>1</v>
      </c>
      <c r="B45" s="187">
        <f>A45/100*'Inputs-Imperial'!$E$5</f>
        <v>0.24081365599999999</v>
      </c>
      <c r="C45" s="188">
        <f>'Inputs-Imperial'!$E$10+('Inputs-Imperial'!$E$9-'Inputs-Imperial'!$E$10)*(100-A45)/100</f>
        <v>5.0675034430000006</v>
      </c>
      <c r="D45" s="187">
        <f>B45-B44</f>
        <v>0.24081365599999999</v>
      </c>
      <c r="E45" s="188">
        <f>D45*AVERAGE(C44:C45)</f>
        <v>1.222467098692765</v>
      </c>
      <c r="F45" s="423">
        <f>Sizing!F61</f>
        <v>958.72160700659083</v>
      </c>
      <c r="G45" s="423">
        <f>Sizing!G61</f>
        <v>9587.2160700659078</v>
      </c>
      <c r="H45" s="423">
        <f>Sizing!H61</f>
        <v>102730.33529362454</v>
      </c>
      <c r="I45" s="423">
        <f>Sizing!I61</f>
        <v>-22872.738201202657</v>
      </c>
      <c r="J45" s="189">
        <f>Sizing!J61</f>
        <v>10273.033529362461</v>
      </c>
      <c r="K45" s="128">
        <v>1</v>
      </c>
      <c r="L45" s="12">
        <f t="shared" ref="L45:N108" si="11">B45*12</f>
        <v>2.8897638719999996</v>
      </c>
      <c r="M45" s="11">
        <f t="shared" si="11"/>
        <v>60.81004131600001</v>
      </c>
      <c r="N45" s="11">
        <f t="shared" si="11"/>
        <v>2.8897638719999996</v>
      </c>
      <c r="O45" s="152">
        <f>E45*12*12</f>
        <v>176.03526221175815</v>
      </c>
      <c r="P45" s="170">
        <f t="shared" si="0"/>
        <v>10.945807436880001</v>
      </c>
      <c r="Q45" s="8">
        <f t="shared" si="1"/>
        <v>5.4729037184400005</v>
      </c>
      <c r="R45" s="170">
        <f>Sizing!X61</f>
        <v>15.202510329000003</v>
      </c>
      <c r="S45" s="8">
        <f>Sizing!Y61</f>
        <v>45.607530987000004</v>
      </c>
      <c r="T45" s="8">
        <f>Sizing!Z61</f>
        <v>30.405020658000002</v>
      </c>
      <c r="U45" s="17">
        <f>Sizing!CN61</f>
        <v>2</v>
      </c>
      <c r="V45" s="17">
        <f>Sizing!CO61</f>
        <v>2.3622047244094495E-2</v>
      </c>
      <c r="W45" s="17">
        <f>Sizing!CP61</f>
        <v>2.3622047244094495E-2</v>
      </c>
      <c r="X45" s="170">
        <f>Sizing!DU61</f>
        <v>3.5859228878785925</v>
      </c>
      <c r="Y45" s="170">
        <f>Sizing!DV61</f>
        <v>1.8936533177639967</v>
      </c>
      <c r="Z45" s="170">
        <f>Sizing!DW61</f>
        <v>3.5859228878785925</v>
      </c>
      <c r="AA45" s="272">
        <f>Sizing!DX61</f>
        <v>1.8936533177639967</v>
      </c>
      <c r="AB45" s="272">
        <f t="shared" ref="AB45:AB108" si="12">P45-2*(U45+V45+W45)-Y45/2-AA45/2</f>
        <v>4.9576659301396262</v>
      </c>
      <c r="AC45" s="216">
        <f>Sizing!GJ61</f>
        <v>0.75</v>
      </c>
      <c r="AD45" s="216">
        <f>Sizing!GK61</f>
        <v>6.2992125984251982E-2</v>
      </c>
      <c r="AE45" s="17">
        <f>Sizing!GL61</f>
        <v>6.2992125984251982E-2</v>
      </c>
      <c r="AF45" s="170">
        <f>Sizing!JC61</f>
        <v>5.3419963961966015E-2</v>
      </c>
      <c r="AG45" s="272">
        <f>Sizing!JD61</f>
        <v>0.23112759238560421</v>
      </c>
      <c r="AH45" s="170">
        <f>Sizing!JC61</f>
        <v>5.3419963961966015E-2</v>
      </c>
      <c r="AI45" s="272">
        <f>Sizing!JD61</f>
        <v>0.23112759238560421</v>
      </c>
      <c r="AJ45" s="216">
        <f>Sizing!IT61</f>
        <v>0.5</v>
      </c>
      <c r="AK45" s="216">
        <f>Sizing!IU61</f>
        <v>1.5748031496062995E-2</v>
      </c>
      <c r="AL45" s="17">
        <f>Sizing!IV61</f>
        <v>1.5748031496062995E-2</v>
      </c>
      <c r="AM45" s="170">
        <f t="shared" ref="AM45:AM108" si="13">(X45*AB45/2-Z45*AB45/2)/(X45+Z45)</f>
        <v>0</v>
      </c>
      <c r="AN45" s="11">
        <f t="shared" ref="AN45:AN108" si="14">X45*((AB45/2-AM45)^2)</f>
        <v>22.034107923084914</v>
      </c>
      <c r="AO45" s="11">
        <f t="shared" ref="AO45:AO108" si="15">Z45*((AB45/2+AM45)^2)</f>
        <v>22.034107923084914</v>
      </c>
      <c r="AP45" s="11">
        <f t="shared" ref="AP45:AP108" si="16">AN45+AO45</f>
        <v>44.068215846169828</v>
      </c>
      <c r="AQ45" s="555">
        <f t="shared" ref="AQ45:AQ108" si="17">AP45*$E$23</f>
        <v>703072247.88864577</v>
      </c>
      <c r="AR45" s="311">
        <f t="shared" ref="AR45:AR108" si="18">((X45+Z45)*R45+(AF45+AH45)*S45)/(X45+Z45+AF45+AH45)</f>
        <v>15.648809337897104</v>
      </c>
      <c r="AS45" s="11">
        <f t="shared" ref="AS45:AS108" si="19">(X45+Z45)*(AR45-R45)^2</f>
        <v>1.4285083610993259</v>
      </c>
      <c r="AT45" s="11">
        <f t="shared" ref="AT45:AT108" si="20">(AF45+AH45)*(S45-AR45)^2</f>
        <v>95.891506614252791</v>
      </c>
      <c r="AU45" s="11">
        <f t="shared" ref="AU45:AU108" si="21">AS45+AT45</f>
        <v>97.320014975352123</v>
      </c>
      <c r="AV45" s="555">
        <f t="shared" ref="AV45:AV108" si="22">AU45*$E$23</f>
        <v>1552661036.5194633</v>
      </c>
      <c r="AW45" s="138">
        <f t="shared" ref="AW45:AW108" si="23">V45+W45</f>
        <v>4.724409448818899E-2</v>
      </c>
      <c r="AX45" s="138">
        <f t="shared" ref="AX45:AX108" si="24">AD45+AE45</f>
        <v>0.12598425196850396</v>
      </c>
      <c r="AY45" s="554">
        <f t="shared" ref="AY45:AY108" si="25">AK45+AL45</f>
        <v>3.1496062992125991E-2</v>
      </c>
      <c r="AZ45" s="12">
        <f t="shared" ref="AZ45:AZ108" si="26">PI()*S45*P45</f>
        <v>1568.318401417785</v>
      </c>
      <c r="BA45" s="11">
        <f t="shared" ref="BA45:BA108" si="27">PI()*(3*(S45+P45)-SQRT((3*S45+P45)*(S45+3*P45)))</f>
        <v>194.76406141706144</v>
      </c>
      <c r="BB45">
        <f t="shared" ref="BB45:BB108" si="28">4*(AZ45^2)*AW45/BA45</f>
        <v>2386.5315205039856</v>
      </c>
      <c r="BC45" s="555">
        <f t="shared" ref="BC45:BC108" si="29">BB45*$E$25</f>
        <v>8999581725.4422855</v>
      </c>
      <c r="BD45">
        <f t="shared" ref="BD45:BD108" si="30">K45</f>
        <v>1</v>
      </c>
      <c r="BE45" s="207">
        <f t="shared" ref="BE45:BE108" si="31">C45</f>
        <v>5.0675034430000006</v>
      </c>
      <c r="BF45" s="207">
        <f>'Inputs-Imperial'!$E$15*BE45</f>
        <v>3.8006275822500006</v>
      </c>
      <c r="BG45" s="207">
        <f>'Inputs-Imperial'!$E$12*BE45</f>
        <v>1.2668758607500001</v>
      </c>
      <c r="BH45">
        <f>'Inputs-Imperial'!$E$11*BE45</f>
        <v>0.91215061974000011</v>
      </c>
      <c r="BI45">
        <f t="shared" ref="BI45:BI108" si="32">BH45 /SQRT(1 - ((BG45-BF45/2)/(BF45/2))^2)</f>
        <v>0.96748183302249902</v>
      </c>
      <c r="BJ45">
        <f>'Weight '!U47+'Weight '!V47 /12</f>
        <v>2.5590551181102369E-2</v>
      </c>
      <c r="BK45">
        <f>('Weight '!AK47+'Weight '!AL47)/12</f>
        <v>1.0498687664041996E-2</v>
      </c>
      <c r="BL45">
        <f>'Weight '!AG47/12</f>
        <v>0.15780444314699973</v>
      </c>
      <c r="BM45">
        <f>'Weight '!AI47/12</f>
        <v>0.15780444314699973</v>
      </c>
      <c r="BN45" s="554">
        <f t="shared" ref="BN45:BN108" si="33">(SQRT(BH45^2/4+BG45^2/4)/SQRT(1+BF45^2/4+BI45^2/4))*PI()*(BF45/2+BI45/2)*(1+3*((BF45/2-BI45/2)^2)/((BF45/2+BI45/2)^2)/(10+SQRT(4-3*((BF45/2-BI45/2)^2)/((BF45/2+BI45/2)^2))))</f>
        <v>2.8959985161582162</v>
      </c>
      <c r="BO45" s="554">
        <f t="shared" ref="BO45:BO108" si="34">PI()*(BF45/2+BI45/2)*(1+3*((BF45/2-BI45/2)^2)/((BF45/2+BI45/2)^2)/(10+SQRT(4-3*((BF45/2-BI45/2)^2)/((BF45/2+BI45/2)^2))))-BN45</f>
        <v>5.2708956331155372</v>
      </c>
      <c r="BP45">
        <f t="shared" ref="BP45:BQ108" si="35">BL45</f>
        <v>0.15780444314699973</v>
      </c>
      <c r="BQ45">
        <f t="shared" si="35"/>
        <v>0.15780444314699973</v>
      </c>
      <c r="BR45">
        <f t="shared" ref="BR45:BR108" si="36">BH45-BP45-BQ45</f>
        <v>0.5965417334460007</v>
      </c>
      <c r="BS45">
        <f t="shared" ref="BS45:BS108" si="37">3/4*BH45*BG45</f>
        <v>0.866686201137569</v>
      </c>
      <c r="BT45">
        <f t="shared" ref="BT45:BT108" si="38">PI()/4*BF45*BI45-BS45</f>
        <v>2.0212528006909776</v>
      </c>
      <c r="BU45">
        <f t="shared" ref="BU45:BU108" si="39">PI()/4*(BF45/2)^3*(BI45/2)</f>
        <v>2.6072259193872984</v>
      </c>
      <c r="BV45">
        <f t="shared" ref="BV45:BV108" si="40">$BQ$38/(BP45+BR45+BQ45+BN45)/2</f>
        <v>131.29737889901901</v>
      </c>
      <c r="BW45" s="207">
        <f t="shared" ref="BW45:BW108" si="41" xml:space="preserve"> ($BQ$38-BV45*($BP45+$BR45+$BQ45+$BN45))/($BP45+$BR45+$BQ45+$BO45)</f>
        <v>80.86628816161344</v>
      </c>
      <c r="BX45">
        <f t="shared" ref="BX45:BX108" si="42">2*(BV45*$BS45-BW45*$BT45 )/$BQ$38 + $BF45/2</f>
        <v>1.8009986213433322</v>
      </c>
      <c r="BY45" s="575">
        <f t="shared" ref="BY45:BY108" si="43">BV45*(BX45-$BG45/3)+BW45*(-$BF45+BX45+$BG45/3)+(BV45+BW45)*($BG45-BX45)</f>
        <v>-59.854260762726909</v>
      </c>
      <c r="BZ45">
        <f t="shared" ref="BZ45:BZ108" si="44">BV45-BY45/3</f>
        <v>151.2487991532613</v>
      </c>
      <c r="CA45" s="207">
        <f t="shared" ref="CA45:CA108" si="45" xml:space="preserve"> ($BQ$38-BZ45*($BP45+$BR45+$BQ45+$BN45))/($BP45+$BR45+$BQ45+$BO45)</f>
        <v>68.578173097611483</v>
      </c>
      <c r="CB45">
        <f t="shared" ref="CB45:CB108" si="46">2*(BZ45*$BS45-CA45*$BT45 )/$BQ$38 + $BF45/2</f>
        <v>1.8852566365748831</v>
      </c>
      <c r="CC45">
        <f t="shared" ref="CC45:CC108" si="47">BZ45*(CB45-$BG45/3)+CA45*(-$BF45+CB45+$BG45/3)+(BZ45-CA45)*(CB45-$BG45)</f>
        <v>170.00094781624733</v>
      </c>
      <c r="CD45">
        <f t="shared" ref="CD45:CD108" si="48">BZ45-CC45/3</f>
        <v>94.581816547845534</v>
      </c>
      <c r="CE45" s="207">
        <f t="shared" ref="CE45:CE108" si="49" xml:space="preserve"> ($BQ$38-CD45*($BP45+$BR45+$BQ45+$BN45))/($BP45+$BR45+$BQ45+$BO45)</f>
        <v>103.47946802858687</v>
      </c>
      <c r="CF45">
        <f t="shared" ref="CF45:CF108" si="50">2*(CD45*$BS45-CE45*$BT45 )/$BQ$38 + $BF45/2</f>
        <v>1.6459429725524983</v>
      </c>
      <c r="CG45">
        <f t="shared" ref="CG45:CG108" si="51">CD45*(CF45-$BG45/3)+CE45*(-$BF45+CF45+$BG45/3)+(CD45-CE45)*(CF45-$BG45)</f>
        <v>-66.904741325228841</v>
      </c>
      <c r="CH45">
        <f t="shared" ref="CH45:CH108" si="52">CD45-CG45/3</f>
        <v>116.88339698958848</v>
      </c>
      <c r="CI45" s="207">
        <f t="shared" ref="CI45" si="53" xml:space="preserve"> ($BQ$38-CH45*($BP45+$BR45+$BQ45+$BN45))/($BP45+$BR45+$BQ45+$BO45)</f>
        <v>89.743885143505679</v>
      </c>
      <c r="CJ45">
        <f t="shared" ref="CJ45:CJ108" si="54">2*(CH45*$BS45-CI45*$BT45 )/$BQ$38 + $BF45/2</f>
        <v>1.7401260873685214</v>
      </c>
      <c r="CK45">
        <f t="shared" ref="CK45:CK108" si="55">CH45*(CJ45-$BG45/3)+CI45*(-$BF45+CJ45+$BG45/3)+(CH45-CI45)*(CJ45-$BG45)</f>
        <v>19.857421441863359</v>
      </c>
      <c r="CL45">
        <f t="shared" ref="CL45:CL108" si="56">CH45-CK45/3</f>
        <v>110.26425650896735</v>
      </c>
      <c r="CM45" s="207">
        <f t="shared" ref="CM45" si="57" xml:space="preserve"> ($BQ$38-CL45*($BP45+$BR45+$BQ45+$BN45))/($BP45+$BR45+$BQ45+$BO45)</f>
        <v>93.820625486508106</v>
      </c>
      <c r="CN45">
        <f t="shared" ref="CN45:CN108" si="58">2*(CL45*$BS45-CM45*$BT45 )/$BQ$38 + $BF45/2</f>
        <v>1.7121724062606634</v>
      </c>
      <c r="CO45">
        <f t="shared" ref="CO45:CO108" si="59">CL45*(CN45-$BG45/3)+CM45*(-$BF45+CN45+$BG45/3)+(CL45-CM45)*(CN45-$BG45)</f>
        <v>-6.770474498878106</v>
      </c>
      <c r="CP45">
        <f t="shared" ref="CP45:CP108" si="60">CL45-CO45/3</f>
        <v>112.52108134192672</v>
      </c>
      <c r="CQ45" s="207">
        <f t="shared" ref="CQ45" si="61" xml:space="preserve"> ($BQ$38-CP45*($BP45+$BR45+$BQ45+$BN45))/($BP45+$BR45+$BQ45+$BO45)</f>
        <v>92.430643075566465</v>
      </c>
      <c r="CR45">
        <f t="shared" ref="CR45:CR108" si="62">2*(CP45*$BS45-CQ45*$BT45 )/$BQ$38 + $BF45/2</f>
        <v>1.7217033358249383</v>
      </c>
      <c r="CS45">
        <f t="shared" ref="CS45:CS108" si="63">CP45*(CR45-$BG45/3)+CQ45*(-$BF45+CR45+$BG45/3)+(CP45-CQ45)*(CR45-$BG45)</f>
        <v>2.2252689805594432</v>
      </c>
      <c r="CT45">
        <f t="shared" ref="CT45:CT108" si="64">CP45-CS45/3</f>
        <v>111.77932501507357</v>
      </c>
      <c r="CU45" s="636">
        <f t="shared" ref="CU45:CU108" si="65" xml:space="preserve"> ($BQ$38-CT45*($BP45+$BR45+$BQ45+$BN45))/($BP45+$BR45+$BQ45+$BO45)</f>
        <v>92.887492110756568</v>
      </c>
      <c r="CV45" s="575">
        <f t="shared" ref="CV45:CV108" si="66">2*(CT45*$BS45-CU45*$BT45 )/$BQ$38 + $BF45/2</f>
        <v>1.7185707810950162</v>
      </c>
      <c r="CW45">
        <f t="shared" ref="CW45:CW108" si="67">CT45*(CV45-$BG45/3)+CU45*(-$BF45+CV45+$BG45/3)+(CT45-CU45)*(CV45-$BG45)</f>
        <v>-0.74087685504916045</v>
      </c>
      <c r="CX45" s="576">
        <f t="shared" ref="CX45:CX108" si="68">CV45/BE45</f>
        <v>0.33913559219559392</v>
      </c>
    </row>
    <row r="46" spans="1:102" x14ac:dyDescent="0.25">
      <c r="A46" s="186">
        <v>2</v>
      </c>
      <c r="B46" s="187">
        <f>A46/100*'Inputs-Imperial'!$E$5</f>
        <v>0.48162731199999997</v>
      </c>
      <c r="C46" s="188">
        <f>'Inputs-Imperial'!$E$10+('Inputs-Imperial'!$E$9-'Inputs-Imperial'!$E$10)*(100-A46)/100</f>
        <v>5.0497048860000007</v>
      </c>
      <c r="D46" s="187">
        <f t="shared" ref="D46:D109" si="69">B46-B45</f>
        <v>0.24081365599999999</v>
      </c>
      <c r="E46" s="188">
        <f t="shared" ref="E46:E109" si="70">D46*AVERAGE(C45:C46)</f>
        <v>1.2181809631100704</v>
      </c>
      <c r="F46" s="423">
        <f>Sizing!F62</f>
        <v>946.68736012885097</v>
      </c>
      <c r="G46" s="423">
        <f>Sizing!G62</f>
        <v>9466.8736012885092</v>
      </c>
      <c r="H46" s="423">
        <f>Sizing!H62</f>
        <v>100421.60274093001</v>
      </c>
      <c r="I46" s="423">
        <f>Sizing!I62</f>
        <v>-22528.878009685948</v>
      </c>
      <c r="J46" s="189">
        <f>Sizing!J62</f>
        <v>10042.160274093008</v>
      </c>
      <c r="K46" s="128">
        <v>2</v>
      </c>
      <c r="L46" s="12">
        <f t="shared" si="11"/>
        <v>5.7795277439999992</v>
      </c>
      <c r="M46" s="11">
        <f t="shared" si="11"/>
        <v>60.596458632000008</v>
      </c>
      <c r="N46" s="11">
        <f t="shared" si="11"/>
        <v>2.8897638719999996</v>
      </c>
      <c r="O46" s="152">
        <f t="shared" ref="O46:O109" si="71">E46*12*12</f>
        <v>175.41805868785013</v>
      </c>
      <c r="P46" s="170">
        <f t="shared" si="0"/>
        <v>10.907362553760001</v>
      </c>
      <c r="Q46" s="8">
        <f t="shared" si="1"/>
        <v>5.4536812768800003</v>
      </c>
      <c r="R46" s="170">
        <f>Sizing!X62</f>
        <v>15.149114658000002</v>
      </c>
      <c r="S46" s="8">
        <f>Sizing!Y62</f>
        <v>45.447343974000006</v>
      </c>
      <c r="T46" s="8">
        <f>Sizing!Z62</f>
        <v>30.298229316000004</v>
      </c>
      <c r="U46" s="17">
        <f>Sizing!CN62</f>
        <v>2</v>
      </c>
      <c r="V46" s="17">
        <f>Sizing!CO62</f>
        <v>2.3622047244094495E-2</v>
      </c>
      <c r="W46" s="17">
        <f>Sizing!CP62</f>
        <v>2.3622047244094495E-2</v>
      </c>
      <c r="X46" s="170">
        <f>Sizing!DU62</f>
        <v>3.5859228878785925</v>
      </c>
      <c r="Y46" s="170">
        <f>Sizing!DV62</f>
        <v>1.8936533177639967</v>
      </c>
      <c r="Z46" s="170">
        <f>Sizing!DW62</f>
        <v>3.5859228878785925</v>
      </c>
      <c r="AA46" s="272">
        <f>Sizing!DX62</f>
        <v>1.8936533177639967</v>
      </c>
      <c r="AB46" s="272">
        <f t="shared" si="12"/>
        <v>4.9192210470196258</v>
      </c>
      <c r="AC46" s="216">
        <f>Sizing!GJ62</f>
        <v>0.75</v>
      </c>
      <c r="AD46" s="216">
        <f>Sizing!GK62</f>
        <v>6.2992125984251982E-2</v>
      </c>
      <c r="AE46" s="17">
        <f>Sizing!GL62</f>
        <v>6.2992125984251982E-2</v>
      </c>
      <c r="AF46" s="170">
        <f>Sizing!JC62</f>
        <v>5.3419963961966015E-2</v>
      </c>
      <c r="AG46" s="272">
        <f>Sizing!JD62</f>
        <v>0.23112759238560421</v>
      </c>
      <c r="AH46" s="170">
        <f>Sizing!JC62</f>
        <v>5.3419963961966015E-2</v>
      </c>
      <c r="AI46" s="272">
        <f>Sizing!JD62</f>
        <v>0.23112759238560421</v>
      </c>
      <c r="AJ46" s="216">
        <f>Sizing!IT62</f>
        <v>0.5</v>
      </c>
      <c r="AK46" s="216">
        <f>Sizing!IU62</f>
        <v>1.5748031496062995E-2</v>
      </c>
      <c r="AL46" s="17">
        <f>Sizing!IV62</f>
        <v>1.5748031496062995E-2</v>
      </c>
      <c r="AM46" s="170">
        <f t="shared" si="13"/>
        <v>0</v>
      </c>
      <c r="AN46" s="11">
        <f t="shared" si="14"/>
        <v>21.693700059552253</v>
      </c>
      <c r="AO46" s="11">
        <f t="shared" si="15"/>
        <v>21.693700059552253</v>
      </c>
      <c r="AP46" s="11">
        <f t="shared" si="16"/>
        <v>43.387400119104505</v>
      </c>
      <c r="AQ46" s="555">
        <f t="shared" si="17"/>
        <v>692210391.23221469</v>
      </c>
      <c r="AR46" s="311">
        <f t="shared" si="18"/>
        <v>15.593846134000826</v>
      </c>
      <c r="AS46" s="11">
        <f t="shared" si="19"/>
        <v>1.4184913035600746</v>
      </c>
      <c r="AT46" s="11">
        <f t="shared" si="20"/>
        <v>95.219091411488009</v>
      </c>
      <c r="AU46" s="11">
        <f t="shared" si="21"/>
        <v>96.637582715048083</v>
      </c>
      <c r="AV46" s="555">
        <f t="shared" si="22"/>
        <v>1541773389.4007659</v>
      </c>
      <c r="AW46" s="138">
        <f t="shared" si="23"/>
        <v>4.724409448818899E-2</v>
      </c>
      <c r="AX46" s="138">
        <f t="shared" si="24"/>
        <v>0.12598425196850396</v>
      </c>
      <c r="AY46" s="554">
        <f t="shared" si="25"/>
        <v>3.1496062992125991E-2</v>
      </c>
      <c r="AZ46" s="12">
        <f t="shared" si="26"/>
        <v>1557.320960944445</v>
      </c>
      <c r="BA46" s="11">
        <f t="shared" si="27"/>
        <v>194.07999296251074</v>
      </c>
      <c r="BB46">
        <f t="shared" si="28"/>
        <v>2361.473145261928</v>
      </c>
      <c r="BC46" s="555">
        <f t="shared" si="29"/>
        <v>8905086893.1049881</v>
      </c>
      <c r="BD46">
        <f t="shared" si="30"/>
        <v>2</v>
      </c>
      <c r="BE46" s="207">
        <f t="shared" si="31"/>
        <v>5.0497048860000007</v>
      </c>
      <c r="BF46" s="207">
        <f>'Inputs-Imperial'!$E$15*BE46</f>
        <v>3.7872786645000005</v>
      </c>
      <c r="BG46" s="207">
        <f>'Inputs-Imperial'!$E$12*BE46</f>
        <v>1.2624262215000002</v>
      </c>
      <c r="BH46">
        <f>'Inputs-Imperial'!$E$11*BE46</f>
        <v>0.90894687948000008</v>
      </c>
      <c r="BI46">
        <f t="shared" si="32"/>
        <v>0.96408375332798946</v>
      </c>
      <c r="BJ46">
        <f>'Weight '!U48+'Weight '!V48 /12</f>
        <v>2.5590551181102369E-2</v>
      </c>
      <c r="BK46">
        <f>('Weight '!AK48+'Weight '!AL48)/12</f>
        <v>1.0498687664041996E-2</v>
      </c>
      <c r="BL46">
        <f>'Weight '!AG48/12</f>
        <v>0.15780444314699973</v>
      </c>
      <c r="BM46">
        <f>'Weight '!AI48/12</f>
        <v>0.15780444314699973</v>
      </c>
      <c r="BN46" s="554">
        <f t="shared" si="33"/>
        <v>2.8837262023066912</v>
      </c>
      <c r="BO46" s="554">
        <f t="shared" si="34"/>
        <v>5.2544834216058405</v>
      </c>
      <c r="BP46">
        <f t="shared" si="35"/>
        <v>0.15780444314699973</v>
      </c>
      <c r="BQ46">
        <f t="shared" si="35"/>
        <v>0.15780444314699973</v>
      </c>
      <c r="BR46">
        <f t="shared" si="36"/>
        <v>0.59333799318600067</v>
      </c>
      <c r="BS46">
        <f t="shared" si="37"/>
        <v>0.86060878095461435</v>
      </c>
      <c r="BT46">
        <f t="shared" si="38"/>
        <v>2.0070792710447809</v>
      </c>
      <c r="BU46">
        <f t="shared" si="39"/>
        <v>2.5707890818638672</v>
      </c>
      <c r="BV46">
        <f t="shared" si="40"/>
        <v>131.83313963998575</v>
      </c>
      <c r="BW46" s="207">
        <f t="shared" si="41"/>
        <v>81.12365607702462</v>
      </c>
      <c r="BX46">
        <f t="shared" si="42"/>
        <v>1.7949096304328513</v>
      </c>
      <c r="BY46" s="575">
        <f t="shared" si="43"/>
        <v>-59.734642796513455</v>
      </c>
      <c r="BZ46">
        <f t="shared" si="44"/>
        <v>151.74468723882356</v>
      </c>
      <c r="CA46" s="207">
        <f t="shared" si="45"/>
        <v>68.871065083739239</v>
      </c>
      <c r="CB46">
        <f t="shared" si="46"/>
        <v>1.8783655786431885</v>
      </c>
      <c r="CC46">
        <f t="shared" si="47"/>
        <v>169.73430087071267</v>
      </c>
      <c r="CD46">
        <f t="shared" si="48"/>
        <v>95.166586948586001</v>
      </c>
      <c r="CE46" s="207">
        <f t="shared" si="49"/>
        <v>103.68645643352181</v>
      </c>
      <c r="CF46">
        <f t="shared" si="50"/>
        <v>1.6412278582212494</v>
      </c>
      <c r="CG46">
        <f t="shared" si="51"/>
        <v>-65.968454715856865</v>
      </c>
      <c r="CH46">
        <f t="shared" si="52"/>
        <v>117.15607185387162</v>
      </c>
      <c r="CI46" s="207">
        <f t="shared" ref="CI46" si="72" xml:space="preserve"> ($BQ$38-CH46*($BP46+$BR46+$BQ46+$BN46))/($BP46+$BR46+$BQ46+$BO46)</f>
        <v>90.155204612934384</v>
      </c>
      <c r="CJ46">
        <f t="shared" si="54"/>
        <v>1.7333931358983408</v>
      </c>
      <c r="CK46">
        <f t="shared" si="55"/>
        <v>19.263374892163277</v>
      </c>
      <c r="CL46">
        <f t="shared" si="56"/>
        <v>110.73494688981719</v>
      </c>
      <c r="CM46" s="207">
        <f t="shared" ref="CM46" si="73" xml:space="preserve"> ($BQ$38-CL46*($BP46+$BR46+$BQ46+$BN46))/($BP46+$BR46+$BQ46+$BO46)</f>
        <v>94.106450366726264</v>
      </c>
      <c r="CN46">
        <f t="shared" si="58"/>
        <v>1.7064800559485178</v>
      </c>
      <c r="CO46">
        <f t="shared" si="59"/>
        <v>-6.4630616509099319</v>
      </c>
      <c r="CP46">
        <f t="shared" si="60"/>
        <v>112.88930077345384</v>
      </c>
      <c r="CQ46" s="207">
        <f t="shared" ref="CQ46" si="74" xml:space="preserve"> ($BQ$38-CP46*($BP46+$BR46+$BQ46+$BN46))/($BP46+$BR46+$BQ46+$BO46)</f>
        <v>92.78076652121058</v>
      </c>
      <c r="CR46">
        <f t="shared" si="62"/>
        <v>1.7155096728201875</v>
      </c>
      <c r="CS46">
        <f t="shared" si="63"/>
        <v>2.0913694598479342</v>
      </c>
      <c r="CT46">
        <f t="shared" si="64"/>
        <v>112.19217762017119</v>
      </c>
      <c r="CU46" s="636">
        <f t="shared" si="65"/>
        <v>93.209741960046898</v>
      </c>
      <c r="CV46" s="575">
        <f t="shared" si="66"/>
        <v>1.7125877967837924</v>
      </c>
      <c r="CW46">
        <f t="shared" si="67"/>
        <v>-0.6852578420630806</v>
      </c>
      <c r="CX46" s="576">
        <f t="shared" si="68"/>
        <v>0.33914611555456198</v>
      </c>
    </row>
    <row r="47" spans="1:102" x14ac:dyDescent="0.25">
      <c r="A47" s="186">
        <v>3</v>
      </c>
      <c r="B47" s="187">
        <f>A47/100*'Inputs-Imperial'!$E$5</f>
        <v>0.72244096799999991</v>
      </c>
      <c r="C47" s="188">
        <f>'Inputs-Imperial'!$E$10+('Inputs-Imperial'!$E$9-'Inputs-Imperial'!$E$10)*(100-A47)/100</f>
        <v>5.0319063289999999</v>
      </c>
      <c r="D47" s="187">
        <f t="shared" si="69"/>
        <v>0.24081365599999993</v>
      </c>
      <c r="E47" s="188">
        <f t="shared" si="70"/>
        <v>1.2138948275273758</v>
      </c>
      <c r="F47" s="423">
        <f>Sizing!F63</f>
        <v>934.67494591787545</v>
      </c>
      <c r="G47" s="423">
        <f>Sizing!G63</f>
        <v>9346.7494591787545</v>
      </c>
      <c r="H47" s="423">
        <f>Sizing!H63</f>
        <v>98141.850298113844</v>
      </c>
      <c r="I47" s="423">
        <f>Sizing!I63</f>
        <v>-22186.273742318499</v>
      </c>
      <c r="J47" s="189">
        <f>Sizing!J63</f>
        <v>9814.1850298113914</v>
      </c>
      <c r="K47" s="128">
        <v>3</v>
      </c>
      <c r="L47" s="12">
        <f t="shared" si="11"/>
        <v>8.6692916159999989</v>
      </c>
      <c r="M47" s="11">
        <f t="shared" si="11"/>
        <v>60.382875947999999</v>
      </c>
      <c r="N47" s="11">
        <f t="shared" si="11"/>
        <v>2.8897638719999992</v>
      </c>
      <c r="O47" s="152">
        <f t="shared" si="71"/>
        <v>174.80085516394212</v>
      </c>
      <c r="P47" s="170">
        <f t="shared" si="0"/>
        <v>10.86891767064</v>
      </c>
      <c r="Q47" s="8">
        <f t="shared" si="1"/>
        <v>5.4344588353200001</v>
      </c>
      <c r="R47" s="170">
        <f>Sizing!X63</f>
        <v>15.095718987</v>
      </c>
      <c r="S47" s="8">
        <f>Sizing!Y63</f>
        <v>45.287156961000001</v>
      </c>
      <c r="T47" s="8">
        <f>Sizing!Z63</f>
        <v>30.191437974000003</v>
      </c>
      <c r="U47" s="17">
        <f>Sizing!CN63</f>
        <v>2</v>
      </c>
      <c r="V47" s="17">
        <f>Sizing!CO63</f>
        <v>2.3622047244094495E-2</v>
      </c>
      <c r="W47" s="17">
        <f>Sizing!CP63</f>
        <v>2.3622047244094495E-2</v>
      </c>
      <c r="X47" s="170">
        <f>Sizing!DU63</f>
        <v>3.5859228878785925</v>
      </c>
      <c r="Y47" s="170">
        <f>Sizing!DV63</f>
        <v>1.8936533177639967</v>
      </c>
      <c r="Z47" s="170">
        <f>Sizing!DW63</f>
        <v>3.5859228878785925</v>
      </c>
      <c r="AA47" s="272">
        <f>Sizing!DX63</f>
        <v>1.8936533177639967</v>
      </c>
      <c r="AB47" s="272">
        <f t="shared" si="12"/>
        <v>4.8807761638996254</v>
      </c>
      <c r="AC47" s="216">
        <f>Sizing!GJ63</f>
        <v>0.75</v>
      </c>
      <c r="AD47" s="216">
        <f>Sizing!GK63</f>
        <v>6.2992125984251982E-2</v>
      </c>
      <c r="AE47" s="17">
        <f>Sizing!GL63</f>
        <v>6.2992125984251982E-2</v>
      </c>
      <c r="AF47" s="170">
        <f>Sizing!JC63</f>
        <v>5.3419963961966015E-2</v>
      </c>
      <c r="AG47" s="272">
        <f>Sizing!JD63</f>
        <v>0.23112759238560421</v>
      </c>
      <c r="AH47" s="170">
        <f>Sizing!JC63</f>
        <v>5.3419963961966015E-2</v>
      </c>
      <c r="AI47" s="272">
        <f>Sizing!JD63</f>
        <v>0.23112759238560421</v>
      </c>
      <c r="AJ47" s="216">
        <f>Sizing!IT63</f>
        <v>0.5</v>
      </c>
      <c r="AK47" s="216">
        <f>Sizing!IU63</f>
        <v>1.5748031496062995E-2</v>
      </c>
      <c r="AL47" s="17">
        <f>Sizing!IV63</f>
        <v>1.5748031496062995E-2</v>
      </c>
      <c r="AM47" s="170">
        <f t="shared" si="13"/>
        <v>0</v>
      </c>
      <c r="AN47" s="11">
        <f t="shared" si="14"/>
        <v>21.355942209238712</v>
      </c>
      <c r="AO47" s="11">
        <f t="shared" si="15"/>
        <v>21.355942209238712</v>
      </c>
      <c r="AP47" s="11">
        <f t="shared" si="16"/>
        <v>42.711884418477425</v>
      </c>
      <c r="AQ47" s="555">
        <f t="shared" si="17"/>
        <v>681433092.15158415</v>
      </c>
      <c r="AR47" s="311">
        <f t="shared" si="18"/>
        <v>15.538882930104547</v>
      </c>
      <c r="AS47" s="11">
        <f t="shared" si="19"/>
        <v>1.408509490757087</v>
      </c>
      <c r="AT47" s="11">
        <f t="shared" si="20"/>
        <v>94.549042082771592</v>
      </c>
      <c r="AU47" s="11">
        <f t="shared" si="21"/>
        <v>95.957551573528676</v>
      </c>
      <c r="AV47" s="555">
        <f t="shared" si="22"/>
        <v>1530924050.1633596</v>
      </c>
      <c r="AW47" s="138">
        <f t="shared" si="23"/>
        <v>4.724409448818899E-2</v>
      </c>
      <c r="AX47" s="138">
        <f t="shared" si="24"/>
        <v>0.12598425196850396</v>
      </c>
      <c r="AY47" s="554">
        <f t="shared" si="25"/>
        <v>3.1496062992125991E-2</v>
      </c>
      <c r="AZ47" s="12">
        <f t="shared" si="26"/>
        <v>1546.3622146572388</v>
      </c>
      <c r="BA47" s="11">
        <f t="shared" si="27"/>
        <v>193.3959245079601</v>
      </c>
      <c r="BB47">
        <f t="shared" si="28"/>
        <v>2336.5907940066863</v>
      </c>
      <c r="BC47" s="555">
        <f t="shared" si="29"/>
        <v>8811255845.1096878</v>
      </c>
      <c r="BD47">
        <f t="shared" si="30"/>
        <v>3</v>
      </c>
      <c r="BE47" s="207">
        <f t="shared" si="31"/>
        <v>5.0319063289999999</v>
      </c>
      <c r="BF47" s="207">
        <f>'Inputs-Imperial'!$E$15*BE47</f>
        <v>3.7739297467499999</v>
      </c>
      <c r="BG47" s="207">
        <f>'Inputs-Imperial'!$E$12*BE47</f>
        <v>1.25797658225</v>
      </c>
      <c r="BH47">
        <f>'Inputs-Imperial'!$E$11*BE47</f>
        <v>0.90574313921999994</v>
      </c>
      <c r="BI47">
        <f t="shared" si="32"/>
        <v>0.96068567363347968</v>
      </c>
      <c r="BJ47">
        <f>'Weight '!U49+'Weight '!V49 /12</f>
        <v>2.5590551181102369E-2</v>
      </c>
      <c r="BK47">
        <f>('Weight '!AK49+'Weight '!AL49)/12</f>
        <v>1.0498687664041996E-2</v>
      </c>
      <c r="BL47">
        <f>'Weight '!AG49/12</f>
        <v>0.15780444314699973</v>
      </c>
      <c r="BM47">
        <f>'Weight '!AI49/12</f>
        <v>0.15780444314699973</v>
      </c>
      <c r="BN47" s="554">
        <f t="shared" si="33"/>
        <v>2.8714510826296782</v>
      </c>
      <c r="BO47" s="554">
        <f t="shared" si="34"/>
        <v>5.2380740159216295</v>
      </c>
      <c r="BP47">
        <f t="shared" si="35"/>
        <v>0.15780444314699973</v>
      </c>
      <c r="BQ47">
        <f t="shared" si="35"/>
        <v>0.15780444314699973</v>
      </c>
      <c r="BR47">
        <f t="shared" si="36"/>
        <v>0.59013425292600052</v>
      </c>
      <c r="BS47">
        <f t="shared" si="37"/>
        <v>0.85455274400427095</v>
      </c>
      <c r="BT47">
        <f t="shared" si="38"/>
        <v>1.9929556105654713</v>
      </c>
      <c r="BU47">
        <f t="shared" si="39"/>
        <v>2.534735497888188</v>
      </c>
      <c r="BV47">
        <f t="shared" si="40"/>
        <v>132.37338898478774</v>
      </c>
      <c r="BW47" s="207">
        <f t="shared" si="41"/>
        <v>81.382630272706052</v>
      </c>
      <c r="BX47">
        <f t="shared" si="42"/>
        <v>1.7888210197460603</v>
      </c>
      <c r="BY47" s="575">
        <f t="shared" si="43"/>
        <v>-59.613989504334867</v>
      </c>
      <c r="BZ47">
        <f t="shared" si="44"/>
        <v>152.24471881956603</v>
      </c>
      <c r="CA47" s="207">
        <f t="shared" si="45"/>
        <v>69.16581614281624</v>
      </c>
      <c r="CB47">
        <f t="shared" si="46"/>
        <v>1.8714783551475067</v>
      </c>
      <c r="CC47">
        <f t="shared" si="47"/>
        <v>169.47004218455254</v>
      </c>
      <c r="CD47">
        <f t="shared" si="48"/>
        <v>95.754704758048518</v>
      </c>
      <c r="CE47" s="207">
        <f t="shared" si="49"/>
        <v>103.8956509209888</v>
      </c>
      <c r="CF47">
        <f t="shared" si="50"/>
        <v>1.6365009239469457</v>
      </c>
      <c r="CG47">
        <f t="shared" si="51"/>
        <v>-65.034735777264359</v>
      </c>
      <c r="CH47">
        <f t="shared" si="52"/>
        <v>117.43295001713663</v>
      </c>
      <c r="CI47" s="207">
        <f t="shared" ref="CI47" si="75" xml:space="preserve"> ($BQ$38-CH47*($BP47+$BR47+$BQ47+$BN47))/($BP47+$BR47+$BQ47+$BO47)</f>
        <v>90.567952412913627</v>
      </c>
      <c r="CJ47">
        <f t="shared" si="54"/>
        <v>1.7266743549248353</v>
      </c>
      <c r="CK47">
        <f t="shared" si="55"/>
        <v>18.679119564433314</v>
      </c>
      <c r="CL47">
        <f t="shared" si="56"/>
        <v>111.2065768289922</v>
      </c>
      <c r="CM47" s="207">
        <f t="shared" ref="CM47" si="76" xml:space="preserve"> ($BQ$38-CL47*($BP47+$BR47+$BQ47+$BN47))/($BP47+$BR47+$BQ47+$BO47)</f>
        <v>94.395901753765514</v>
      </c>
      <c r="CN47">
        <f t="shared" si="58"/>
        <v>1.7007749601069662</v>
      </c>
      <c r="CO47">
        <f t="shared" si="59"/>
        <v>-6.1653598285018152</v>
      </c>
      <c r="CP47">
        <f t="shared" si="60"/>
        <v>113.26169677182614</v>
      </c>
      <c r="CQ47" s="207">
        <f t="shared" ref="CQ47" si="77" xml:space="preserve"> ($BQ$38-CP47*($BP47+$BR47+$BQ47+$BN47))/($BP47+$BR47+$BQ47+$BO47)</f>
        <v>93.13242223000006</v>
      </c>
      <c r="CR47">
        <f t="shared" si="62"/>
        <v>1.7093234940912252</v>
      </c>
      <c r="CS47">
        <f t="shared" si="63"/>
        <v>1.9636652496947988</v>
      </c>
      <c r="CT47">
        <f t="shared" si="64"/>
        <v>112.60714168859454</v>
      </c>
      <c r="CU47" s="636">
        <f t="shared" si="65"/>
        <v>93.534840078030513</v>
      </c>
      <c r="CV47" s="575">
        <f t="shared" si="66"/>
        <v>1.7066007885902224</v>
      </c>
      <c r="CW47">
        <f t="shared" si="67"/>
        <v>-0.63305344228875349</v>
      </c>
      <c r="CX47" s="576">
        <f t="shared" si="68"/>
        <v>0.3391559136851775</v>
      </c>
    </row>
    <row r="48" spans="1:102" x14ac:dyDescent="0.25">
      <c r="A48" s="186">
        <v>4</v>
      </c>
      <c r="B48" s="187">
        <f>A48/100*'Inputs-Imperial'!$E$5</f>
        <v>0.96325462399999995</v>
      </c>
      <c r="C48" s="188">
        <f>'Inputs-Imperial'!$E$10+('Inputs-Imperial'!$E$9-'Inputs-Imperial'!$E$10)*(100-A48)/100</f>
        <v>5.014107772</v>
      </c>
      <c r="D48" s="187">
        <f t="shared" si="69"/>
        <v>0.24081365600000004</v>
      </c>
      <c r="E48" s="188">
        <f t="shared" si="70"/>
        <v>1.209608691944682</v>
      </c>
      <c r="F48" s="423">
        <f>Sizing!F64</f>
        <v>922.68498312396707</v>
      </c>
      <c r="G48" s="423">
        <f>Sizing!G64</f>
        <v>9226.8498312396714</v>
      </c>
      <c r="H48" s="423">
        <f>Sizing!H64</f>
        <v>95891.025389132992</v>
      </c>
      <c r="I48" s="423">
        <f>Sizing!I64</f>
        <v>-21844.958353338683</v>
      </c>
      <c r="J48" s="189">
        <f>Sizing!J64</f>
        <v>9589.1025389133047</v>
      </c>
      <c r="K48" s="128">
        <v>4</v>
      </c>
      <c r="L48" s="12">
        <f t="shared" si="11"/>
        <v>11.559055487999998</v>
      </c>
      <c r="M48" s="11">
        <f t="shared" si="11"/>
        <v>60.169293264000004</v>
      </c>
      <c r="N48" s="11">
        <f t="shared" si="11"/>
        <v>2.8897638720000005</v>
      </c>
      <c r="O48" s="152">
        <f t="shared" si="71"/>
        <v>174.18365164003421</v>
      </c>
      <c r="P48" s="170">
        <f t="shared" si="0"/>
        <v>10.83047278752</v>
      </c>
      <c r="Q48" s="8">
        <f t="shared" si="1"/>
        <v>5.4152363937599999</v>
      </c>
      <c r="R48" s="170">
        <f>Sizing!X64</f>
        <v>15.042323316000001</v>
      </c>
      <c r="S48" s="8">
        <f>Sizing!Y64</f>
        <v>45.126969948000003</v>
      </c>
      <c r="T48" s="8">
        <f>Sizing!Z64</f>
        <v>30.084646632000002</v>
      </c>
      <c r="U48" s="17">
        <f>Sizing!CN64</f>
        <v>2</v>
      </c>
      <c r="V48" s="17">
        <f>Sizing!CO64</f>
        <v>2.3622047244094495E-2</v>
      </c>
      <c r="W48" s="17">
        <f>Sizing!CP64</f>
        <v>2.3622047244094495E-2</v>
      </c>
      <c r="X48" s="170">
        <f>Sizing!DU64</f>
        <v>3.5859228878785925</v>
      </c>
      <c r="Y48" s="170">
        <f>Sizing!DV64</f>
        <v>1.8936533177639967</v>
      </c>
      <c r="Z48" s="170">
        <f>Sizing!DW64</f>
        <v>3.5859228878785925</v>
      </c>
      <c r="AA48" s="272">
        <f>Sizing!DX64</f>
        <v>1.8936533177639967</v>
      </c>
      <c r="AB48" s="272">
        <f t="shared" si="12"/>
        <v>4.842331280779625</v>
      </c>
      <c r="AC48" s="216">
        <f>Sizing!GJ64</f>
        <v>0.75</v>
      </c>
      <c r="AD48" s="216">
        <f>Sizing!GK64</f>
        <v>6.2992125984251982E-2</v>
      </c>
      <c r="AE48" s="17">
        <f>Sizing!GL64</f>
        <v>6.2992125984251982E-2</v>
      </c>
      <c r="AF48" s="170">
        <f>Sizing!JC64</f>
        <v>5.3419963961966015E-2</v>
      </c>
      <c r="AG48" s="272">
        <f>Sizing!JD64</f>
        <v>0.23112759238560421</v>
      </c>
      <c r="AH48" s="170">
        <f>Sizing!JC64</f>
        <v>5.3419963961966015E-2</v>
      </c>
      <c r="AI48" s="272">
        <f>Sizing!JD64</f>
        <v>0.23112759238560421</v>
      </c>
      <c r="AJ48" s="216">
        <f>Sizing!IT64</f>
        <v>0.5</v>
      </c>
      <c r="AK48" s="216">
        <f>Sizing!IU64</f>
        <v>1.5748031496062995E-2</v>
      </c>
      <c r="AL48" s="17">
        <f>Sizing!IV64</f>
        <v>1.5748031496062995E-2</v>
      </c>
      <c r="AM48" s="170">
        <f t="shared" si="13"/>
        <v>0</v>
      </c>
      <c r="AN48" s="11">
        <f t="shared" si="14"/>
        <v>21.0208343721443</v>
      </c>
      <c r="AO48" s="11">
        <f t="shared" si="15"/>
        <v>21.0208343721443</v>
      </c>
      <c r="AP48" s="11">
        <f t="shared" si="16"/>
        <v>42.0416687442886</v>
      </c>
      <c r="AQ48" s="555">
        <f t="shared" si="17"/>
        <v>670740350.64675426</v>
      </c>
      <c r="AR48" s="311">
        <f t="shared" si="18"/>
        <v>15.483919726208271</v>
      </c>
      <c r="AS48" s="11">
        <f t="shared" si="19"/>
        <v>1.3985629226903411</v>
      </c>
      <c r="AT48" s="11">
        <f t="shared" si="20"/>
        <v>93.881358628103669</v>
      </c>
      <c r="AU48" s="11">
        <f t="shared" si="21"/>
        <v>95.279921550794015</v>
      </c>
      <c r="AV48" s="555">
        <f t="shared" si="22"/>
        <v>1520113018.8072469</v>
      </c>
      <c r="AW48" s="138">
        <f t="shared" si="23"/>
        <v>4.724409448818899E-2</v>
      </c>
      <c r="AX48" s="138">
        <f t="shared" si="24"/>
        <v>0.12598425196850396</v>
      </c>
      <c r="AY48" s="554">
        <f t="shared" si="25"/>
        <v>3.1496062992125991E-2</v>
      </c>
      <c r="AZ48" s="12">
        <f t="shared" si="26"/>
        <v>1535.4421625561665</v>
      </c>
      <c r="BA48" s="11">
        <f t="shared" si="27"/>
        <v>192.71185605340952</v>
      </c>
      <c r="BB48">
        <f t="shared" si="28"/>
        <v>2311.8838463113184</v>
      </c>
      <c r="BC48" s="555">
        <f t="shared" si="29"/>
        <v>8718086241.8338261</v>
      </c>
      <c r="BD48">
        <f t="shared" si="30"/>
        <v>4</v>
      </c>
      <c r="BE48" s="207">
        <f t="shared" si="31"/>
        <v>5.014107772</v>
      </c>
      <c r="BF48" s="207">
        <f>'Inputs-Imperial'!$E$15*BE48</f>
        <v>3.7605808290000002</v>
      </c>
      <c r="BG48" s="207">
        <f>'Inputs-Imperial'!$E$12*BE48</f>
        <v>1.253526943</v>
      </c>
      <c r="BH48">
        <f>'Inputs-Imperial'!$E$11*BE48</f>
        <v>0.90253939896000002</v>
      </c>
      <c r="BI48">
        <f t="shared" si="32"/>
        <v>0.95728759393897034</v>
      </c>
      <c r="BJ48">
        <f>'Weight '!U50+'Weight '!V50 /12</f>
        <v>2.5590551181102369E-2</v>
      </c>
      <c r="BK48">
        <f>('Weight '!AK50+'Weight '!AL50)/12</f>
        <v>1.0498687664041996E-2</v>
      </c>
      <c r="BL48">
        <f>'Weight '!AG50/12</f>
        <v>0.15780444314699973</v>
      </c>
      <c r="BM48">
        <f>'Weight '!AI50/12</f>
        <v>0.15780444314699973</v>
      </c>
      <c r="BN48" s="554">
        <f t="shared" si="33"/>
        <v>2.8591731596731158</v>
      </c>
      <c r="BO48" s="554">
        <f t="shared" si="34"/>
        <v>5.2216674135169701</v>
      </c>
      <c r="BP48">
        <f t="shared" si="35"/>
        <v>0.15780444314699973</v>
      </c>
      <c r="BQ48">
        <f t="shared" si="35"/>
        <v>0.15780444314699973</v>
      </c>
      <c r="BR48">
        <f t="shared" si="36"/>
        <v>0.5869305126660006</v>
      </c>
      <c r="BS48">
        <f t="shared" si="37"/>
        <v>0.84851809028653957</v>
      </c>
      <c r="BT48">
        <f t="shared" si="38"/>
        <v>1.9788818192530511</v>
      </c>
      <c r="BU48">
        <f t="shared" si="39"/>
        <v>2.4990624705404878</v>
      </c>
      <c r="BV48">
        <f t="shared" si="40"/>
        <v>132.91818346207816</v>
      </c>
      <c r="BW48" s="207">
        <f t="shared" si="41"/>
        <v>81.64322585928025</v>
      </c>
      <c r="BX48">
        <f t="shared" si="42"/>
        <v>1.7827327902549965</v>
      </c>
      <c r="BY48" s="575">
        <f t="shared" si="43"/>
        <v>-59.492289423848902</v>
      </c>
      <c r="BZ48">
        <f t="shared" si="44"/>
        <v>152.74894660336113</v>
      </c>
      <c r="CA48" s="207">
        <f t="shared" si="45"/>
        <v>69.46244342654731</v>
      </c>
      <c r="CB48">
        <f t="shared" si="46"/>
        <v>1.8645949705949532</v>
      </c>
      <c r="CC48">
        <f t="shared" si="47"/>
        <v>169.20820115471591</v>
      </c>
      <c r="CD48">
        <f t="shared" si="48"/>
        <v>96.346212885122497</v>
      </c>
      <c r="CE48" s="207">
        <f t="shared" si="49"/>
        <v>104.10707223576352</v>
      </c>
      <c r="CF48">
        <f t="shared" si="50"/>
        <v>1.6317622386212161</v>
      </c>
      <c r="CG48">
        <f t="shared" si="51"/>
        <v>-64.10357424377365</v>
      </c>
      <c r="CH48">
        <f t="shared" si="52"/>
        <v>117.71407096638038</v>
      </c>
      <c r="CI48" s="207">
        <f t="shared" ref="CI48" si="78" xml:space="preserve"> ($BQ$38-CH48*($BP48+$BR48+$BQ48+$BN48))/($BP48+$BR48+$BQ48+$BO48)</f>
        <v>90.982149685532434</v>
      </c>
      <c r="CJ48">
        <f t="shared" si="54"/>
        <v>1.719969608113975</v>
      </c>
      <c r="CK48">
        <f t="shared" si="55"/>
        <v>18.104609712206166</v>
      </c>
      <c r="CL48">
        <f t="shared" si="56"/>
        <v>111.67920106231165</v>
      </c>
      <c r="CM48" s="207">
        <f t="shared" ref="CM48" si="79" xml:space="preserve"> ($BQ$38-CL48*($BP48+$BR48+$BQ48+$BN48))/($BP48+$BR48+$BQ48+$BO48)</f>
        <v>94.688988236706479</v>
      </c>
      <c r="CN48">
        <f t="shared" si="58"/>
        <v>1.6950574247100696</v>
      </c>
      <c r="CO48">
        <f t="shared" si="59"/>
        <v>-5.8771953799118171</v>
      </c>
      <c r="CP48">
        <f t="shared" si="60"/>
        <v>113.63826618894892</v>
      </c>
      <c r="CQ48" s="207">
        <f t="shared" ref="CQ48" si="80" xml:space="preserve"> ($BQ$38-CP48*($BP48+$BR48+$BQ48+$BN48))/($BP48+$BR48+$BQ48+$BO48)</f>
        <v>93.48565854590673</v>
      </c>
      <c r="CR48">
        <f t="shared" si="62"/>
        <v>1.7031445236054541</v>
      </c>
      <c r="CS48">
        <f t="shared" si="63"/>
        <v>1.8419572795959827</v>
      </c>
      <c r="CT48">
        <f t="shared" si="64"/>
        <v>113.02428042908359</v>
      </c>
      <c r="CU48" s="636">
        <f t="shared" si="65"/>
        <v>93.862791130489242</v>
      </c>
      <c r="CV48" s="575">
        <f t="shared" si="66"/>
        <v>1.7006099659264493</v>
      </c>
      <c r="CW48">
        <f t="shared" si="67"/>
        <v>-0.58410164141078624</v>
      </c>
      <c r="CX48" s="576">
        <f t="shared" si="68"/>
        <v>0.339165020629008</v>
      </c>
    </row>
    <row r="49" spans="1:102" x14ac:dyDescent="0.25">
      <c r="A49" s="186">
        <v>5</v>
      </c>
      <c r="B49" s="187">
        <f>A49/100*'Inputs-Imperial'!$E$5</f>
        <v>1.20406828</v>
      </c>
      <c r="C49" s="188">
        <f>'Inputs-Imperial'!$E$10+('Inputs-Imperial'!$E$9-'Inputs-Imperial'!$E$10)*(100-A49)/100</f>
        <v>4.9963092150000001</v>
      </c>
      <c r="D49" s="187">
        <f t="shared" si="69"/>
        <v>0.24081365600000004</v>
      </c>
      <c r="E49" s="188">
        <f t="shared" si="70"/>
        <v>1.2053225563619874</v>
      </c>
      <c r="F49" s="423">
        <f>Sizing!F65</f>
        <v>910.71809105521049</v>
      </c>
      <c r="G49" s="423">
        <f>Sizing!G65</f>
        <v>9107.1809105521061</v>
      </c>
      <c r="H49" s="423">
        <f>Sizing!H65</f>
        <v>93669.073947909186</v>
      </c>
      <c r="I49" s="423">
        <f>Sizing!I65</f>
        <v>-21504.9646318667</v>
      </c>
      <c r="J49" s="189">
        <f>Sizing!J65</f>
        <v>9366.9073947909237</v>
      </c>
      <c r="K49" s="128">
        <v>5</v>
      </c>
      <c r="L49" s="12">
        <f t="shared" si="11"/>
        <v>14.44881936</v>
      </c>
      <c r="M49" s="11">
        <f t="shared" si="11"/>
        <v>59.955710580000002</v>
      </c>
      <c r="N49" s="11">
        <f t="shared" si="11"/>
        <v>2.8897638720000005</v>
      </c>
      <c r="O49" s="152">
        <f t="shared" si="71"/>
        <v>173.5664481161262</v>
      </c>
      <c r="P49" s="170">
        <f t="shared" si="0"/>
        <v>10.792027904399999</v>
      </c>
      <c r="Q49" s="8">
        <f t="shared" si="1"/>
        <v>5.3960139521999997</v>
      </c>
      <c r="R49" s="170">
        <f>Sizing!X65</f>
        <v>14.988927645</v>
      </c>
      <c r="S49" s="8">
        <f>Sizing!Y65</f>
        <v>44.966782934999998</v>
      </c>
      <c r="T49" s="8">
        <f>Sizing!Z65</f>
        <v>29.977855289999997</v>
      </c>
      <c r="U49" s="17">
        <f>Sizing!CN65</f>
        <v>2</v>
      </c>
      <c r="V49" s="17">
        <f>Sizing!CO65</f>
        <v>2.3622047244094495E-2</v>
      </c>
      <c r="W49" s="17">
        <f>Sizing!CP65</f>
        <v>2.3622047244094495E-2</v>
      </c>
      <c r="X49" s="170">
        <f>Sizing!DU65</f>
        <v>3.5859228878785925</v>
      </c>
      <c r="Y49" s="170">
        <f>Sizing!DV65</f>
        <v>1.8936533177639967</v>
      </c>
      <c r="Z49" s="170">
        <f>Sizing!DW65</f>
        <v>3.5859228878785925</v>
      </c>
      <c r="AA49" s="272">
        <f>Sizing!DX65</f>
        <v>1.8936533177639967</v>
      </c>
      <c r="AB49" s="272">
        <f t="shared" si="12"/>
        <v>4.8038863976596247</v>
      </c>
      <c r="AC49" s="216">
        <f>Sizing!GJ65</f>
        <v>0.75</v>
      </c>
      <c r="AD49" s="216">
        <f>Sizing!GK65</f>
        <v>6.2992125984251982E-2</v>
      </c>
      <c r="AE49" s="17">
        <f>Sizing!GL65</f>
        <v>6.2992125984251982E-2</v>
      </c>
      <c r="AF49" s="170">
        <f>Sizing!JC65</f>
        <v>5.3419963961966015E-2</v>
      </c>
      <c r="AG49" s="272">
        <f>Sizing!JD65</f>
        <v>0.23112759238560421</v>
      </c>
      <c r="AH49" s="170">
        <f>Sizing!JC65</f>
        <v>5.3419963961966015E-2</v>
      </c>
      <c r="AI49" s="272">
        <f>Sizing!JD65</f>
        <v>0.23112759238560421</v>
      </c>
      <c r="AJ49" s="216">
        <f>Sizing!IT65</f>
        <v>0.5</v>
      </c>
      <c r="AK49" s="216">
        <f>Sizing!IU65</f>
        <v>1.5748031496062995E-2</v>
      </c>
      <c r="AL49" s="17">
        <f>Sizing!IV65</f>
        <v>1.5748031496062995E-2</v>
      </c>
      <c r="AM49" s="170">
        <f t="shared" si="13"/>
        <v>0</v>
      </c>
      <c r="AN49" s="11">
        <f t="shared" si="14"/>
        <v>20.688376548269012</v>
      </c>
      <c r="AO49" s="11">
        <f t="shared" si="15"/>
        <v>20.688376548269012</v>
      </c>
      <c r="AP49" s="11">
        <f t="shared" si="16"/>
        <v>41.376753096538025</v>
      </c>
      <c r="AQ49" s="555">
        <f t="shared" si="17"/>
        <v>660132166.71772504</v>
      </c>
      <c r="AR49" s="311">
        <f t="shared" si="18"/>
        <v>15.428956522311994</v>
      </c>
      <c r="AS49" s="11">
        <f t="shared" si="19"/>
        <v>1.3886515993598592</v>
      </c>
      <c r="AT49" s="11">
        <f t="shared" si="20"/>
        <v>93.216041047484111</v>
      </c>
      <c r="AU49" s="11">
        <f t="shared" si="21"/>
        <v>94.604692646843972</v>
      </c>
      <c r="AV49" s="555">
        <f t="shared" si="22"/>
        <v>1509340295.3324251</v>
      </c>
      <c r="AW49" s="138">
        <f t="shared" si="23"/>
        <v>4.724409448818899E-2</v>
      </c>
      <c r="AX49" s="138">
        <f t="shared" si="24"/>
        <v>0.12598425196850396</v>
      </c>
      <c r="AY49" s="554">
        <f t="shared" si="25"/>
        <v>3.1496062992125991E-2</v>
      </c>
      <c r="AZ49" s="12">
        <f t="shared" si="26"/>
        <v>1524.5608046412281</v>
      </c>
      <c r="BA49" s="11">
        <f t="shared" si="27"/>
        <v>192.02778759885885</v>
      </c>
      <c r="BB49">
        <f t="shared" si="28"/>
        <v>2287.3516817488835</v>
      </c>
      <c r="BC49" s="555">
        <f t="shared" si="29"/>
        <v>8625575743.6548595</v>
      </c>
      <c r="BD49">
        <f t="shared" si="30"/>
        <v>5</v>
      </c>
      <c r="BE49" s="207">
        <f t="shared" si="31"/>
        <v>4.9963092150000001</v>
      </c>
      <c r="BF49" s="207">
        <f>'Inputs-Imperial'!$E$15*BE49</f>
        <v>3.7472319112500001</v>
      </c>
      <c r="BG49" s="207">
        <f>'Inputs-Imperial'!$E$12*BE49</f>
        <v>1.24907730375</v>
      </c>
      <c r="BH49">
        <f>'Inputs-Imperial'!$E$11*BE49</f>
        <v>0.89933565869999998</v>
      </c>
      <c r="BI49">
        <f t="shared" si="32"/>
        <v>0.95388951424446067</v>
      </c>
      <c r="BJ49">
        <f>'Weight '!U51+'Weight '!V51 /12</f>
        <v>2.5590551181102369E-2</v>
      </c>
      <c r="BK49">
        <f>('Weight '!AK51+'Weight '!AL51)/12</f>
        <v>1.0498687664041996E-2</v>
      </c>
      <c r="BL49">
        <f>'Weight '!AG51/12</f>
        <v>0.15780444314699973</v>
      </c>
      <c r="BM49">
        <f>'Weight '!AI51/12</f>
        <v>0.15780444314699973</v>
      </c>
      <c r="BN49" s="554">
        <f t="shared" si="33"/>
        <v>2.8468924363794259</v>
      </c>
      <c r="BO49" s="554">
        <f t="shared" si="34"/>
        <v>5.2052636114494391</v>
      </c>
      <c r="BP49">
        <f t="shared" si="35"/>
        <v>0.15780444314699973</v>
      </c>
      <c r="BQ49">
        <f t="shared" si="35"/>
        <v>0.15780444314699973</v>
      </c>
      <c r="BR49">
        <f t="shared" si="36"/>
        <v>0.58372677240600057</v>
      </c>
      <c r="BS49">
        <f t="shared" si="37"/>
        <v>0.84250481980141967</v>
      </c>
      <c r="BT49">
        <f t="shared" si="38"/>
        <v>1.9648578971075175</v>
      </c>
      <c r="BU49">
        <f t="shared" si="39"/>
        <v>2.4637673124235295</v>
      </c>
      <c r="BV49">
        <f t="shared" si="40"/>
        <v>133.46758053967326</v>
      </c>
      <c r="BW49" s="207">
        <f t="shared" si="41"/>
        <v>81.905458142834007</v>
      </c>
      <c r="BX49">
        <f t="shared" si="42"/>
        <v>1.7766449429125046</v>
      </c>
      <c r="BY49" s="575">
        <f t="shared" si="43"/>
        <v>-59.369530940078619</v>
      </c>
      <c r="BZ49">
        <f t="shared" si="44"/>
        <v>153.25742418636614</v>
      </c>
      <c r="CA49" s="207">
        <f t="shared" si="45"/>
        <v>69.760964297187201</v>
      </c>
      <c r="CB49">
        <f t="shared" si="46"/>
        <v>1.8577154295014007</v>
      </c>
      <c r="CC49">
        <f t="shared" si="47"/>
        <v>168.94880763125434</v>
      </c>
      <c r="CD49">
        <f t="shared" si="48"/>
        <v>96.941154975948024</v>
      </c>
      <c r="CE49" s="207">
        <f t="shared" si="49"/>
        <v>104.32074137506248</v>
      </c>
      <c r="CF49">
        <f t="shared" si="50"/>
        <v>1.6270118711879002</v>
      </c>
      <c r="CG49">
        <f t="shared" si="51"/>
        <v>-63.174959337897448</v>
      </c>
      <c r="CH49">
        <f t="shared" si="52"/>
        <v>117.99947475524718</v>
      </c>
      <c r="CI49" s="207">
        <f t="shared" ref="CI49" si="81" xml:space="preserve"> ($BQ$38-CH49*($BP49+$BR49+$BQ49+$BN49))/($BP49+$BR49+$BQ49+$BO49)</f>
        <v>91.397817903552436</v>
      </c>
      <c r="CJ49">
        <f t="shared" si="54"/>
        <v>1.7132787594832837</v>
      </c>
      <c r="CK49">
        <f t="shared" si="55"/>
        <v>17.539799835759474</v>
      </c>
      <c r="CL49">
        <f t="shared" si="56"/>
        <v>112.15287480999402</v>
      </c>
      <c r="CM49" s="207">
        <f t="shared" ref="CM49" si="82" xml:space="preserve"> ($BQ$38-CL49*($BP49+$BR49+$BQ49+$BN49))/($BP49+$BR49+$BQ49+$BO49)</f>
        <v>94.985718764252354</v>
      </c>
      <c r="CN49">
        <f t="shared" si="58"/>
        <v>1.6893277515362606</v>
      </c>
      <c r="CO49">
        <f t="shared" si="59"/>
        <v>-5.5983954531285773</v>
      </c>
      <c r="CP49">
        <f t="shared" si="60"/>
        <v>114.01900662770355</v>
      </c>
      <c r="CQ49" s="207">
        <f t="shared" ref="CQ49" si="83" xml:space="preserve"> ($BQ$38-CP49*($BP49+$BR49+$BQ49+$BN49))/($BP49+$BR49+$BQ49+$BO49)</f>
        <v>93.840523947156029</v>
      </c>
      <c r="CR49">
        <f t="shared" si="62"/>
        <v>1.6969724917980673</v>
      </c>
      <c r="CS49">
        <f t="shared" si="63"/>
        <v>1.7260500216601429</v>
      </c>
      <c r="CT49">
        <f t="shared" si="64"/>
        <v>113.44365662048349</v>
      </c>
      <c r="CU49" s="636">
        <f t="shared" si="65"/>
        <v>94.193600744856994</v>
      </c>
      <c r="CV49" s="575">
        <f t="shared" si="66"/>
        <v>1.6946155300212595</v>
      </c>
      <c r="CW49">
        <f t="shared" si="67"/>
        <v>-0.5382458172816218</v>
      </c>
      <c r="CX49" s="576">
        <f t="shared" si="68"/>
        <v>0.3391734692748114</v>
      </c>
    </row>
    <row r="50" spans="1:102" x14ac:dyDescent="0.25">
      <c r="A50" s="186">
        <v>6</v>
      </c>
      <c r="B50" s="187">
        <f>A50/100*'Inputs-Imperial'!$E$5</f>
        <v>1.4448819359999998</v>
      </c>
      <c r="C50" s="188">
        <f>'Inputs-Imperial'!$E$10+('Inputs-Imperial'!$E$9-'Inputs-Imperial'!$E$10)*(100-A50)/100</f>
        <v>4.9785106580000003</v>
      </c>
      <c r="D50" s="187">
        <f t="shared" si="69"/>
        <v>0.24081365599999982</v>
      </c>
      <c r="E50" s="188">
        <f t="shared" si="70"/>
        <v>1.2010364207792921</v>
      </c>
      <c r="F50" s="423">
        <f>Sizing!F66</f>
        <v>898.77488976470431</v>
      </c>
      <c r="G50" s="423">
        <f>Sizing!G66</f>
        <v>8987.7488976470449</v>
      </c>
      <c r="H50" s="423">
        <f>Sizing!H66</f>
        <v>91475.94041698573</v>
      </c>
      <c r="I50" s="423">
        <f>Sizing!I66</f>
        <v>-21166.325206806516</v>
      </c>
      <c r="J50" s="189">
        <f>Sizing!J66</f>
        <v>9147.5940416985777</v>
      </c>
      <c r="K50" s="128">
        <v>6</v>
      </c>
      <c r="L50" s="12">
        <f t="shared" si="11"/>
        <v>17.338583231999998</v>
      </c>
      <c r="M50" s="11">
        <f t="shared" si="11"/>
        <v>59.742127896</v>
      </c>
      <c r="N50" s="11">
        <f t="shared" si="11"/>
        <v>2.8897638719999978</v>
      </c>
      <c r="O50" s="152">
        <f t="shared" si="71"/>
        <v>172.94924459221807</v>
      </c>
      <c r="P50" s="170">
        <f t="shared" si="0"/>
        <v>10.753583021279999</v>
      </c>
      <c r="Q50" s="8">
        <f t="shared" si="1"/>
        <v>5.3767915106399995</v>
      </c>
      <c r="R50" s="170">
        <f>Sizing!X66</f>
        <v>14.935531974</v>
      </c>
      <c r="S50" s="8">
        <f>Sizing!Y66</f>
        <v>44.806595922</v>
      </c>
      <c r="T50" s="8">
        <f>Sizing!Z66</f>
        <v>29.871063948</v>
      </c>
      <c r="U50" s="17">
        <f>Sizing!CN66</f>
        <v>2</v>
      </c>
      <c r="V50" s="17">
        <f>Sizing!CO66</f>
        <v>2.3622047244094495E-2</v>
      </c>
      <c r="W50" s="17">
        <f>Sizing!CP66</f>
        <v>2.3622047244094495E-2</v>
      </c>
      <c r="X50" s="170">
        <f>Sizing!DU66</f>
        <v>3.5859228878785925</v>
      </c>
      <c r="Y50" s="170">
        <f>Sizing!DV66</f>
        <v>1.8936533177639967</v>
      </c>
      <c r="Z50" s="170">
        <f>Sizing!DW66</f>
        <v>3.5859228878785925</v>
      </c>
      <c r="AA50" s="272">
        <f>Sizing!DX66</f>
        <v>1.8936533177639967</v>
      </c>
      <c r="AB50" s="272">
        <f t="shared" si="12"/>
        <v>4.7654415145396243</v>
      </c>
      <c r="AC50" s="216">
        <f>Sizing!GJ66</f>
        <v>0.75</v>
      </c>
      <c r="AD50" s="216">
        <f>Sizing!GK66</f>
        <v>6.2992125984251982E-2</v>
      </c>
      <c r="AE50" s="17">
        <f>Sizing!GL66</f>
        <v>6.2992125984251982E-2</v>
      </c>
      <c r="AF50" s="170">
        <f>Sizing!JC66</f>
        <v>5.3419963961966015E-2</v>
      </c>
      <c r="AG50" s="272">
        <f>Sizing!JD66</f>
        <v>0.23112759238560421</v>
      </c>
      <c r="AH50" s="170">
        <f>Sizing!JC66</f>
        <v>5.3419963961966015E-2</v>
      </c>
      <c r="AI50" s="272">
        <f>Sizing!JD66</f>
        <v>0.23112759238560421</v>
      </c>
      <c r="AJ50" s="216">
        <f>Sizing!IT66</f>
        <v>0.5</v>
      </c>
      <c r="AK50" s="216">
        <f>Sizing!IU66</f>
        <v>1.5748031496062995E-2</v>
      </c>
      <c r="AL50" s="17">
        <f>Sizing!IV66</f>
        <v>1.5748031496062995E-2</v>
      </c>
      <c r="AM50" s="170">
        <f t="shared" si="13"/>
        <v>0</v>
      </c>
      <c r="AN50" s="11">
        <f t="shared" si="14"/>
        <v>20.358568737612853</v>
      </c>
      <c r="AO50" s="11">
        <f t="shared" si="15"/>
        <v>20.358568737612853</v>
      </c>
      <c r="AP50" s="11">
        <f t="shared" si="16"/>
        <v>40.717137475225705</v>
      </c>
      <c r="AQ50" s="555">
        <f t="shared" si="17"/>
        <v>649608540.36449647</v>
      </c>
      <c r="AR50" s="311">
        <f t="shared" si="18"/>
        <v>15.373993318415716</v>
      </c>
      <c r="AS50" s="11">
        <f t="shared" si="19"/>
        <v>1.3787755207656185</v>
      </c>
      <c r="AT50" s="11">
        <f t="shared" si="20"/>
        <v>92.553089340913047</v>
      </c>
      <c r="AU50" s="11">
        <f t="shared" si="21"/>
        <v>93.931864861678662</v>
      </c>
      <c r="AV50" s="555">
        <f t="shared" si="22"/>
        <v>1498605879.7388964</v>
      </c>
      <c r="AW50" s="138">
        <f t="shared" si="23"/>
        <v>4.724409448818899E-2</v>
      </c>
      <c r="AX50" s="138">
        <f t="shared" si="24"/>
        <v>0.12598425196850396</v>
      </c>
      <c r="AY50" s="554">
        <f t="shared" si="25"/>
        <v>3.1496062992125991E-2</v>
      </c>
      <c r="AZ50" s="12">
        <f t="shared" si="26"/>
        <v>1513.7181409124237</v>
      </c>
      <c r="BA50" s="11">
        <f t="shared" si="27"/>
        <v>191.34371914430818</v>
      </c>
      <c r="BB50">
        <f t="shared" si="28"/>
        <v>2262.9936798924382</v>
      </c>
      <c r="BC50" s="555">
        <f t="shared" si="29"/>
        <v>8533722010.9502268</v>
      </c>
      <c r="BD50">
        <f t="shared" si="30"/>
        <v>6</v>
      </c>
      <c r="BE50" s="207">
        <f t="shared" si="31"/>
        <v>4.9785106580000003</v>
      </c>
      <c r="BF50" s="207">
        <f>'Inputs-Imperial'!$E$15*BE50</f>
        <v>3.7338829935</v>
      </c>
      <c r="BG50" s="207">
        <f>'Inputs-Imperial'!$E$12*BE50</f>
        <v>1.2446276645000001</v>
      </c>
      <c r="BH50">
        <f>'Inputs-Imperial'!$E$11*BE50</f>
        <v>0.89613191844000006</v>
      </c>
      <c r="BI50">
        <f t="shared" si="32"/>
        <v>0.95049143454995133</v>
      </c>
      <c r="BJ50">
        <f>'Weight '!U52+'Weight '!V52 /12</f>
        <v>2.5590551181102369E-2</v>
      </c>
      <c r="BK50">
        <f>('Weight '!AK52+'Weight '!AL52)/12</f>
        <v>1.0498687664041996E-2</v>
      </c>
      <c r="BL50">
        <f>'Weight '!AG52/12</f>
        <v>0.15780444314699973</v>
      </c>
      <c r="BM50">
        <f>'Weight '!AI52/12</f>
        <v>0.15780444314699973</v>
      </c>
      <c r="BN50" s="554">
        <f t="shared" si="33"/>
        <v>2.8346089160985062</v>
      </c>
      <c r="BO50" s="554">
        <f t="shared" si="34"/>
        <v>5.1888626063691348</v>
      </c>
      <c r="BP50">
        <f t="shared" si="35"/>
        <v>0.15780444314699973</v>
      </c>
      <c r="BQ50">
        <f t="shared" si="35"/>
        <v>0.15780444314699973</v>
      </c>
      <c r="BR50">
        <f t="shared" si="36"/>
        <v>0.58052303214600065</v>
      </c>
      <c r="BS50">
        <f t="shared" si="37"/>
        <v>0.83651293254891135</v>
      </c>
      <c r="BT50">
        <f t="shared" si="38"/>
        <v>1.9508838441288727</v>
      </c>
      <c r="BU50">
        <f t="shared" si="39"/>
        <v>2.4288473456626201</v>
      </c>
      <c r="BV50">
        <f t="shared" si="40"/>
        <v>134.02163864374947</v>
      </c>
      <c r="BW50" s="207">
        <f t="shared" si="41"/>
        <v>82.169342628238979</v>
      </c>
      <c r="BX50">
        <f t="shared" si="42"/>
        <v>1.7705574786515441</v>
      </c>
      <c r="BY50" s="575">
        <f t="shared" si="43"/>
        <v>-59.245702283053703</v>
      </c>
      <c r="BZ50">
        <f t="shared" si="44"/>
        <v>153.77020607143405</v>
      </c>
      <c r="CA50" s="207">
        <f t="shared" si="45"/>
        <v>70.061396330882047</v>
      </c>
      <c r="CB50">
        <f t="shared" si="46"/>
        <v>1.8508397363908762</v>
      </c>
      <c r="CC50">
        <f t="shared" si="47"/>
        <v>168.69189192535947</v>
      </c>
      <c r="CD50">
        <f t="shared" si="48"/>
        <v>97.539575429647556</v>
      </c>
      <c r="CE50" s="207">
        <f t="shared" si="49"/>
        <v>104.53667959233167</v>
      </c>
      <c r="CF50">
        <f t="shared" si="50"/>
        <v>1.6222498906433478</v>
      </c>
      <c r="CG50">
        <f t="shared" si="51"/>
        <v>-62.248879762124098</v>
      </c>
      <c r="CH50">
        <f t="shared" si="52"/>
        <v>118.28920201702226</v>
      </c>
      <c r="CI50" s="207">
        <f t="shared" ref="CI50" si="84" xml:space="preserve"> ($BQ$38-CH50*($BP50+$BR50+$BQ50+$BN50))/($BP50+$BR50+$BQ50+$BO50)</f>
        <v>91.814978875045853</v>
      </c>
      <c r="CJ50">
        <f t="shared" si="54"/>
        <v>1.7066016734135383</v>
      </c>
      <c r="CK50">
        <f t="shared" si="55"/>
        <v>16.984644689709157</v>
      </c>
      <c r="CL50">
        <f t="shared" si="56"/>
        <v>112.62765378711921</v>
      </c>
      <c r="CM50" s="207">
        <f t="shared" ref="CM50" si="85" xml:space="preserve"> ($BQ$38-CL50*($BP50+$BR50+$BQ50+$BN50))/($BP50+$BR50+$BQ50+$BO50)</f>
        <v>95.286102650407187</v>
      </c>
      <c r="CN50">
        <f t="shared" si="58"/>
        <v>1.6835862381997637</v>
      </c>
      <c r="CO50">
        <f t="shared" si="59"/>
        <v>-5.3287880099321221</v>
      </c>
      <c r="CP50">
        <f t="shared" si="60"/>
        <v>114.40391645709659</v>
      </c>
      <c r="CQ50" s="207">
        <f t="shared" ref="CQ50" si="86" xml:space="preserve"> ($BQ$38-CP50*($BP50+$BR50+$BQ50+$BN50))/($BP50+$BR50+$BQ50+$BO50)</f>
        <v>94.197067048364659</v>
      </c>
      <c r="CR50">
        <f t="shared" si="62"/>
        <v>1.6908071355132555</v>
      </c>
      <c r="CS50">
        <f t="shared" si="63"/>
        <v>1.6157514811834925</v>
      </c>
      <c r="CT50">
        <f t="shared" si="64"/>
        <v>113.86533263003543</v>
      </c>
      <c r="CU50" s="636">
        <f t="shared" si="65"/>
        <v>94.52727550923457</v>
      </c>
      <c r="CV50" s="575">
        <f t="shared" si="66"/>
        <v>1.6886176741370471</v>
      </c>
      <c r="CW50">
        <f t="shared" si="67"/>
        <v>-0.49533463831666147</v>
      </c>
      <c r="CX50" s="576">
        <f t="shared" si="68"/>
        <v>0.33918129138150921</v>
      </c>
    </row>
    <row r="51" spans="1:102" x14ac:dyDescent="0.25">
      <c r="A51" s="186">
        <v>7</v>
      </c>
      <c r="B51" s="187">
        <f>A51/100*'Inputs-Imperial'!$E$5</f>
        <v>1.6856955920000001</v>
      </c>
      <c r="C51" s="188">
        <f>'Inputs-Imperial'!$E$10+('Inputs-Imperial'!$E$9-'Inputs-Imperial'!$E$10)*(100-A51)/100</f>
        <v>4.9607121010000004</v>
      </c>
      <c r="D51" s="187">
        <f t="shared" si="69"/>
        <v>0.24081365600000026</v>
      </c>
      <c r="E51" s="188">
        <f t="shared" si="70"/>
        <v>1.1967502851965997</v>
      </c>
      <c r="F51" s="423">
        <f>Sizing!F67</f>
        <v>886.85600023891789</v>
      </c>
      <c r="G51" s="423">
        <f>Sizing!G67</f>
        <v>8868.5600023891802</v>
      </c>
      <c r="H51" s="423">
        <f>Sizing!H67</f>
        <v>89311.567745733366</v>
      </c>
      <c r="I51" s="423">
        <f>Sizing!I67</f>
        <v>-20829.072551688692</v>
      </c>
      <c r="J51" s="189">
        <f>Sizing!J67</f>
        <v>8931.1567745733428</v>
      </c>
      <c r="K51" s="128">
        <v>7</v>
      </c>
      <c r="L51" s="12">
        <f t="shared" si="11"/>
        <v>20.228347104000001</v>
      </c>
      <c r="M51" s="11">
        <f t="shared" si="11"/>
        <v>59.528545212000004</v>
      </c>
      <c r="N51" s="11">
        <f t="shared" si="11"/>
        <v>2.8897638720000032</v>
      </c>
      <c r="O51" s="152">
        <f t="shared" si="71"/>
        <v>172.33204106831036</v>
      </c>
      <c r="P51" s="170">
        <f t="shared" si="0"/>
        <v>10.71513813816</v>
      </c>
      <c r="Q51" s="8">
        <f t="shared" si="1"/>
        <v>5.3575690690800002</v>
      </c>
      <c r="R51" s="170">
        <f>Sizing!X67</f>
        <v>14.882136303000001</v>
      </c>
      <c r="S51" s="8">
        <f>Sizing!Y67</f>
        <v>44.646408909000002</v>
      </c>
      <c r="T51" s="8">
        <f>Sizing!Z67</f>
        <v>29.764272605999999</v>
      </c>
      <c r="U51" s="17">
        <f>Sizing!CN67</f>
        <v>2</v>
      </c>
      <c r="V51" s="17">
        <f>Sizing!CO67</f>
        <v>2.3622047244094495E-2</v>
      </c>
      <c r="W51" s="17">
        <f>Sizing!CP67</f>
        <v>2.3622047244094495E-2</v>
      </c>
      <c r="X51" s="170">
        <f>Sizing!DU67</f>
        <v>3.5859228878785925</v>
      </c>
      <c r="Y51" s="170">
        <f>Sizing!DV67</f>
        <v>1.8936533177639967</v>
      </c>
      <c r="Z51" s="170">
        <f>Sizing!DW67</f>
        <v>3.5859228878785925</v>
      </c>
      <c r="AA51" s="272">
        <f>Sizing!DX67</f>
        <v>1.8936533177639967</v>
      </c>
      <c r="AB51" s="272">
        <f t="shared" si="12"/>
        <v>4.7269966314196257</v>
      </c>
      <c r="AC51" s="216">
        <f>Sizing!GJ67</f>
        <v>0.75</v>
      </c>
      <c r="AD51" s="216">
        <f>Sizing!GK67</f>
        <v>6.2992125984251982E-2</v>
      </c>
      <c r="AE51" s="17">
        <f>Sizing!GL67</f>
        <v>6.2992125984251982E-2</v>
      </c>
      <c r="AF51" s="170">
        <f>Sizing!JC67</f>
        <v>5.3419963961966015E-2</v>
      </c>
      <c r="AG51" s="272">
        <f>Sizing!JD67</f>
        <v>0.23112759238560421</v>
      </c>
      <c r="AH51" s="170">
        <f>Sizing!JC67</f>
        <v>5.3419963961966015E-2</v>
      </c>
      <c r="AI51" s="272">
        <f>Sizing!JD67</f>
        <v>0.23112759238560421</v>
      </c>
      <c r="AJ51" s="216">
        <f>Sizing!IT67</f>
        <v>0.5</v>
      </c>
      <c r="AK51" s="216">
        <f>Sizing!IU67</f>
        <v>1.5748031496062995E-2</v>
      </c>
      <c r="AL51" s="17">
        <f>Sizing!IV67</f>
        <v>1.5748031496062995E-2</v>
      </c>
      <c r="AM51" s="170">
        <f t="shared" si="13"/>
        <v>0</v>
      </c>
      <c r="AN51" s="11">
        <f t="shared" si="14"/>
        <v>20.031410940175832</v>
      </c>
      <c r="AO51" s="11">
        <f t="shared" si="15"/>
        <v>20.031410940175832</v>
      </c>
      <c r="AP51" s="11">
        <f t="shared" si="16"/>
        <v>40.062821880351663</v>
      </c>
      <c r="AQ51" s="555">
        <f t="shared" si="17"/>
        <v>639169471.58706892</v>
      </c>
      <c r="AR51" s="311">
        <f t="shared" si="18"/>
        <v>15.319030114519441</v>
      </c>
      <c r="AS51" s="11">
        <f t="shared" si="19"/>
        <v>1.3689346869076418</v>
      </c>
      <c r="AT51" s="11">
        <f t="shared" si="20"/>
        <v>91.892503508390362</v>
      </c>
      <c r="AU51" s="11">
        <f t="shared" si="21"/>
        <v>93.261438195297998</v>
      </c>
      <c r="AV51" s="555">
        <f t="shared" si="22"/>
        <v>1487909772.0266595</v>
      </c>
      <c r="AW51" s="138">
        <f t="shared" si="23"/>
        <v>4.724409448818899E-2</v>
      </c>
      <c r="AX51" s="138">
        <f t="shared" si="24"/>
        <v>0.12598425196850396</v>
      </c>
      <c r="AY51" s="554">
        <f t="shared" si="25"/>
        <v>3.1496062992125991E-2</v>
      </c>
      <c r="AZ51" s="12">
        <f t="shared" si="26"/>
        <v>1502.9141713697536</v>
      </c>
      <c r="BA51" s="11">
        <f t="shared" si="27"/>
        <v>190.65965068975751</v>
      </c>
      <c r="BB51">
        <f t="shared" si="28"/>
        <v>2238.8092203150413</v>
      </c>
      <c r="BC51" s="555">
        <f t="shared" si="29"/>
        <v>8442522704.0973778</v>
      </c>
      <c r="BD51">
        <f t="shared" si="30"/>
        <v>7</v>
      </c>
      <c r="BE51" s="207">
        <f t="shared" si="31"/>
        <v>4.9607121010000004</v>
      </c>
      <c r="BF51" s="207">
        <f>'Inputs-Imperial'!$E$15*BE51</f>
        <v>3.7205340757500003</v>
      </c>
      <c r="BG51" s="207">
        <f>'Inputs-Imperial'!$E$12*BE51</f>
        <v>1.2401780252500001</v>
      </c>
      <c r="BH51">
        <f>'Inputs-Imperial'!$E$11*BE51</f>
        <v>0.89292817818000003</v>
      </c>
      <c r="BI51">
        <f t="shared" si="32"/>
        <v>0.94709335485544166</v>
      </c>
      <c r="BJ51">
        <f>'Weight '!U53+'Weight '!V53 /12</f>
        <v>2.5590551181102369E-2</v>
      </c>
      <c r="BK51">
        <f>('Weight '!AK53+'Weight '!AL53)/12</f>
        <v>1.0498687664041996E-2</v>
      </c>
      <c r="BL51">
        <f>'Weight '!AG53/12</f>
        <v>0.15780444314699973</v>
      </c>
      <c r="BM51">
        <f>'Weight '!AI53/12</f>
        <v>0.15780444314699973</v>
      </c>
      <c r="BN51" s="554">
        <f t="shared" si="33"/>
        <v>2.8223226025989723</v>
      </c>
      <c r="BO51" s="554">
        <f t="shared" si="34"/>
        <v>5.1724643945074469</v>
      </c>
      <c r="BP51">
        <f t="shared" si="35"/>
        <v>0.15780444314699973</v>
      </c>
      <c r="BQ51">
        <f t="shared" si="35"/>
        <v>0.15780444314699973</v>
      </c>
      <c r="BR51">
        <f t="shared" si="36"/>
        <v>0.57731929188600062</v>
      </c>
      <c r="BS51">
        <f t="shared" si="37"/>
        <v>0.8305424285290145</v>
      </c>
      <c r="BT51">
        <f t="shared" si="38"/>
        <v>1.9369596603171151</v>
      </c>
      <c r="BU51">
        <f t="shared" si="39"/>
        <v>2.3942999019056095</v>
      </c>
      <c r="BV51">
        <f t="shared" si="40"/>
        <v>134.58041717850486</v>
      </c>
      <c r="BW51" s="207">
        <f t="shared" si="41"/>
        <v>82.434895022542719</v>
      </c>
      <c r="BX51">
        <f t="shared" si="42"/>
        <v>1.7644703983844841</v>
      </c>
      <c r="BY51" s="575">
        <f t="shared" si="43"/>
        <v>-59.120791525407256</v>
      </c>
      <c r="BZ51">
        <f t="shared" si="44"/>
        <v>154.28734768697393</v>
      </c>
      <c r="CA51" s="207">
        <f t="shared" si="45"/>
        <v>70.363757321078808</v>
      </c>
      <c r="CB51">
        <f t="shared" si="46"/>
        <v>1.8439678957949341</v>
      </c>
      <c r="CC51">
        <f t="shared" si="47"/>
        <v>168.43748481756319</v>
      </c>
      <c r="CD51">
        <f t="shared" si="48"/>
        <v>98.141519414452858</v>
      </c>
      <c r="CE51" s="207">
        <f t="shared" si="49"/>
        <v>104.75490840110554</v>
      </c>
      <c r="CF51">
        <f t="shared" si="50"/>
        <v>1.6174763660367026</v>
      </c>
      <c r="CG51">
        <f t="shared" si="51"/>
        <v>-61.325323690527682</v>
      </c>
      <c r="CH51">
        <f t="shared" si="52"/>
        <v>118.58329397796209</v>
      </c>
      <c r="CI51" s="207">
        <f t="shared" ref="CI51" si="87" xml:space="preserve"> ($BQ$38-CH51*($BP51+$BR51+$BQ51+$BN51))/($BP51+$BR51+$BQ51+$BO51)</f>
        <v>92.23365474811483</v>
      </c>
      <c r="CJ51">
        <f t="shared" si="54"/>
        <v>1.6999382146604245</v>
      </c>
      <c r="CK51">
        <f t="shared" si="55"/>
        <v>16.439099290747023</v>
      </c>
      <c r="CL51">
        <f t="shared" si="56"/>
        <v>113.10359421437974</v>
      </c>
      <c r="CM51" s="207">
        <f t="shared" ref="CM51" si="88" xml:space="preserve"> ($BQ$38-CL51*($BP51+$BR51+$BQ51+$BN51))/($BP51+$BR51+$BQ51+$BO51)</f>
        <v>95.590149580247882</v>
      </c>
      <c r="CN51">
        <f t="shared" si="58"/>
        <v>1.6778331781821041</v>
      </c>
      <c r="CO51">
        <f t="shared" si="59"/>
        <v>-5.0682018391987373</v>
      </c>
      <c r="CP51">
        <f t="shared" si="60"/>
        <v>114.79299482744598</v>
      </c>
      <c r="CQ51" s="207">
        <f t="shared" ref="CQ51" si="89" xml:space="preserve"> ($BQ$38-CP51*($BP51+$BR51+$BQ51+$BN51))/($BP51+$BR51+$BQ51+$BO51)</f>
        <v>94.555336602930268</v>
      </c>
      <c r="CR51">
        <f t="shared" si="62"/>
        <v>1.6846481979440466</v>
      </c>
      <c r="CS51">
        <f t="shared" si="63"/>
        <v>1.5108731866818541</v>
      </c>
      <c r="CT51">
        <f t="shared" si="64"/>
        <v>114.28937043188536</v>
      </c>
      <c r="CU51" s="636">
        <f t="shared" si="65"/>
        <v>94.863822971521074</v>
      </c>
      <c r="CV51" s="575">
        <f t="shared" si="66"/>
        <v>1.6826165837834997</v>
      </c>
      <c r="CW51">
        <f t="shared" si="67"/>
        <v>-0.45522196212106181</v>
      </c>
      <c r="CX51" s="576">
        <f t="shared" si="68"/>
        <v>0.33918851760099339</v>
      </c>
    </row>
    <row r="52" spans="1:102" x14ac:dyDescent="0.25">
      <c r="A52" s="186">
        <v>8</v>
      </c>
      <c r="B52" s="187">
        <f>A52/100*'Inputs-Imperial'!$E$5</f>
        <v>1.9265092479999999</v>
      </c>
      <c r="C52" s="188">
        <f>'Inputs-Imperial'!$E$10+('Inputs-Imperial'!$E$9-'Inputs-Imperial'!$E$10)*(100-A52)/100</f>
        <v>4.9429135440000005</v>
      </c>
      <c r="D52" s="187">
        <f t="shared" si="69"/>
        <v>0.24081365599999982</v>
      </c>
      <c r="E52" s="188">
        <f t="shared" si="70"/>
        <v>1.1924641496139035</v>
      </c>
      <c r="F52" s="423">
        <f>Sizing!F68</f>
        <v>874.96204458746081</v>
      </c>
      <c r="G52" s="423">
        <f>Sizing!G68</f>
        <v>8749.6204458746088</v>
      </c>
      <c r="H52" s="423">
        <f>Sizing!H68</f>
        <v>87175.897388102661</v>
      </c>
      <c r="I52" s="423">
        <f>Sizing!I68</f>
        <v>-20493.238989461319</v>
      </c>
      <c r="J52" s="189">
        <f>Sizing!J68</f>
        <v>8717.589738810273</v>
      </c>
      <c r="K52" s="128">
        <v>8</v>
      </c>
      <c r="L52" s="12">
        <f t="shared" si="11"/>
        <v>23.118110975999997</v>
      </c>
      <c r="M52" s="11">
        <f t="shared" si="11"/>
        <v>59.314962528000009</v>
      </c>
      <c r="N52" s="11">
        <f t="shared" si="11"/>
        <v>2.8897638719999978</v>
      </c>
      <c r="O52" s="152">
        <f t="shared" si="71"/>
        <v>171.71483754440209</v>
      </c>
      <c r="P52" s="170">
        <f t="shared" si="0"/>
        <v>10.676693255040002</v>
      </c>
      <c r="Q52" s="8">
        <f t="shared" si="1"/>
        <v>5.3383466275200009</v>
      </c>
      <c r="R52" s="170">
        <f>Sizing!X68</f>
        <v>14.828740632000002</v>
      </c>
      <c r="S52" s="8">
        <f>Sizing!Y68</f>
        <v>44.486221896000004</v>
      </c>
      <c r="T52" s="8">
        <f>Sizing!Z68</f>
        <v>29.657481264000001</v>
      </c>
      <c r="U52" s="17">
        <f>Sizing!CN68</f>
        <v>2</v>
      </c>
      <c r="V52" s="17">
        <f>Sizing!CO68</f>
        <v>2.3622047244094495E-2</v>
      </c>
      <c r="W52" s="17">
        <f>Sizing!CP68</f>
        <v>2.3622047244094495E-2</v>
      </c>
      <c r="X52" s="170">
        <f>Sizing!DU68</f>
        <v>3.5859228878785925</v>
      </c>
      <c r="Y52" s="170">
        <f>Sizing!DV68</f>
        <v>1.8936533177639967</v>
      </c>
      <c r="Z52" s="170">
        <f>Sizing!DW68</f>
        <v>3.5859228878785925</v>
      </c>
      <c r="AA52" s="272">
        <f>Sizing!DX68</f>
        <v>1.8936533177639967</v>
      </c>
      <c r="AB52" s="272">
        <f t="shared" si="12"/>
        <v>4.6885517482996271</v>
      </c>
      <c r="AC52" s="216">
        <f>Sizing!GJ68</f>
        <v>0.75</v>
      </c>
      <c r="AD52" s="216">
        <f>Sizing!GK68</f>
        <v>6.2992125984251982E-2</v>
      </c>
      <c r="AE52" s="17">
        <f>Sizing!GL68</f>
        <v>6.2992125984251982E-2</v>
      </c>
      <c r="AF52" s="170">
        <f>Sizing!JC68</f>
        <v>5.3419963961966015E-2</v>
      </c>
      <c r="AG52" s="272">
        <f>Sizing!JD68</f>
        <v>0.23112759238560421</v>
      </c>
      <c r="AH52" s="170">
        <f>Sizing!JC68</f>
        <v>5.3419963961966015E-2</v>
      </c>
      <c r="AI52" s="272">
        <f>Sizing!JD68</f>
        <v>0.23112759238560421</v>
      </c>
      <c r="AJ52" s="216">
        <f>Sizing!IT68</f>
        <v>0.5</v>
      </c>
      <c r="AK52" s="216">
        <f>Sizing!IU68</f>
        <v>1.5748031496062995E-2</v>
      </c>
      <c r="AL52" s="17">
        <f>Sizing!IV68</f>
        <v>1.5748031496062995E-2</v>
      </c>
      <c r="AM52" s="170">
        <f t="shared" si="13"/>
        <v>0</v>
      </c>
      <c r="AN52" s="11">
        <f t="shared" si="14"/>
        <v>19.706903155957939</v>
      </c>
      <c r="AO52" s="11">
        <f t="shared" si="15"/>
        <v>19.706903155957939</v>
      </c>
      <c r="AP52" s="11">
        <f t="shared" si="16"/>
        <v>39.413806311915877</v>
      </c>
      <c r="AQ52" s="555">
        <f t="shared" si="17"/>
        <v>628814960.38544202</v>
      </c>
      <c r="AR52" s="311">
        <f t="shared" si="18"/>
        <v>15.264066910623166</v>
      </c>
      <c r="AS52" s="11">
        <f t="shared" si="19"/>
        <v>1.3591290977859178</v>
      </c>
      <c r="AT52" s="11">
        <f t="shared" si="20"/>
        <v>91.234283549916171</v>
      </c>
      <c r="AU52" s="11">
        <f t="shared" si="21"/>
        <v>92.593412647702095</v>
      </c>
      <c r="AV52" s="555">
        <f t="shared" si="22"/>
        <v>1477251972.1957159</v>
      </c>
      <c r="AW52" s="138">
        <f t="shared" si="23"/>
        <v>4.724409448818899E-2</v>
      </c>
      <c r="AX52" s="138">
        <f t="shared" si="24"/>
        <v>0.12598425196850396</v>
      </c>
      <c r="AY52" s="554">
        <f t="shared" si="25"/>
        <v>3.1496062992125991E-2</v>
      </c>
      <c r="AZ52" s="12">
        <f t="shared" si="26"/>
        <v>1492.1488960132172</v>
      </c>
      <c r="BA52" s="11">
        <f t="shared" si="27"/>
        <v>189.97558223520684</v>
      </c>
      <c r="BB52">
        <f t="shared" si="28"/>
        <v>2214.7976825897481</v>
      </c>
      <c r="BC52" s="555">
        <f t="shared" si="29"/>
        <v>8351975483.4737501</v>
      </c>
      <c r="BD52">
        <f t="shared" si="30"/>
        <v>8</v>
      </c>
      <c r="BE52" s="207">
        <f t="shared" si="31"/>
        <v>4.9429135440000005</v>
      </c>
      <c r="BF52" s="207">
        <f>'Inputs-Imperial'!$E$15*BE52</f>
        <v>3.7071851580000006</v>
      </c>
      <c r="BG52" s="207">
        <f>'Inputs-Imperial'!$E$12*BE52</f>
        <v>1.2357283860000001</v>
      </c>
      <c r="BH52">
        <f>'Inputs-Imperial'!$E$11*BE52</f>
        <v>0.88972443792000011</v>
      </c>
      <c r="BI52">
        <f t="shared" si="32"/>
        <v>0.94369527516093221</v>
      </c>
      <c r="BJ52">
        <f>'Weight '!U54+'Weight '!V54 /12</f>
        <v>2.5590551181102369E-2</v>
      </c>
      <c r="BK52">
        <f>('Weight '!AK54+'Weight '!AL54)/12</f>
        <v>1.0498687664041996E-2</v>
      </c>
      <c r="BL52">
        <f>'Weight '!AG54/12</f>
        <v>0.15780444314699973</v>
      </c>
      <c r="BM52">
        <f>'Weight '!AI54/12</f>
        <v>0.15780444314699973</v>
      </c>
      <c r="BN52" s="554">
        <f t="shared" si="33"/>
        <v>2.8100335000796783</v>
      </c>
      <c r="BO52" s="554">
        <f t="shared" si="34"/>
        <v>5.156068971665519</v>
      </c>
      <c r="BP52">
        <f t="shared" si="35"/>
        <v>0.15780444314699973</v>
      </c>
      <c r="BQ52">
        <f t="shared" si="35"/>
        <v>0.15780444314699973</v>
      </c>
      <c r="BR52">
        <f t="shared" si="36"/>
        <v>0.5741155516260007</v>
      </c>
      <c r="BS52">
        <f t="shared" si="37"/>
        <v>0.82459330774172934</v>
      </c>
      <c r="BT52">
        <f t="shared" si="38"/>
        <v>1.9230853456722456</v>
      </c>
      <c r="BU52">
        <f t="shared" si="39"/>
        <v>2.3601223223228858</v>
      </c>
      <c r="BV52">
        <f t="shared" si="40"/>
        <v>135.14397654629573</v>
      </c>
      <c r="BW52" s="207">
        <f t="shared" si="41"/>
        <v>82.702131238433836</v>
      </c>
      <c r="BX52">
        <f t="shared" si="42"/>
        <v>1.7583837030023717</v>
      </c>
      <c r="BY52" s="575">
        <f t="shared" si="43"/>
        <v>-58.994786579932807</v>
      </c>
      <c r="BZ52">
        <f t="shared" si="44"/>
        <v>154.80890540627334</v>
      </c>
      <c r="CA52" s="207">
        <f t="shared" si="45"/>
        <v>70.66806528200398</v>
      </c>
      <c r="CB52">
        <f t="shared" si="46"/>
        <v>1.8370999122520082</v>
      </c>
      <c r="CC52">
        <f t="shared" si="47"/>
        <v>168.18561756610487</v>
      </c>
      <c r="CD52">
        <f t="shared" si="48"/>
        <v>98.747032884238394</v>
      </c>
      <c r="CE52" s="207">
        <f t="shared" si="49"/>
        <v>104.97544957893858</v>
      </c>
      <c r="CF52">
        <f t="shared" si="50"/>
        <v>1.6126913664701661</v>
      </c>
      <c r="CG52">
        <f t="shared" si="51"/>
        <v>-60.404278760201763</v>
      </c>
      <c r="CH52">
        <f t="shared" si="52"/>
        <v>118.88179247097231</v>
      </c>
      <c r="CI52" s="207">
        <f t="shared" ref="CI52" si="90" xml:space="preserve"> ($BQ$38-CH52*($BP52+$BR52+$BQ52+$BN52))/($BP52+$BR52+$BQ52+$BO52)</f>
        <v>92.653868015694073</v>
      </c>
      <c r="CJ52">
        <f t="shared" si="54"/>
        <v>1.6932882483661467</v>
      </c>
      <c r="CK52">
        <f t="shared" si="55"/>
        <v>15.903118925527691</v>
      </c>
      <c r="CL52">
        <f t="shared" si="56"/>
        <v>113.58075282912975</v>
      </c>
      <c r="CM52" s="207">
        <f t="shared" ref="CM52" si="91" xml:space="preserve"> ($BQ$38-CL52*($BP52+$BR52+$BQ52+$BN52))/($BP52+$BR52+$BQ52+$BO52)</f>
        <v>95.897869615792189</v>
      </c>
      <c r="CN52">
        <f t="shared" si="58"/>
        <v>1.6720688608637007</v>
      </c>
      <c r="CO52">
        <f t="shared" si="59"/>
        <v>-4.81646656945379</v>
      </c>
      <c r="CP52">
        <f t="shared" si="60"/>
        <v>115.18624168561435</v>
      </c>
      <c r="CQ52" s="207">
        <f t="shared" ref="CQ52" si="92" xml:space="preserve"> ($BQ$38-CP52*($BP52+$BR52+$BQ52+$BN52))/($BP52+$BR52+$BQ52+$BO52)</f>
        <v>94.915381505673949</v>
      </c>
      <c r="CR52">
        <f t="shared" si="62"/>
        <v>1.6784954285708542</v>
      </c>
      <c r="CS52">
        <f t="shared" si="63"/>
        <v>1.4112301793944049</v>
      </c>
      <c r="CT52">
        <f t="shared" si="64"/>
        <v>114.71583162581621</v>
      </c>
      <c r="CU52" s="636">
        <f t="shared" si="65"/>
        <v>95.203251638664881</v>
      </c>
      <c r="CV52" s="575">
        <f t="shared" si="66"/>
        <v>1.6766124369280231</v>
      </c>
      <c r="CW52">
        <f t="shared" si="67"/>
        <v>-0.41776673438660517</v>
      </c>
      <c r="CX52" s="576">
        <f t="shared" si="68"/>
        <v>0.3391951775007665</v>
      </c>
    </row>
    <row r="53" spans="1:102" x14ac:dyDescent="0.25">
      <c r="A53" s="186">
        <v>9</v>
      </c>
      <c r="B53" s="187">
        <f>A53/100*'Inputs-Imperial'!$E$5</f>
        <v>2.1673229039999997</v>
      </c>
      <c r="C53" s="188">
        <f>'Inputs-Imperial'!$E$10+('Inputs-Imperial'!$E$9-'Inputs-Imperial'!$E$10)*(100-A53)/100</f>
        <v>4.9251149870000006</v>
      </c>
      <c r="D53" s="187">
        <f t="shared" si="69"/>
        <v>0.24081365599999982</v>
      </c>
      <c r="E53" s="188">
        <f t="shared" si="70"/>
        <v>1.1881780140312088</v>
      </c>
      <c r="F53" s="423">
        <f>Sizing!F69</f>
        <v>863.09364623455872</v>
      </c>
      <c r="G53" s="423">
        <f>Sizing!G69</f>
        <v>8630.9364623455876</v>
      </c>
      <c r="H53" s="423">
        <f>Sizing!H69</f>
        <v>85068.869299919243</v>
      </c>
      <c r="I53" s="423">
        <f>Sizing!I69</f>
        <v>-20158.85669723614</v>
      </c>
      <c r="J53" s="189">
        <f>Sizing!J69</f>
        <v>8506.8869299919315</v>
      </c>
      <c r="K53" s="128">
        <v>9</v>
      </c>
      <c r="L53" s="12">
        <f t="shared" si="11"/>
        <v>26.007874847999997</v>
      </c>
      <c r="M53" s="11">
        <f t="shared" si="11"/>
        <v>59.101379844000007</v>
      </c>
      <c r="N53" s="11">
        <f t="shared" si="11"/>
        <v>2.8897638719999978</v>
      </c>
      <c r="O53" s="152">
        <f t="shared" si="71"/>
        <v>171.09763402049407</v>
      </c>
      <c r="P53" s="170">
        <f t="shared" si="0"/>
        <v>10.638248371920001</v>
      </c>
      <c r="Q53" s="8">
        <f t="shared" si="1"/>
        <v>5.3191241859600007</v>
      </c>
      <c r="R53" s="170">
        <f>Sizing!X69</f>
        <v>14.775344961000002</v>
      </c>
      <c r="S53" s="8">
        <f>Sizing!Y69</f>
        <v>44.326034883000005</v>
      </c>
      <c r="T53" s="8">
        <f>Sizing!Z69</f>
        <v>29.550689922000004</v>
      </c>
      <c r="U53" s="17">
        <f>Sizing!CN69</f>
        <v>2</v>
      </c>
      <c r="V53" s="17">
        <f>Sizing!CO69</f>
        <v>2.3622047244094495E-2</v>
      </c>
      <c r="W53" s="17">
        <f>Sizing!CP69</f>
        <v>2.3622047244094495E-2</v>
      </c>
      <c r="X53" s="170">
        <f>Sizing!DU69</f>
        <v>3.5859228878785925</v>
      </c>
      <c r="Y53" s="170">
        <f>Sizing!DV69</f>
        <v>1.8936533177639967</v>
      </c>
      <c r="Z53" s="170">
        <f>Sizing!DW69</f>
        <v>3.5859228878785925</v>
      </c>
      <c r="AA53" s="272">
        <f>Sizing!DX69</f>
        <v>1.8936533177639967</v>
      </c>
      <c r="AB53" s="272">
        <f t="shared" si="12"/>
        <v>4.6501068651796267</v>
      </c>
      <c r="AC53" s="216">
        <f>Sizing!GJ69</f>
        <v>0.75</v>
      </c>
      <c r="AD53" s="216">
        <f>Sizing!GK69</f>
        <v>6.2992125984251982E-2</v>
      </c>
      <c r="AE53" s="17">
        <f>Sizing!GL69</f>
        <v>6.2992125984251982E-2</v>
      </c>
      <c r="AF53" s="170">
        <f>Sizing!JC69</f>
        <v>5.3419963961966015E-2</v>
      </c>
      <c r="AG53" s="272">
        <f>Sizing!JD69</f>
        <v>0.23112759238560421</v>
      </c>
      <c r="AH53" s="170">
        <f>Sizing!JC69</f>
        <v>5.3419963961966015E-2</v>
      </c>
      <c r="AI53" s="272">
        <f>Sizing!JD69</f>
        <v>0.23112759238560421</v>
      </c>
      <c r="AJ53" s="216">
        <f>Sizing!IT69</f>
        <v>0.5</v>
      </c>
      <c r="AK53" s="216">
        <f>Sizing!IU69</f>
        <v>1.5748031496062995E-2</v>
      </c>
      <c r="AL53" s="17">
        <f>Sizing!IV69</f>
        <v>1.5748031496062995E-2</v>
      </c>
      <c r="AM53" s="170">
        <f t="shared" si="13"/>
        <v>0</v>
      </c>
      <c r="AN53" s="11">
        <f t="shared" si="14"/>
        <v>19.38504538495916</v>
      </c>
      <c r="AO53" s="11">
        <f t="shared" si="15"/>
        <v>19.38504538495916</v>
      </c>
      <c r="AP53" s="11">
        <f t="shared" si="16"/>
        <v>38.770090769918319</v>
      </c>
      <c r="AQ53" s="555">
        <f t="shared" si="17"/>
        <v>618545006.75961542</v>
      </c>
      <c r="AR53" s="311">
        <f t="shared" si="18"/>
        <v>15.209103706726889</v>
      </c>
      <c r="AS53" s="11">
        <f t="shared" si="19"/>
        <v>1.3493587534004463</v>
      </c>
      <c r="AT53" s="11">
        <f t="shared" si="20"/>
        <v>90.578429465490359</v>
      </c>
      <c r="AU53" s="11">
        <f t="shared" si="21"/>
        <v>91.927788218890811</v>
      </c>
      <c r="AV53" s="555">
        <f t="shared" si="22"/>
        <v>1466632480.2460635</v>
      </c>
      <c r="AW53" s="138">
        <f t="shared" si="23"/>
        <v>4.724409448818899E-2</v>
      </c>
      <c r="AX53" s="138">
        <f t="shared" si="24"/>
        <v>0.12598425196850396</v>
      </c>
      <c r="AY53" s="554">
        <f t="shared" si="25"/>
        <v>3.1496062992125991E-2</v>
      </c>
      <c r="AZ53" s="12">
        <f t="shared" si="26"/>
        <v>1481.4223148428146</v>
      </c>
      <c r="BA53" s="11">
        <f t="shared" si="27"/>
        <v>189.29151378065615</v>
      </c>
      <c r="BB53">
        <f t="shared" si="28"/>
        <v>2190.9584462896169</v>
      </c>
      <c r="BC53" s="555">
        <f t="shared" si="29"/>
        <v>8262078009.4567909</v>
      </c>
      <c r="BD53">
        <f t="shared" si="30"/>
        <v>9</v>
      </c>
      <c r="BE53" s="207">
        <f t="shared" si="31"/>
        <v>4.9251149870000006</v>
      </c>
      <c r="BF53" s="207">
        <f>'Inputs-Imperial'!$E$15*BE53</f>
        <v>3.6938362402500005</v>
      </c>
      <c r="BG53" s="207">
        <f>'Inputs-Imperial'!$E$12*BE53</f>
        <v>1.2312787467500002</v>
      </c>
      <c r="BH53">
        <f>'Inputs-Imperial'!$E$11*BE53</f>
        <v>0.88652069766000008</v>
      </c>
      <c r="BI53">
        <f t="shared" si="32"/>
        <v>0.94029719546642265</v>
      </c>
      <c r="BJ53">
        <f>'Weight '!U55+'Weight '!V55 /12</f>
        <v>2.5590551181102369E-2</v>
      </c>
      <c r="BK53">
        <f>('Weight '!AK55+'Weight '!AL55)/12</f>
        <v>1.0498687664041996E-2</v>
      </c>
      <c r="BL53">
        <f>'Weight '!AG55/12</f>
        <v>0.15780444314699973</v>
      </c>
      <c r="BM53">
        <f>'Weight '!AI55/12</f>
        <v>0.15780444314699973</v>
      </c>
      <c r="BN53" s="554">
        <f t="shared" si="33"/>
        <v>2.7977416131815009</v>
      </c>
      <c r="BO53" s="554">
        <f t="shared" si="34"/>
        <v>5.1396763332024733</v>
      </c>
      <c r="BP53">
        <f t="shared" si="35"/>
        <v>0.15780444314699973</v>
      </c>
      <c r="BQ53">
        <f t="shared" si="35"/>
        <v>0.15780444314699973</v>
      </c>
      <c r="BR53">
        <f t="shared" si="36"/>
        <v>0.57091181136600067</v>
      </c>
      <c r="BS53">
        <f t="shared" si="37"/>
        <v>0.81866557018705555</v>
      </c>
      <c r="BT53">
        <f t="shared" si="38"/>
        <v>1.9092609001942638</v>
      </c>
      <c r="BU53">
        <f t="shared" si="39"/>
        <v>2.3263119576073796</v>
      </c>
      <c r="BV53">
        <f t="shared" si="40"/>
        <v>135.71237816826292</v>
      </c>
      <c r="BW53" s="207">
        <f t="shared" si="41"/>
        <v>82.971067397781326</v>
      </c>
      <c r="BX53">
        <f t="shared" si="42"/>
        <v>1.752297393374191</v>
      </c>
      <c r="BY53" s="575">
        <f t="shared" si="43"/>
        <v>-58.867675197096077</v>
      </c>
      <c r="BZ53">
        <f t="shared" si="44"/>
        <v>155.33493656729493</v>
      </c>
      <c r="CA53" s="207">
        <f t="shared" si="45"/>
        <v>70.974338452213956</v>
      </c>
      <c r="CB53">
        <f t="shared" si="46"/>
        <v>1.8302357903067368</v>
      </c>
      <c r="CC53">
        <f t="shared" si="47"/>
        <v>167.93632191546627</v>
      </c>
      <c r="CD53">
        <f t="shared" si="48"/>
        <v>99.356162595472853</v>
      </c>
      <c r="CE53" s="207">
        <f t="shared" si="49"/>
        <v>105.19832517141054</v>
      </c>
      <c r="CF53">
        <f t="shared" si="50"/>
        <v>1.607894961099249</v>
      </c>
      <c r="CG53">
        <f t="shared" si="51"/>
        <v>-59.485732062509392</v>
      </c>
      <c r="CH53">
        <f t="shared" si="52"/>
        <v>119.18473994964265</v>
      </c>
      <c r="CI53" s="207">
        <f t="shared" ref="CI53" si="93" xml:space="preserve"> ($BQ$38-CH53*($BP53+$BR53+$BQ53+$BN53))/($BP53+$BR53+$BQ53+$BO53)</f>
        <v>93.075641520438467</v>
      </c>
      <c r="CJ53">
        <f t="shared" si="54"/>
        <v>1.6866516400709985</v>
      </c>
      <c r="CK53">
        <f t="shared" si="55"/>
        <v>15.376659158709973</v>
      </c>
      <c r="CL53">
        <f t="shared" si="56"/>
        <v>114.05918689673932</v>
      </c>
      <c r="CM53" s="207">
        <f t="shared" ref="CM53" si="94" xml:space="preserve"> ($BQ$38-CL53*($BP53+$BR53+$BQ53+$BN53))/($BP53+$BR53+$BQ53+$BO53)</f>
        <v>96.209273201964763</v>
      </c>
      <c r="CN53">
        <f t="shared" si="58"/>
        <v>1.666293571555544</v>
      </c>
      <c r="CO53">
        <f t="shared" si="59"/>
        <v>-4.573412680682778</v>
      </c>
      <c r="CP53">
        <f t="shared" si="60"/>
        <v>115.58365779030025</v>
      </c>
      <c r="CQ53" s="207">
        <f t="shared" ref="CQ53" si="95" xml:space="preserve"> ($BQ$38-CP53*($BP53+$BR53+$BQ53+$BN53))/($BP53+$BR53+$BQ53+$BO53)</f>
        <v>95.277250795734616</v>
      </c>
      <c r="CR53">
        <f t="shared" si="62"/>
        <v>1.6723485830988056</v>
      </c>
      <c r="CS53">
        <f t="shared" si="63"/>
        <v>1.3166410022800346</v>
      </c>
      <c r="CT53">
        <f t="shared" si="64"/>
        <v>115.14477745620691</v>
      </c>
      <c r="CU53" s="636">
        <f t="shared" si="65"/>
        <v>95.545570976038817</v>
      </c>
      <c r="CV53" s="575">
        <f t="shared" si="66"/>
        <v>1.670605404202921</v>
      </c>
      <c r="CW53">
        <f t="shared" si="67"/>
        <v>-0.38283288810139027</v>
      </c>
      <c r="CX53" s="576">
        <f t="shared" si="68"/>
        <v>0.33920129958641326</v>
      </c>
    </row>
    <row r="54" spans="1:102" x14ac:dyDescent="0.25">
      <c r="A54" s="186">
        <v>10</v>
      </c>
      <c r="B54" s="187">
        <f>A54/100*'Inputs-Imperial'!$E$5</f>
        <v>2.40813656</v>
      </c>
      <c r="C54" s="188">
        <f>'Inputs-Imperial'!$E$10+('Inputs-Imperial'!$E$9-'Inputs-Imperial'!$E$10)*(100-A54)/100</f>
        <v>4.9073164299999998</v>
      </c>
      <c r="D54" s="187">
        <f t="shared" si="69"/>
        <v>0.24081365600000026</v>
      </c>
      <c r="E54" s="188">
        <f t="shared" si="70"/>
        <v>1.1838918784485166</v>
      </c>
      <c r="F54" s="423">
        <f>Sizing!F70</f>
        <v>851.25143011253522</v>
      </c>
      <c r="G54" s="423">
        <f>Sizing!G70</f>
        <v>8512.5143011253513</v>
      </c>
      <c r="H54" s="423">
        <f>Sizing!H70</f>
        <v>82990.421935718099</v>
      </c>
      <c r="I54" s="423">
        <f>Sizing!I70</f>
        <v>-19825.957710997001</v>
      </c>
      <c r="J54" s="189">
        <f>Sizing!J70</f>
        <v>8299.0421935718168</v>
      </c>
      <c r="K54" s="128">
        <v>10</v>
      </c>
      <c r="L54" s="12">
        <f t="shared" si="11"/>
        <v>28.89763872</v>
      </c>
      <c r="M54" s="11">
        <f t="shared" si="11"/>
        <v>58.887797159999998</v>
      </c>
      <c r="N54" s="11">
        <f t="shared" si="11"/>
        <v>2.8897638720000032</v>
      </c>
      <c r="O54" s="152">
        <f t="shared" si="71"/>
        <v>170.48043049658639</v>
      </c>
      <c r="P54" s="170">
        <f t="shared" si="0"/>
        <v>10.599803488799999</v>
      </c>
      <c r="Q54" s="8">
        <f t="shared" si="1"/>
        <v>5.2999017443999996</v>
      </c>
      <c r="R54" s="170">
        <f>Sizing!X70</f>
        <v>14.72194929</v>
      </c>
      <c r="S54" s="8">
        <f>Sizing!Y70</f>
        <v>44.16584787</v>
      </c>
      <c r="T54" s="8">
        <f>Sizing!Z70</f>
        <v>29.443898580000003</v>
      </c>
      <c r="U54" s="17">
        <f>Sizing!CN70</f>
        <v>2</v>
      </c>
      <c r="V54" s="17">
        <f>Sizing!CO70</f>
        <v>2.3622047244094495E-2</v>
      </c>
      <c r="W54" s="17">
        <f>Sizing!CP70</f>
        <v>2.3622047244094495E-2</v>
      </c>
      <c r="X54" s="170">
        <f>Sizing!DU70</f>
        <v>2.8934969275004128</v>
      </c>
      <c r="Y54" s="170">
        <f>Sizing!DV70</f>
        <v>1.7010281971503038</v>
      </c>
      <c r="Z54" s="170">
        <f>Sizing!DW70</f>
        <v>2.8934969275004128</v>
      </c>
      <c r="AA54" s="272">
        <f>Sizing!DX70</f>
        <v>1.7010281971503038</v>
      </c>
      <c r="AB54" s="272">
        <f t="shared" si="12"/>
        <v>4.8042871026733174</v>
      </c>
      <c r="AC54" s="216">
        <f>Sizing!GJ70</f>
        <v>0.75</v>
      </c>
      <c r="AD54" s="216">
        <f>Sizing!GK70</f>
        <v>6.2992125984251982E-2</v>
      </c>
      <c r="AE54" s="17">
        <f>Sizing!GL70</f>
        <v>6.2992125984251982E-2</v>
      </c>
      <c r="AF54" s="170">
        <f>Sizing!JC70</f>
        <v>4.3725358123599019E-2</v>
      </c>
      <c r="AG54" s="272">
        <f>Sizing!JD70</f>
        <v>0.20910609298535282</v>
      </c>
      <c r="AH54" s="170">
        <f>Sizing!JC70</f>
        <v>4.3725358123599019E-2</v>
      </c>
      <c r="AI54" s="272">
        <f>Sizing!JD70</f>
        <v>0.20910609298535282</v>
      </c>
      <c r="AJ54" s="216">
        <f>Sizing!IT70</f>
        <v>0.5</v>
      </c>
      <c r="AK54" s="216">
        <f>Sizing!IU70</f>
        <v>1.5748031496062995E-2</v>
      </c>
      <c r="AL54" s="17">
        <f>Sizing!IV70</f>
        <v>1.5748031496062995E-2</v>
      </c>
      <c r="AM54" s="170">
        <f t="shared" si="13"/>
        <v>0</v>
      </c>
      <c r="AN54" s="11">
        <f t="shared" si="14"/>
        <v>16.69632692166924</v>
      </c>
      <c r="AO54" s="11">
        <f t="shared" si="15"/>
        <v>16.69632692166924</v>
      </c>
      <c r="AP54" s="11">
        <f t="shared" si="16"/>
        <v>33.392653843338479</v>
      </c>
      <c r="AQ54" s="555">
        <f t="shared" si="17"/>
        <v>532752410.09431392</v>
      </c>
      <c r="AR54" s="311">
        <f t="shared" si="18"/>
        <v>15.160269881623831</v>
      </c>
      <c r="AS54" s="11">
        <f t="shared" si="19"/>
        <v>1.111825853199359</v>
      </c>
      <c r="AT54" s="11">
        <f t="shared" si="20"/>
        <v>73.574347431396575</v>
      </c>
      <c r="AU54" s="11">
        <f t="shared" si="21"/>
        <v>74.686173284595938</v>
      </c>
      <c r="AV54" s="555">
        <f t="shared" si="22"/>
        <v>1191556652.0936348</v>
      </c>
      <c r="AW54" s="138">
        <f t="shared" si="23"/>
        <v>4.724409448818899E-2</v>
      </c>
      <c r="AX54" s="138">
        <f t="shared" si="24"/>
        <v>0.12598425196850396</v>
      </c>
      <c r="AY54" s="554">
        <f t="shared" si="25"/>
        <v>3.1496062992125991E-2</v>
      </c>
      <c r="AZ54" s="12">
        <f t="shared" si="26"/>
        <v>1470.7344278585451</v>
      </c>
      <c r="BA54" s="11">
        <f t="shared" si="27"/>
        <v>188.60744532610556</v>
      </c>
      <c r="BB54">
        <f t="shared" si="28"/>
        <v>2167.2908909877019</v>
      </c>
      <c r="BC54" s="555">
        <f t="shared" si="29"/>
        <v>8172827942.423933</v>
      </c>
      <c r="BD54">
        <f t="shared" si="30"/>
        <v>10</v>
      </c>
      <c r="BE54" s="207">
        <f t="shared" si="31"/>
        <v>4.9073164299999998</v>
      </c>
      <c r="BF54" s="207">
        <f>'Inputs-Imperial'!$E$15*BE54</f>
        <v>3.6804873224999999</v>
      </c>
      <c r="BG54" s="207">
        <f>'Inputs-Imperial'!$E$12*BE54</f>
        <v>1.2268291075</v>
      </c>
      <c r="BH54">
        <f>'Inputs-Imperial'!$E$11*BE54</f>
        <v>0.88331695739999994</v>
      </c>
      <c r="BI54">
        <f t="shared" si="32"/>
        <v>0.93689911577191298</v>
      </c>
      <c r="BJ54">
        <f>'Weight '!U56+'Weight '!V56 /12</f>
        <v>2.5590551181102369E-2</v>
      </c>
      <c r="BK54">
        <f>('Weight '!AK56+'Weight '!AL56)/12</f>
        <v>1.0498687664041996E-2</v>
      </c>
      <c r="BL54">
        <f>'Weight '!AG56/12</f>
        <v>0.14175234976252532</v>
      </c>
      <c r="BM54">
        <f>'Weight '!AI56/12</f>
        <v>0.14175234976252532</v>
      </c>
      <c r="BN54" s="554">
        <f t="shared" si="33"/>
        <v>2.7854469469994125</v>
      </c>
      <c r="BO54" s="554">
        <f t="shared" si="34"/>
        <v>5.1232864740233373</v>
      </c>
      <c r="BP54">
        <f t="shared" si="35"/>
        <v>0.14175234976252532</v>
      </c>
      <c r="BQ54">
        <f t="shared" si="35"/>
        <v>0.14175234976252532</v>
      </c>
      <c r="BR54">
        <f t="shared" si="36"/>
        <v>0.59981225787494941</v>
      </c>
      <c r="BS54">
        <f t="shared" si="37"/>
        <v>0.812759215864993</v>
      </c>
      <c r="BT54">
        <f t="shared" si="38"/>
        <v>1.8954863238831694</v>
      </c>
      <c r="BU54">
        <f t="shared" si="39"/>
        <v>2.2928661679745641</v>
      </c>
      <c r="BV54">
        <f t="shared" si="40"/>
        <v>136.28568450546055</v>
      </c>
      <c r="BW54" s="207">
        <f t="shared" si="41"/>
        <v>83.241719835251217</v>
      </c>
      <c r="BX54">
        <f t="shared" si="42"/>
        <v>1.7462114703460978</v>
      </c>
      <c r="BY54" s="575">
        <f t="shared" si="43"/>
        <v>-58.739444962503327</v>
      </c>
      <c r="BZ54">
        <f t="shared" si="44"/>
        <v>155.86549949296165</v>
      </c>
      <c r="CA54" s="207">
        <f t="shared" si="45"/>
        <v>71.282595298218013</v>
      </c>
      <c r="CB54">
        <f t="shared" si="46"/>
        <v>1.8233755345092679</v>
      </c>
      <c r="CC54">
        <f t="shared" si="47"/>
        <v>167.68963010508267</v>
      </c>
      <c r="CD54">
        <f t="shared" si="48"/>
        <v>99.968956124600766</v>
      </c>
      <c r="CE54" s="207">
        <f t="shared" si="49"/>
        <v>105.42355749620762</v>
      </c>
      <c r="CF54">
        <f t="shared" si="50"/>
        <v>1.6030872191329997</v>
      </c>
      <c r="CG54">
        <f t="shared" si="51"/>
        <v>-58.56967013414949</v>
      </c>
      <c r="CH54">
        <f t="shared" si="52"/>
        <v>119.4921795026506</v>
      </c>
      <c r="CI54" s="207">
        <f t="shared" ref="CI54" si="96" xml:space="preserve"> ($BQ$38-CH54*($BP54+$BR54+$BQ54+$BN54))/($BP54+$BR54+$BQ54+$BO54)</f>
        <v>93.498998459696807</v>
      </c>
      <c r="CJ54">
        <f t="shared" si="54"/>
        <v>1.6800282557248889</v>
      </c>
      <c r="CK54">
        <f t="shared" si="55"/>
        <v>14.859675841161808</v>
      </c>
      <c r="CL54">
        <f t="shared" si="56"/>
        <v>114.53895422226333</v>
      </c>
      <c r="CM54" s="207">
        <f t="shared" ref="CM54" si="97" xml:space="preserve"> ($BQ$38-CL54*($BP54+$BR54+$BQ54+$BN54))/($BP54+$BR54+$BQ54+$BO54)</f>
        <v>96.524371172664033</v>
      </c>
      <c r="CN54">
        <f t="shared" si="58"/>
        <v>1.6605075915309511</v>
      </c>
      <c r="CO54">
        <f t="shared" si="59"/>
        <v>-4.3388715154051418</v>
      </c>
      <c r="CP54">
        <f t="shared" si="60"/>
        <v>115.98524472739838</v>
      </c>
      <c r="CQ54" s="207">
        <f t="shared" ref="CQ54" si="98" xml:space="preserve"> ($BQ$38-CP54*($BP54+$BR54+$BQ54+$BN54))/($BP54+$BR54+$BQ54+$BO54)</f>
        <v>95.640993659716116</v>
      </c>
      <c r="CR54">
        <f t="shared" si="62"/>
        <v>1.6662074233939215</v>
      </c>
      <c r="CS54">
        <f t="shared" si="63"/>
        <v>1.2269276885216236</v>
      </c>
      <c r="CT54">
        <f t="shared" si="64"/>
        <v>115.57626883122451</v>
      </c>
      <c r="CU54" s="636">
        <f t="shared" si="65"/>
        <v>95.890791406942554</v>
      </c>
      <c r="CV54" s="575">
        <f t="shared" si="66"/>
        <v>1.6645956491093485</v>
      </c>
      <c r="CW54">
        <f t="shared" si="67"/>
        <v>-0.35028924310419818</v>
      </c>
      <c r="CX54" s="576">
        <f t="shared" si="68"/>
        <v>0.33920691132390429</v>
      </c>
    </row>
    <row r="55" spans="1:102" x14ac:dyDescent="0.25">
      <c r="A55" s="186">
        <v>11</v>
      </c>
      <c r="B55" s="187">
        <f>A55/100*'Inputs-Imperial'!$E$5</f>
        <v>2.6489502159999998</v>
      </c>
      <c r="C55" s="188">
        <f>'Inputs-Imperial'!$E$10+('Inputs-Imperial'!$E$9-'Inputs-Imperial'!$E$10)*(100-A55)/100</f>
        <v>4.8895178730000008</v>
      </c>
      <c r="D55" s="187">
        <f t="shared" si="69"/>
        <v>0.24081365599999982</v>
      </c>
      <c r="E55" s="188">
        <f t="shared" si="70"/>
        <v>1.17960574286582</v>
      </c>
      <c r="F55" s="423">
        <f>Sizing!F71</f>
        <v>839.43602285760687</v>
      </c>
      <c r="G55" s="423">
        <f>Sizing!G71</f>
        <v>8394.360228576068</v>
      </c>
      <c r="H55" s="423">
        <f>Sizing!H71</f>
        <v>80940.492245111818</v>
      </c>
      <c r="I55" s="423">
        <f>Sizing!I71</f>
        <v>-19494.573930277678</v>
      </c>
      <c r="J55" s="189">
        <f>Sizing!J71</f>
        <v>8094.0492245111882</v>
      </c>
      <c r="K55" s="128">
        <v>11</v>
      </c>
      <c r="L55" s="12">
        <f t="shared" si="11"/>
        <v>31.787402591999999</v>
      </c>
      <c r="M55" s="11">
        <f t="shared" si="11"/>
        <v>58.67421447600001</v>
      </c>
      <c r="N55" s="11">
        <f t="shared" si="11"/>
        <v>2.8897638719999978</v>
      </c>
      <c r="O55" s="152">
        <f t="shared" si="71"/>
        <v>169.86322697267809</v>
      </c>
      <c r="P55" s="170">
        <f t="shared" si="0"/>
        <v>10.561358605680001</v>
      </c>
      <c r="Q55" s="8">
        <f t="shared" si="1"/>
        <v>5.2806793028400003</v>
      </c>
      <c r="R55" s="170">
        <f>Sizing!X71</f>
        <v>14.668553619000003</v>
      </c>
      <c r="S55" s="8">
        <f>Sizing!Y71</f>
        <v>44.005660857000009</v>
      </c>
      <c r="T55" s="8">
        <f>Sizing!Z71</f>
        <v>29.337107238000009</v>
      </c>
      <c r="U55" s="17">
        <f>Sizing!CN71</f>
        <v>2</v>
      </c>
      <c r="V55" s="17">
        <f>Sizing!CO71</f>
        <v>2.3622047244094495E-2</v>
      </c>
      <c r="W55" s="17">
        <f>Sizing!CP71</f>
        <v>2.3622047244094495E-2</v>
      </c>
      <c r="X55" s="170">
        <f>Sizing!DU71</f>
        <v>2.8934969275004128</v>
      </c>
      <c r="Y55" s="170">
        <f>Sizing!DV71</f>
        <v>1.7010281971503038</v>
      </c>
      <c r="Z55" s="170">
        <f>Sizing!DW71</f>
        <v>2.8934969275004128</v>
      </c>
      <c r="AA55" s="272">
        <f>Sizing!DX71</f>
        <v>1.7010281971503038</v>
      </c>
      <c r="AB55" s="272">
        <f t="shared" si="12"/>
        <v>4.7658422195533188</v>
      </c>
      <c r="AC55" s="216">
        <f>Sizing!GJ71</f>
        <v>0.75</v>
      </c>
      <c r="AD55" s="216">
        <f>Sizing!GK71</f>
        <v>6.2992125984251982E-2</v>
      </c>
      <c r="AE55" s="17">
        <f>Sizing!GL71</f>
        <v>6.2992125984251982E-2</v>
      </c>
      <c r="AF55" s="170">
        <f>Sizing!JC71</f>
        <v>4.3725358123599019E-2</v>
      </c>
      <c r="AG55" s="272">
        <f>Sizing!JD71</f>
        <v>0.20910609298535282</v>
      </c>
      <c r="AH55" s="170">
        <f>Sizing!JC71</f>
        <v>4.3725358123599019E-2</v>
      </c>
      <c r="AI55" s="272">
        <f>Sizing!JD71</f>
        <v>0.20910609298535282</v>
      </c>
      <c r="AJ55" s="216">
        <f>Sizing!IT71</f>
        <v>0.5</v>
      </c>
      <c r="AK55" s="216">
        <f>Sizing!IU71</f>
        <v>1.5748031496062995E-2</v>
      </c>
      <c r="AL55" s="17">
        <f>Sizing!IV71</f>
        <v>1.5748031496062995E-2</v>
      </c>
      <c r="AM55" s="170">
        <f t="shared" si="13"/>
        <v>0</v>
      </c>
      <c r="AN55" s="11">
        <f t="shared" si="14"/>
        <v>16.430181263501133</v>
      </c>
      <c r="AO55" s="11">
        <f t="shared" si="15"/>
        <v>16.430181263501133</v>
      </c>
      <c r="AP55" s="11">
        <f t="shared" si="16"/>
        <v>32.860362527002266</v>
      </c>
      <c r="AQ55" s="555">
        <f t="shared" si="17"/>
        <v>524260138.62104899</v>
      </c>
      <c r="AR55" s="311">
        <f t="shared" si="18"/>
        <v>15.105284446820018</v>
      </c>
      <c r="AS55" s="11">
        <f t="shared" si="19"/>
        <v>1.1037754209497368</v>
      </c>
      <c r="AT55" s="11">
        <f t="shared" si="20"/>
        <v>73.041615351455619</v>
      </c>
      <c r="AU55" s="11">
        <f t="shared" si="21"/>
        <v>74.145390772405349</v>
      </c>
      <c r="AV55" s="555">
        <f t="shared" si="22"/>
        <v>1182928910.5532939</v>
      </c>
      <c r="AW55" s="138">
        <f t="shared" si="23"/>
        <v>4.724409448818899E-2</v>
      </c>
      <c r="AX55" s="138">
        <f t="shared" si="24"/>
        <v>0.12598425196850396</v>
      </c>
      <c r="AY55" s="554">
        <f t="shared" si="25"/>
        <v>3.1496062992125991E-2</v>
      </c>
      <c r="AZ55" s="12">
        <f t="shared" si="26"/>
        <v>1460.0852350604105</v>
      </c>
      <c r="BA55" s="11">
        <f t="shared" si="27"/>
        <v>187.92337687155498</v>
      </c>
      <c r="BB55">
        <f t="shared" si="28"/>
        <v>2143.7943962570671</v>
      </c>
      <c r="BC55" s="555">
        <f t="shared" si="29"/>
        <v>8084222942.7526455</v>
      </c>
      <c r="BD55">
        <f t="shared" si="30"/>
        <v>11</v>
      </c>
      <c r="BE55" s="207">
        <f t="shared" si="31"/>
        <v>4.8895178730000008</v>
      </c>
      <c r="BF55" s="207">
        <f>'Inputs-Imperial'!$E$15*BE55</f>
        <v>3.6671384047500006</v>
      </c>
      <c r="BG55" s="207">
        <f>'Inputs-Imperial'!$E$12*BE55</f>
        <v>1.2223794682500002</v>
      </c>
      <c r="BH55">
        <f>'Inputs-Imperial'!$E$11*BE55</f>
        <v>0.88011321714000013</v>
      </c>
      <c r="BI55">
        <f t="shared" si="32"/>
        <v>0.93350103607740365</v>
      </c>
      <c r="BJ55">
        <f>'Weight '!U57+'Weight '!V57 /12</f>
        <v>2.5590551181102369E-2</v>
      </c>
      <c r="BK55">
        <f>('Weight '!AK57+'Weight '!AL57)/12</f>
        <v>1.0498687664041996E-2</v>
      </c>
      <c r="BL55">
        <f>'Weight '!AG57/12</f>
        <v>0.14175234976252532</v>
      </c>
      <c r="BM55">
        <f>'Weight '!AI57/12</f>
        <v>0.14175234976252532</v>
      </c>
      <c r="BN55" s="554">
        <f t="shared" si="33"/>
        <v>2.7731495070948471</v>
      </c>
      <c r="BO55" s="554">
        <f t="shared" si="34"/>
        <v>5.106899388566684</v>
      </c>
      <c r="BP55">
        <f t="shared" si="35"/>
        <v>0.14175234976252532</v>
      </c>
      <c r="BQ55">
        <f t="shared" si="35"/>
        <v>0.14175234976252532</v>
      </c>
      <c r="BR55">
        <f t="shared" si="36"/>
        <v>0.5966085176149496</v>
      </c>
      <c r="BS55">
        <f t="shared" si="37"/>
        <v>0.80687424477554281</v>
      </c>
      <c r="BT55">
        <f t="shared" si="38"/>
        <v>1.8817616167389641</v>
      </c>
      <c r="BU55">
        <f t="shared" si="39"/>
        <v>2.2597823231624572</v>
      </c>
      <c r="BV55">
        <f t="shared" si="40"/>
        <v>136.86395908050162</v>
      </c>
      <c r="BW55" s="207">
        <f t="shared" si="41"/>
        <v>83.514105102002205</v>
      </c>
      <c r="BX55">
        <f t="shared" si="42"/>
        <v>1.7401259347406386</v>
      </c>
      <c r="BY55" s="575">
        <f t="shared" si="43"/>
        <v>-58.610083294324554</v>
      </c>
      <c r="BZ55">
        <f t="shared" si="44"/>
        <v>156.40065351194312</v>
      </c>
      <c r="CA55" s="207">
        <f t="shared" si="45"/>
        <v>71.592854518176651</v>
      </c>
      <c r="CB55">
        <f t="shared" si="46"/>
        <v>1.8165191494145381</v>
      </c>
      <c r="CC55">
        <f t="shared" si="47"/>
        <v>167.44557487822951</v>
      </c>
      <c r="CD55">
        <f t="shared" si="48"/>
        <v>100.58546188586661</v>
      </c>
      <c r="CE55" s="207">
        <f t="shared" si="49"/>
        <v>105.65116914728071</v>
      </c>
      <c r="CF55">
        <f t="shared" si="50"/>
        <v>1.5982682098342185</v>
      </c>
      <c r="CG55">
        <f t="shared" si="51"/>
        <v>-57.656078948030697</v>
      </c>
      <c r="CH55">
        <f t="shared" si="52"/>
        <v>119.80415486854351</v>
      </c>
      <c r="CI55" s="207">
        <f t="shared" ref="CI55" si="99" xml:space="preserve"> ($BQ$38-CH55*($BP55+$BR55+$BQ55+$BN55))/($BP55+$BR55+$BQ55+$BO55)</f>
        <v>93.923962390574715</v>
      </c>
      <c r="CJ55">
        <f t="shared" si="54"/>
        <v>1.6734179616988216</v>
      </c>
      <c r="CK55">
        <f t="shared" si="55"/>
        <v>14.352125118328663</v>
      </c>
      <c r="CL55">
        <f t="shared" si="56"/>
        <v>115.02011316243396</v>
      </c>
      <c r="CM55" s="207">
        <f t="shared" ref="CM55" si="100" xml:space="preserve"> ($BQ$38-CL55*($BP55+$BR55+$BQ55+$BN55))/($BP55+$BR55+$BQ55+$BO55)</f>
        <v>96.843174756931816</v>
      </c>
      <c r="CN55">
        <f t="shared" si="58"/>
        <v>1.654711198057397</v>
      </c>
      <c r="CO55">
        <f t="shared" si="59"/>
        <v>-4.1126752890178162</v>
      </c>
      <c r="CP55">
        <f t="shared" si="60"/>
        <v>116.3910049254399</v>
      </c>
      <c r="CQ55" s="207">
        <f t="shared" ref="CQ55" si="101" xml:space="preserve"> ($BQ$38-CP55*($BP55+$BR55+$BQ55+$BN55))/($BP55+$BR55+$BQ55+$BO55)</f>
        <v>96.006659435087272</v>
      </c>
      <c r="CR55">
        <f t="shared" si="62"/>
        <v>1.660071717418208</v>
      </c>
      <c r="CS55">
        <f t="shared" si="63"/>
        <v>1.1419157495543786</v>
      </c>
      <c r="CT55">
        <f t="shared" si="64"/>
        <v>116.01036634225511</v>
      </c>
      <c r="CU55" s="636">
        <f t="shared" si="65"/>
        <v>96.238924312236364</v>
      </c>
      <c r="CV55" s="575">
        <f t="shared" si="66"/>
        <v>1.6585833282180573</v>
      </c>
      <c r="CW55">
        <f t="shared" si="67"/>
        <v>-0.32000940601672134</v>
      </c>
      <c r="CX55" s="576">
        <f t="shared" si="68"/>
        <v>0.33921203916173048</v>
      </c>
    </row>
    <row r="56" spans="1:102" x14ac:dyDescent="0.25">
      <c r="A56" s="186">
        <v>12</v>
      </c>
      <c r="B56" s="187">
        <f>A56/100*'Inputs-Imperial'!$E$5</f>
        <v>2.8897638719999996</v>
      </c>
      <c r="C56" s="188">
        <f>'Inputs-Imperial'!$E$10+('Inputs-Imperial'!$E$9-'Inputs-Imperial'!$E$10)*(100-A56)/100</f>
        <v>4.8717193160000001</v>
      </c>
      <c r="D56" s="187">
        <f t="shared" si="69"/>
        <v>0.24081365599999982</v>
      </c>
      <c r="E56" s="188">
        <f t="shared" si="70"/>
        <v>1.1753196072831258</v>
      </c>
      <c r="F56" s="423">
        <f>Sizing!F72</f>
        <v>827.64805300830585</v>
      </c>
      <c r="G56" s="423">
        <f>Sizing!G72</f>
        <v>8276.4805300830576</v>
      </c>
      <c r="H56" s="423">
        <f>Sizing!H72</f>
        <v>78919.015668687425</v>
      </c>
      <c r="I56" s="423">
        <f>Sizing!I72</f>
        <v>-19164.737122816216</v>
      </c>
      <c r="J56" s="189">
        <f>Sizing!J72</f>
        <v>7891.9015668687489</v>
      </c>
      <c r="K56" s="128">
        <v>12</v>
      </c>
      <c r="L56" s="12">
        <f t="shared" si="11"/>
        <v>34.677166463999995</v>
      </c>
      <c r="M56" s="11">
        <f t="shared" si="11"/>
        <v>58.460631792000001</v>
      </c>
      <c r="N56" s="11">
        <f t="shared" si="11"/>
        <v>2.8897638719999978</v>
      </c>
      <c r="O56" s="152">
        <f t="shared" si="71"/>
        <v>169.2460234487701</v>
      </c>
      <c r="P56" s="170">
        <f t="shared" si="0"/>
        <v>10.52291372256</v>
      </c>
      <c r="Q56" s="8">
        <f t="shared" si="1"/>
        <v>5.2614568612800001</v>
      </c>
      <c r="R56" s="170">
        <f>Sizing!X72</f>
        <v>14.615157948</v>
      </c>
      <c r="S56" s="8">
        <f>Sizing!Y72</f>
        <v>43.845473843999997</v>
      </c>
      <c r="T56" s="8">
        <f>Sizing!Z72</f>
        <v>29.230315895999997</v>
      </c>
      <c r="U56" s="17">
        <f>Sizing!CN72</f>
        <v>2</v>
      </c>
      <c r="V56" s="17">
        <f>Sizing!CO72</f>
        <v>2.3622047244094495E-2</v>
      </c>
      <c r="W56" s="17">
        <f>Sizing!CP72</f>
        <v>2.3622047244094495E-2</v>
      </c>
      <c r="X56" s="170">
        <f>Sizing!DU72</f>
        <v>2.8934969275004128</v>
      </c>
      <c r="Y56" s="170">
        <f>Sizing!DV72</f>
        <v>1.7010281971503038</v>
      </c>
      <c r="Z56" s="170">
        <f>Sizing!DW72</f>
        <v>2.8934969275004128</v>
      </c>
      <c r="AA56" s="272">
        <f>Sizing!DX72</f>
        <v>1.7010281971503038</v>
      </c>
      <c r="AB56" s="272">
        <f t="shared" si="12"/>
        <v>4.7273973364333184</v>
      </c>
      <c r="AC56" s="216">
        <f>Sizing!GJ72</f>
        <v>0.75</v>
      </c>
      <c r="AD56" s="216">
        <f>Sizing!GK72</f>
        <v>6.2992125984251982E-2</v>
      </c>
      <c r="AE56" s="17">
        <f>Sizing!GL72</f>
        <v>6.2992125984251982E-2</v>
      </c>
      <c r="AF56" s="170">
        <f>Sizing!JC72</f>
        <v>4.3725358123599019E-2</v>
      </c>
      <c r="AG56" s="272">
        <f>Sizing!JD72</f>
        <v>0.20910609298535282</v>
      </c>
      <c r="AH56" s="170">
        <f>Sizing!JC72</f>
        <v>4.3725358123599019E-2</v>
      </c>
      <c r="AI56" s="272">
        <f>Sizing!JD72</f>
        <v>0.20910609298535282</v>
      </c>
      <c r="AJ56" s="216">
        <f>Sizing!IT72</f>
        <v>0.5</v>
      </c>
      <c r="AK56" s="216">
        <f>Sizing!IU72</f>
        <v>1.5748031496062995E-2</v>
      </c>
      <c r="AL56" s="17">
        <f>Sizing!IV72</f>
        <v>1.5748031496062995E-2</v>
      </c>
      <c r="AM56" s="170">
        <f t="shared" si="13"/>
        <v>0</v>
      </c>
      <c r="AN56" s="11">
        <f t="shared" si="14"/>
        <v>16.16617391263831</v>
      </c>
      <c r="AO56" s="11">
        <f t="shared" si="15"/>
        <v>16.16617391263831</v>
      </c>
      <c r="AP56" s="11">
        <f t="shared" si="16"/>
        <v>32.332347825276621</v>
      </c>
      <c r="AQ56" s="555">
        <f t="shared" si="17"/>
        <v>515836097.02707177</v>
      </c>
      <c r="AR56" s="311">
        <f t="shared" si="18"/>
        <v>15.050299012016199</v>
      </c>
      <c r="AS56" s="11">
        <f t="shared" si="19"/>
        <v>1.0957542402058142</v>
      </c>
      <c r="AT56" s="11">
        <f t="shared" si="20"/>
        <v>72.510818970740957</v>
      </c>
      <c r="AU56" s="11">
        <f t="shared" si="21"/>
        <v>73.606573210946777</v>
      </c>
      <c r="AV56" s="555">
        <f t="shared" si="22"/>
        <v>1174332518.1906228</v>
      </c>
      <c r="AW56" s="138">
        <f t="shared" si="23"/>
        <v>4.724409448818899E-2</v>
      </c>
      <c r="AX56" s="138">
        <f t="shared" si="24"/>
        <v>0.12598425196850396</v>
      </c>
      <c r="AY56" s="554">
        <f t="shared" si="25"/>
        <v>3.1496062992125991E-2</v>
      </c>
      <c r="AZ56" s="12">
        <f t="shared" si="26"/>
        <v>1449.4747364484092</v>
      </c>
      <c r="BA56" s="11">
        <f t="shared" si="27"/>
        <v>187.23930841700431</v>
      </c>
      <c r="BB56">
        <f t="shared" si="28"/>
        <v>2120.4683416707667</v>
      </c>
      <c r="BC56" s="555">
        <f t="shared" si="29"/>
        <v>7996260670.8203621</v>
      </c>
      <c r="BD56">
        <f t="shared" si="30"/>
        <v>12</v>
      </c>
      <c r="BE56" s="207">
        <f t="shared" si="31"/>
        <v>4.8717193160000001</v>
      </c>
      <c r="BF56" s="207">
        <f>'Inputs-Imperial'!$E$15*BE56</f>
        <v>3.6537894870000001</v>
      </c>
      <c r="BG56" s="207">
        <f>'Inputs-Imperial'!$E$12*BE56</f>
        <v>1.217929829</v>
      </c>
      <c r="BH56">
        <f>'Inputs-Imperial'!$E$11*BE56</f>
        <v>0.87690947687999998</v>
      </c>
      <c r="BI56">
        <f t="shared" si="32"/>
        <v>0.93010295638289398</v>
      </c>
      <c r="BJ56">
        <f>'Weight '!U58+'Weight '!V58 /12</f>
        <v>2.5590551181102369E-2</v>
      </c>
      <c r="BK56">
        <f>('Weight '!AK58+'Weight '!AL58)/12</f>
        <v>1.0498687664041996E-2</v>
      </c>
      <c r="BL56">
        <f>'Weight '!AG58/12</f>
        <v>0.14175234976252532</v>
      </c>
      <c r="BM56">
        <f>'Weight '!AI58/12</f>
        <v>0.14175234976252532</v>
      </c>
      <c r="BN56" s="554">
        <f t="shared" si="33"/>
        <v>2.7608492995083456</v>
      </c>
      <c r="BO56" s="554">
        <f t="shared" si="34"/>
        <v>5.0905150707919615</v>
      </c>
      <c r="BP56">
        <f t="shared" si="35"/>
        <v>0.14175234976252532</v>
      </c>
      <c r="BQ56">
        <f t="shared" si="35"/>
        <v>0.14175234976252532</v>
      </c>
      <c r="BR56">
        <f t="shared" si="36"/>
        <v>0.59340477735494934</v>
      </c>
      <c r="BS56">
        <f t="shared" si="37"/>
        <v>0.80101065691870343</v>
      </c>
      <c r="BT56">
        <f t="shared" si="38"/>
        <v>1.8680867787616455</v>
      </c>
      <c r="BU56">
        <f t="shared" si="39"/>
        <v>2.2270578024316077</v>
      </c>
      <c r="BV56">
        <f t="shared" si="40"/>
        <v>137.44726649973532</v>
      </c>
      <c r="BW56" s="207">
        <f t="shared" si="41"/>
        <v>83.78823996946258</v>
      </c>
      <c r="BX56">
        <f t="shared" si="42"/>
        <v>1.734040787355944</v>
      </c>
      <c r="BY56" s="575">
        <f t="shared" si="43"/>
        <v>-58.479577440670809</v>
      </c>
      <c r="BZ56">
        <f t="shared" si="44"/>
        <v>156.94045897995892</v>
      </c>
      <c r="CA56" s="207">
        <f t="shared" si="45"/>
        <v>71.905135045676815</v>
      </c>
      <c r="CB56">
        <f t="shared" si="46"/>
        <v>1.8096666395815204</v>
      </c>
      <c r="CC56">
        <f t="shared" si="47"/>
        <v>167.20418949109177</v>
      </c>
      <c r="CD56">
        <f t="shared" si="48"/>
        <v>101.20572914959499</v>
      </c>
      <c r="CE56" s="207">
        <f t="shared" si="49"/>
        <v>105.88118299908366</v>
      </c>
      <c r="CF56">
        <f t="shared" si="50"/>
        <v>1.593438002519646</v>
      </c>
      <c r="CG56">
        <f t="shared" si="51"/>
        <v>-56.744943903951643</v>
      </c>
      <c r="CH56">
        <f t="shared" si="52"/>
        <v>120.1207104509122</v>
      </c>
      <c r="CI56" s="207">
        <f t="shared" ref="CI56" si="102" xml:space="preserve"> ($BQ$38-CH56*($BP56+$BR56+$BQ56+$BN56))/($BP56+$BR56+$BQ56+$BO56)</f>
        <v>94.350557235087734</v>
      </c>
      <c r="CJ56">
        <f t="shared" si="54"/>
        <v>1.6668206247963304</v>
      </c>
      <c r="CK56">
        <f t="shared" si="55"/>
        <v>13.853963438777937</v>
      </c>
      <c r="CL56">
        <f t="shared" si="56"/>
        <v>115.50272263798622</v>
      </c>
      <c r="CM56" s="207">
        <f t="shared" ref="CM56" si="103" xml:space="preserve"> ($BQ$38-CL56*($BP56+$BR56+$BQ56+$BN56))/($BP56+$BR56+$BQ56+$BO56)</f>
        <v>97.165695585229017</v>
      </c>
      <c r="CN56">
        <f t="shared" si="58"/>
        <v>1.6489046644284142</v>
      </c>
      <c r="CO56">
        <f t="shared" si="59"/>
        <v>-3.8946570994156087</v>
      </c>
      <c r="CP56">
        <f t="shared" si="60"/>
        <v>116.80094167112476</v>
      </c>
      <c r="CQ56" s="207">
        <f t="shared" ref="CQ56" si="104" xml:space="preserve"> ($BQ$38-CP56*($BP56+$BR56+$BQ56+$BN56))/($BP56+$BR56+$BQ56+$BO56)</f>
        <v>96.374297613835068</v>
      </c>
      <c r="CR56">
        <f t="shared" si="62"/>
        <v>1.6539412391637311</v>
      </c>
      <c r="CS56">
        <f t="shared" si="63"/>
        <v>1.0614341626368624</v>
      </c>
      <c r="CT56">
        <f t="shared" si="64"/>
        <v>116.44713028357914</v>
      </c>
      <c r="CU56" s="636">
        <f t="shared" si="65"/>
        <v>96.58998203011015</v>
      </c>
      <c r="CV56" s="575">
        <f t="shared" si="66"/>
        <v>1.6525685913669479</v>
      </c>
      <c r="CW56">
        <f t="shared" si="67"/>
        <v>-0.29187167058656627</v>
      </c>
      <c r="CX56" s="576">
        <f t="shared" si="68"/>
        <v>0.33921670855286767</v>
      </c>
    </row>
    <row r="57" spans="1:102" x14ac:dyDescent="0.25">
      <c r="A57" s="186">
        <v>13</v>
      </c>
      <c r="B57" s="187">
        <f>A57/100*'Inputs-Imperial'!$E$5</f>
        <v>3.1305775279999999</v>
      </c>
      <c r="C57" s="188">
        <f>'Inputs-Imperial'!$E$10+('Inputs-Imperial'!$E$9-'Inputs-Imperial'!$E$10)*(100-A57)/100</f>
        <v>4.8539207590000011</v>
      </c>
      <c r="D57" s="187">
        <f t="shared" si="69"/>
        <v>0.24081365600000026</v>
      </c>
      <c r="E57" s="188">
        <f t="shared" si="70"/>
        <v>1.1710334717004336</v>
      </c>
      <c r="F57" s="423">
        <f>Sizing!F73</f>
        <v>815.88815120685547</v>
      </c>
      <c r="G57" s="423">
        <f>Sizing!G73</f>
        <v>8158.881512068554</v>
      </c>
      <c r="H57" s="423">
        <f>Sizing!H73</f>
        <v>76925.92613342531</v>
      </c>
      <c r="I57" s="423">
        <f>Sizing!I73</f>
        <v>-18836.478929192934</v>
      </c>
      <c r="J57" s="189">
        <f>Sizing!J73</f>
        <v>7692.5926133425364</v>
      </c>
      <c r="K57" s="128">
        <v>13</v>
      </c>
      <c r="L57" s="12">
        <f t="shared" si="11"/>
        <v>37.566930335999999</v>
      </c>
      <c r="M57" s="11">
        <f t="shared" si="11"/>
        <v>58.247049108000013</v>
      </c>
      <c r="N57" s="11">
        <f t="shared" si="11"/>
        <v>2.8897638720000032</v>
      </c>
      <c r="O57" s="152">
        <f t="shared" si="71"/>
        <v>168.62881992486243</v>
      </c>
      <c r="P57" s="170">
        <f t="shared" si="0"/>
        <v>10.484468839440002</v>
      </c>
      <c r="Q57" s="8">
        <f t="shared" si="1"/>
        <v>5.2422344197200008</v>
      </c>
      <c r="R57" s="170">
        <f>Sizing!X73</f>
        <v>14.561762277000003</v>
      </c>
      <c r="S57" s="8">
        <f>Sizing!Y73</f>
        <v>43.685286831000013</v>
      </c>
      <c r="T57" s="8">
        <f>Sizing!Z73</f>
        <v>29.12352455400001</v>
      </c>
      <c r="U57" s="17">
        <f>Sizing!CN73</f>
        <v>2</v>
      </c>
      <c r="V57" s="17">
        <f>Sizing!CO73</f>
        <v>2.3622047244094495E-2</v>
      </c>
      <c r="W57" s="17">
        <f>Sizing!CP73</f>
        <v>2.3622047244094495E-2</v>
      </c>
      <c r="X57" s="170">
        <f>Sizing!DU73</f>
        <v>2.8934969275004128</v>
      </c>
      <c r="Y57" s="170">
        <f>Sizing!DV73</f>
        <v>1.7010281971503038</v>
      </c>
      <c r="Z57" s="170">
        <f>Sizing!DW73</f>
        <v>2.8934969275004128</v>
      </c>
      <c r="AA57" s="272">
        <f>Sizing!DX73</f>
        <v>1.7010281971503038</v>
      </c>
      <c r="AB57" s="272">
        <f t="shared" si="12"/>
        <v>4.6889524533133198</v>
      </c>
      <c r="AC57" s="216">
        <f>Sizing!GJ73</f>
        <v>0.75</v>
      </c>
      <c r="AD57" s="216">
        <f>Sizing!GK73</f>
        <v>6.2992125984251982E-2</v>
      </c>
      <c r="AE57" s="17">
        <f>Sizing!GL73</f>
        <v>6.2992125984251982E-2</v>
      </c>
      <c r="AF57" s="170">
        <f>Sizing!JC73</f>
        <v>4.3725358123599019E-2</v>
      </c>
      <c r="AG57" s="272">
        <f>Sizing!JD73</f>
        <v>0.20910609298535282</v>
      </c>
      <c r="AH57" s="170">
        <f>Sizing!JC73</f>
        <v>4.3725358123599019E-2</v>
      </c>
      <c r="AI57" s="272">
        <f>Sizing!JD73</f>
        <v>0.20910609298535282</v>
      </c>
      <c r="AJ57" s="216">
        <f>Sizing!IT73</f>
        <v>0.5</v>
      </c>
      <c r="AK57" s="216">
        <f>Sizing!IU73</f>
        <v>1.5748031496062995E-2</v>
      </c>
      <c r="AL57" s="17">
        <f>Sizing!IV73</f>
        <v>1.5748031496062995E-2</v>
      </c>
      <c r="AM57" s="170">
        <f t="shared" si="13"/>
        <v>0</v>
      </c>
      <c r="AN57" s="11">
        <f t="shared" si="14"/>
        <v>15.904304869080796</v>
      </c>
      <c r="AO57" s="11">
        <f t="shared" si="15"/>
        <v>15.904304869080796</v>
      </c>
      <c r="AP57" s="11">
        <f t="shared" si="16"/>
        <v>31.808609738161593</v>
      </c>
      <c r="AQ57" s="555">
        <f t="shared" si="17"/>
        <v>507480285.31238294</v>
      </c>
      <c r="AR57" s="311">
        <f t="shared" si="18"/>
        <v>14.995313577212384</v>
      </c>
      <c r="AS57" s="11">
        <f t="shared" si="19"/>
        <v>1.0877623109676</v>
      </c>
      <c r="AT57" s="11">
        <f t="shared" si="20"/>
        <v>71.981958289252731</v>
      </c>
      <c r="AU57" s="11">
        <f t="shared" si="21"/>
        <v>73.069720600220336</v>
      </c>
      <c r="AV57" s="555">
        <f t="shared" si="22"/>
        <v>1165767475.0056233</v>
      </c>
      <c r="AW57" s="138">
        <f t="shared" si="23"/>
        <v>4.724409448818899E-2</v>
      </c>
      <c r="AX57" s="138">
        <f t="shared" si="24"/>
        <v>0.12598425196850396</v>
      </c>
      <c r="AY57" s="554">
        <f t="shared" si="25"/>
        <v>3.1496062992125991E-2</v>
      </c>
      <c r="AZ57" s="12">
        <f t="shared" si="26"/>
        <v>1438.9029320225427</v>
      </c>
      <c r="BA57" s="11">
        <f t="shared" si="27"/>
        <v>186.5552399624537</v>
      </c>
      <c r="BB57">
        <f t="shared" si="28"/>
        <v>2097.31210680186</v>
      </c>
      <c r="BC57" s="555">
        <f t="shared" si="29"/>
        <v>7908938787.0045328</v>
      </c>
      <c r="BD57">
        <f t="shared" si="30"/>
        <v>13</v>
      </c>
      <c r="BE57" s="207">
        <f t="shared" si="31"/>
        <v>4.8539207590000011</v>
      </c>
      <c r="BF57" s="207">
        <f>'Inputs-Imperial'!$E$15*BE57</f>
        <v>3.6404405692500008</v>
      </c>
      <c r="BG57" s="207">
        <f>'Inputs-Imperial'!$E$12*BE57</f>
        <v>1.2134801897500003</v>
      </c>
      <c r="BH57">
        <f>'Inputs-Imperial'!$E$11*BE57</f>
        <v>0.87370573662000017</v>
      </c>
      <c r="BI57">
        <f t="shared" si="32"/>
        <v>0.92670487668838464</v>
      </c>
      <c r="BJ57">
        <f>'Weight '!U59+'Weight '!V59 /12</f>
        <v>2.5590551181102369E-2</v>
      </c>
      <c r="BK57">
        <f>('Weight '!AK59+'Weight '!AL59)/12</f>
        <v>1.0498687664041996E-2</v>
      </c>
      <c r="BL57">
        <f>'Weight '!AG59/12</f>
        <v>0.14175234976252532</v>
      </c>
      <c r="BM57">
        <f>'Weight '!AI59/12</f>
        <v>0.14175234976252532</v>
      </c>
      <c r="BN57" s="554">
        <f t="shared" si="33"/>
        <v>2.7485463307725171</v>
      </c>
      <c r="BO57" s="554">
        <f t="shared" si="34"/>
        <v>5.0741335141665687</v>
      </c>
      <c r="BP57">
        <f t="shared" si="35"/>
        <v>0.14175234976252532</v>
      </c>
      <c r="BQ57">
        <f t="shared" si="35"/>
        <v>0.14175234976252532</v>
      </c>
      <c r="BR57">
        <f t="shared" si="36"/>
        <v>0.59020103709494953</v>
      </c>
      <c r="BS57">
        <f t="shared" si="37"/>
        <v>0.79516845229447619</v>
      </c>
      <c r="BT57">
        <f t="shared" si="38"/>
        <v>1.8544618099512158</v>
      </c>
      <c r="BU57">
        <f t="shared" si="39"/>
        <v>2.1946899945651186</v>
      </c>
      <c r="BV57">
        <f t="shared" si="40"/>
        <v>138.03567247597036</v>
      </c>
      <c r="BW57" s="207">
        <f t="shared" si="41"/>
        <v>84.064141433189846</v>
      </c>
      <c r="BX57">
        <f t="shared" si="42"/>
        <v>1.727956028964913</v>
      </c>
      <c r="BY57" s="575">
        <f t="shared" si="43"/>
        <v>-58.34791447692389</v>
      </c>
      <c r="BZ57">
        <f t="shared" si="44"/>
        <v>157.48497730161165</v>
      </c>
      <c r="CA57" s="207">
        <f t="shared" si="45"/>
        <v>72.219456053585859</v>
      </c>
      <c r="CB57">
        <f t="shared" si="46"/>
        <v>1.8028180095724566</v>
      </c>
      <c r="CC57">
        <f t="shared" si="47"/>
        <v>166.96550772201917</v>
      </c>
      <c r="CD57">
        <f t="shared" si="48"/>
        <v>101.8298080609386</v>
      </c>
      <c r="CE57" s="207">
        <f t="shared" si="49"/>
        <v>106.11362221089217</v>
      </c>
      <c r="CF57">
        <f t="shared" si="50"/>
        <v>1.5885966665601394</v>
      </c>
      <c r="CG57">
        <f t="shared" si="51"/>
        <v>-55.836249819082212</v>
      </c>
      <c r="CH57">
        <f t="shared" si="52"/>
        <v>120.44189133396601</v>
      </c>
      <c r="CI57" s="207">
        <f t="shared" ref="CI57" si="105" xml:space="preserve"> ($BQ$38-CH57*($BP57+$BR57+$BQ57+$BN57))/($BP57+$BR57+$BQ57+$BO57)</f>
        <v>94.778807285406486</v>
      </c>
      <c r="CJ57">
        <f t="shared" si="54"/>
        <v>1.6602361122648741</v>
      </c>
      <c r="CK57">
        <f t="shared" si="55"/>
        <v>13.365147562921402</v>
      </c>
      <c r="CL57">
        <f t="shared" si="56"/>
        <v>115.98684214632554</v>
      </c>
      <c r="CM57" s="207">
        <f t="shared" ref="CM57" si="106" xml:space="preserve"> ($BQ$38-CL57*($BP57+$BR57+$BQ57+$BN57))/($BP57+$BR57+$BQ57+$BO57)</f>
        <v>97.491945695818643</v>
      </c>
      <c r="CN57">
        <f t="shared" si="58"/>
        <v>1.6430882599955683</v>
      </c>
      <c r="CO57">
        <f t="shared" si="59"/>
        <v>-3.6846509358931048</v>
      </c>
      <c r="CP57">
        <f t="shared" si="60"/>
        <v>117.21505912495658</v>
      </c>
      <c r="CQ57" s="207">
        <f t="shared" ref="CQ57" si="107" xml:space="preserve"> ($BQ$38-CP57*($BP57+$BR57+$BQ57+$BN57))/($BP57+$BR57+$BQ57+$BO57)</f>
        <v>96.743957846371543</v>
      </c>
      <c r="CR57">
        <f t="shared" si="62"/>
        <v>1.6478157685857422</v>
      </c>
      <c r="CS57">
        <f t="shared" si="63"/>
        <v>0.98531535797905612</v>
      </c>
      <c r="CT57">
        <f t="shared" si="64"/>
        <v>116.8866206722969</v>
      </c>
      <c r="CU57" s="636">
        <f t="shared" si="65"/>
        <v>96.943977855991065</v>
      </c>
      <c r="CV57" s="575">
        <f t="shared" si="66"/>
        <v>1.6465515818554606</v>
      </c>
      <c r="CW57">
        <f t="shared" si="67"/>
        <v>-0.26575891846734301</v>
      </c>
      <c r="CX57" s="576">
        <f t="shared" si="68"/>
        <v>0.33922094397657226</v>
      </c>
    </row>
    <row r="58" spans="1:102" x14ac:dyDescent="0.25">
      <c r="A58" s="186">
        <v>14</v>
      </c>
      <c r="B58" s="187">
        <f>A58/100*'Inputs-Imperial'!$E$5</f>
        <v>3.3713911840000002</v>
      </c>
      <c r="C58" s="188">
        <f>'Inputs-Imperial'!$E$10+('Inputs-Imperial'!$E$9-'Inputs-Imperial'!$E$10)*(100-A58)/100</f>
        <v>4.8361222020000003</v>
      </c>
      <c r="D58" s="187">
        <f t="shared" si="69"/>
        <v>0.24081365600000026</v>
      </c>
      <c r="E58" s="188">
        <f t="shared" si="70"/>
        <v>1.1667473361177392</v>
      </c>
      <c r="F58" s="423">
        <f>Sizing!F74</f>
        <v>804.15695040383389</v>
      </c>
      <c r="G58" s="423">
        <f>Sizing!G74</f>
        <v>8041.569504038338</v>
      </c>
      <c r="H58" s="423">
        <f>Sizing!H74</f>
        <v>74961.156047633267</v>
      </c>
      <c r="I58" s="423">
        <f>Sizing!I74</f>
        <v>-18509.830867459314</v>
      </c>
      <c r="J58" s="189">
        <f>Sizing!J74</f>
        <v>7496.1156047633322</v>
      </c>
      <c r="K58" s="128">
        <v>14</v>
      </c>
      <c r="L58" s="12">
        <f t="shared" si="11"/>
        <v>40.456694208000002</v>
      </c>
      <c r="M58" s="11">
        <f t="shared" si="11"/>
        <v>58.033466424000004</v>
      </c>
      <c r="N58" s="11">
        <f t="shared" si="11"/>
        <v>2.8897638720000032</v>
      </c>
      <c r="O58" s="152">
        <f t="shared" si="71"/>
        <v>168.01161640095444</v>
      </c>
      <c r="P58" s="170">
        <f t="shared" si="0"/>
        <v>10.446023956319999</v>
      </c>
      <c r="Q58" s="8">
        <f t="shared" si="1"/>
        <v>5.2230119781599997</v>
      </c>
      <c r="R58" s="170">
        <f>Sizing!X74</f>
        <v>14.508366606000001</v>
      </c>
      <c r="S58" s="8">
        <f>Sizing!Y74</f>
        <v>43.525099818000001</v>
      </c>
      <c r="T58" s="8">
        <f>Sizing!Z74</f>
        <v>29.016733211999998</v>
      </c>
      <c r="U58" s="17">
        <f>Sizing!CN74</f>
        <v>2</v>
      </c>
      <c r="V58" s="17">
        <f>Sizing!CO74</f>
        <v>2.3622047244094495E-2</v>
      </c>
      <c r="W58" s="17">
        <f>Sizing!CP74</f>
        <v>2.3622047244094495E-2</v>
      </c>
      <c r="X58" s="170">
        <f>Sizing!DU74</f>
        <v>2.8934969275004128</v>
      </c>
      <c r="Y58" s="170">
        <f>Sizing!DV74</f>
        <v>1.7010281971503038</v>
      </c>
      <c r="Z58" s="170">
        <f>Sizing!DW74</f>
        <v>2.8934969275004128</v>
      </c>
      <c r="AA58" s="272">
        <f>Sizing!DX74</f>
        <v>1.7010281971503038</v>
      </c>
      <c r="AB58" s="272">
        <f t="shared" si="12"/>
        <v>4.6505075701933176</v>
      </c>
      <c r="AC58" s="216">
        <f>Sizing!GJ74</f>
        <v>0.75</v>
      </c>
      <c r="AD58" s="216">
        <f>Sizing!GK74</f>
        <v>6.2992125984251982E-2</v>
      </c>
      <c r="AE58" s="17">
        <f>Sizing!GL74</f>
        <v>6.2992125984251982E-2</v>
      </c>
      <c r="AF58" s="170">
        <f>Sizing!JC74</f>
        <v>4.3725358123599019E-2</v>
      </c>
      <c r="AG58" s="272">
        <f>Sizing!JD74</f>
        <v>0.20910609298535282</v>
      </c>
      <c r="AH58" s="170">
        <f>Sizing!JC74</f>
        <v>4.3725358123599019E-2</v>
      </c>
      <c r="AI58" s="272">
        <f>Sizing!JD74</f>
        <v>0.20910609298535282</v>
      </c>
      <c r="AJ58" s="216">
        <f>Sizing!IT74</f>
        <v>0.5</v>
      </c>
      <c r="AK58" s="216">
        <f>Sizing!IU74</f>
        <v>1.5748031496062995E-2</v>
      </c>
      <c r="AL58" s="17">
        <f>Sizing!IV74</f>
        <v>1.5748031496062995E-2</v>
      </c>
      <c r="AM58" s="170">
        <f t="shared" si="13"/>
        <v>0</v>
      </c>
      <c r="AN58" s="11">
        <f t="shared" si="14"/>
        <v>15.644574132828552</v>
      </c>
      <c r="AO58" s="11">
        <f t="shared" si="15"/>
        <v>15.644574132828552</v>
      </c>
      <c r="AP58" s="11">
        <f t="shared" si="16"/>
        <v>31.289148265657104</v>
      </c>
      <c r="AQ58" s="555">
        <f t="shared" si="17"/>
        <v>499192703.47698128</v>
      </c>
      <c r="AR58" s="311">
        <f t="shared" si="18"/>
        <v>14.940328142408566</v>
      </c>
      <c r="AS58" s="11">
        <f t="shared" si="19"/>
        <v>1.0797996332351032</v>
      </c>
      <c r="AT58" s="11">
        <f t="shared" si="20"/>
        <v>71.455033306990785</v>
      </c>
      <c r="AU58" s="11">
        <f t="shared" si="21"/>
        <v>72.534832940225883</v>
      </c>
      <c r="AV58" s="555">
        <f t="shared" si="22"/>
        <v>1157233780.9982929</v>
      </c>
      <c r="AW58" s="138">
        <f t="shared" si="23"/>
        <v>4.724409448818899E-2</v>
      </c>
      <c r="AX58" s="138">
        <f t="shared" si="24"/>
        <v>0.12598425196850396</v>
      </c>
      <c r="AY58" s="554">
        <f t="shared" si="25"/>
        <v>3.1496062992125991E-2</v>
      </c>
      <c r="AZ58" s="12">
        <f t="shared" si="26"/>
        <v>1428.3698217828087</v>
      </c>
      <c r="BA58" s="11">
        <f t="shared" si="27"/>
        <v>185.87117150790297</v>
      </c>
      <c r="BB58">
        <f t="shared" si="28"/>
        <v>2074.3250712234003</v>
      </c>
      <c r="BC58" s="555">
        <f t="shared" si="29"/>
        <v>7822254951.6825886</v>
      </c>
      <c r="BD58">
        <f t="shared" si="30"/>
        <v>14</v>
      </c>
      <c r="BE58" s="207">
        <f t="shared" si="31"/>
        <v>4.8361222020000003</v>
      </c>
      <c r="BF58" s="207">
        <f>'Inputs-Imperial'!$E$15*BE58</f>
        <v>3.6270916515000002</v>
      </c>
      <c r="BG58" s="207">
        <f>'Inputs-Imperial'!$E$12*BE58</f>
        <v>1.2090305505000001</v>
      </c>
      <c r="BH58">
        <f>'Inputs-Imperial'!$E$11*BE58</f>
        <v>0.87050199636000003</v>
      </c>
      <c r="BI58">
        <f t="shared" si="32"/>
        <v>0.92330679699387497</v>
      </c>
      <c r="BJ58">
        <f>'Weight '!U60+'Weight '!V60 /12</f>
        <v>2.5590551181102369E-2</v>
      </c>
      <c r="BK58">
        <f>('Weight '!AK60+'Weight '!AL60)/12</f>
        <v>1.0498687664041996E-2</v>
      </c>
      <c r="BL58">
        <f>'Weight '!AG60/12</f>
        <v>0.14175234976252532</v>
      </c>
      <c r="BM58">
        <f>'Weight '!AI60/12</f>
        <v>0.14175234976252532</v>
      </c>
      <c r="BN58" s="554">
        <f t="shared" si="33"/>
        <v>2.7362406079252994</v>
      </c>
      <c r="BO58" s="554">
        <f t="shared" si="34"/>
        <v>5.0577547116525619</v>
      </c>
      <c r="BP58">
        <f t="shared" si="35"/>
        <v>0.14175234976252532</v>
      </c>
      <c r="BQ58">
        <f t="shared" si="35"/>
        <v>0.14175234976252532</v>
      </c>
      <c r="BR58">
        <f t="shared" si="36"/>
        <v>0.5869972968349495</v>
      </c>
      <c r="BS58">
        <f t="shared" si="37"/>
        <v>0.78934763090285998</v>
      </c>
      <c r="BT58">
        <f t="shared" si="38"/>
        <v>1.8408867103076729</v>
      </c>
      <c r="BU58">
        <f t="shared" si="39"/>
        <v>2.1626762978686234</v>
      </c>
      <c r="BV58">
        <f t="shared" si="40"/>
        <v>138.62924385176035</v>
      </c>
      <c r="BW58" s="207">
        <f t="shared" si="41"/>
        <v>84.341826716816414</v>
      </c>
      <c r="BX58">
        <f t="shared" si="42"/>
        <v>1.721871660314364</v>
      </c>
      <c r="BY58" s="575">
        <f t="shared" si="43"/>
        <v>-58.21508130301855</v>
      </c>
      <c r="BZ58">
        <f t="shared" si="44"/>
        <v>158.03427095276652</v>
      </c>
      <c r="CA58" s="207">
        <f t="shared" si="45"/>
        <v>72.535836957986703</v>
      </c>
      <c r="CB58">
        <f t="shared" si="46"/>
        <v>1.7959732639520503</v>
      </c>
      <c r="CC58">
        <f t="shared" si="47"/>
        <v>166.7295638809714</v>
      </c>
      <c r="CD58">
        <f t="shared" si="48"/>
        <v>102.4577496591094</v>
      </c>
      <c r="CE58" s="207">
        <f t="shared" si="49"/>
        <v>106.3485102312065</v>
      </c>
      <c r="CF58">
        <f t="shared" si="50"/>
        <v>1.5837442713808174</v>
      </c>
      <c r="CG58">
        <f t="shared" si="51"/>
        <v>-54.929980918241014</v>
      </c>
      <c r="CH58">
        <f t="shared" si="52"/>
        <v>120.76774329852307</v>
      </c>
      <c r="CI58" s="207">
        <f t="shared" ref="CI58" si="108" xml:space="preserve"> ($BQ$38-CH58*($BP58+$BR58+$BQ58+$BN58))/($BP58+$BR58+$BQ58+$BO58)</f>
        <v>95.20873720919684</v>
      </c>
      <c r="CJ58">
        <f t="shared" si="54"/>
        <v>1.6536642918071758</v>
      </c>
      <c r="CK58">
        <f t="shared" si="55"/>
        <v>12.885634571922694</v>
      </c>
      <c r="CL58">
        <f t="shared" si="56"/>
        <v>116.47253177454884</v>
      </c>
      <c r="CM58" s="207">
        <f t="shared" ref="CM58" si="109" xml:space="preserve"> ($BQ$38-CL58*($BP58+$BR58+$BQ58+$BN58))/($BP58+$BR58+$BQ58+$BO58)</f>
        <v>97.821937541260169</v>
      </c>
      <c r="CN58">
        <f t="shared" si="58"/>
        <v>1.6372622502004903</v>
      </c>
      <c r="CO58">
        <f t="shared" si="59"/>
        <v>-3.4824916873341749</v>
      </c>
      <c r="CP58">
        <f t="shared" si="60"/>
        <v>117.63336233699357</v>
      </c>
      <c r="CQ58" s="207">
        <f t="shared" ref="CQ58" si="110" xml:space="preserve"> ($BQ$38-CP58*($BP58+$BR58+$BQ58+$BN58))/($BP58+$BR58+$BQ58+$BO58)</f>
        <v>97.115689945695181</v>
      </c>
      <c r="CR58">
        <f t="shared" si="62"/>
        <v>1.6416950915349058</v>
      </c>
      <c r="CS58">
        <f t="shared" si="63"/>
        <v>0.91339520544509689</v>
      </c>
      <c r="CT58">
        <f t="shared" si="64"/>
        <v>117.32889726851187</v>
      </c>
      <c r="CU58" s="636">
        <f t="shared" si="65"/>
        <v>97.300926042594512</v>
      </c>
      <c r="CV58" s="575">
        <f t="shared" si="66"/>
        <v>1.6405324366358058</v>
      </c>
      <c r="CW58">
        <f t="shared" si="67"/>
        <v>-0.24155852046436799</v>
      </c>
      <c r="CX58" s="576">
        <f t="shared" si="68"/>
        <v>0.33922476896000603</v>
      </c>
    </row>
    <row r="59" spans="1:102" x14ac:dyDescent="0.25">
      <c r="A59" s="186">
        <v>15</v>
      </c>
      <c r="B59" s="187">
        <f>A59/100*'Inputs-Imperial'!$E$5</f>
        <v>3.6122048399999995</v>
      </c>
      <c r="C59" s="188">
        <f>'Inputs-Imperial'!$E$10+('Inputs-Imperial'!$E$9-'Inputs-Imperial'!$E$10)*(100-A59)/100</f>
        <v>4.8183236450000004</v>
      </c>
      <c r="D59" s="187">
        <f t="shared" si="69"/>
        <v>0.24081365599999938</v>
      </c>
      <c r="E59" s="188">
        <f t="shared" si="70"/>
        <v>1.1624612005350405</v>
      </c>
      <c r="F59" s="423">
        <f>Sizing!F75</f>
        <v>792.45508606647377</v>
      </c>
      <c r="G59" s="423">
        <f>Sizing!G75</f>
        <v>7924.5508606647372</v>
      </c>
      <c r="H59" s="423">
        <f>Sizing!H75</f>
        <v>73024.636295387696</v>
      </c>
      <c r="I59" s="423">
        <f>Sizing!I75</f>
        <v>-18184.824337765112</v>
      </c>
      <c r="J59" s="189">
        <f>Sizing!J75</f>
        <v>7302.4636295387745</v>
      </c>
      <c r="K59" s="128">
        <v>15</v>
      </c>
      <c r="L59" s="12">
        <f t="shared" si="11"/>
        <v>43.346458079999991</v>
      </c>
      <c r="M59" s="11">
        <f t="shared" si="11"/>
        <v>57.819883740000009</v>
      </c>
      <c r="N59" s="11">
        <f t="shared" si="11"/>
        <v>2.8897638719999925</v>
      </c>
      <c r="O59" s="152">
        <f t="shared" si="71"/>
        <v>167.39441287704585</v>
      </c>
      <c r="P59" s="170">
        <f t="shared" si="0"/>
        <v>10.407579073200001</v>
      </c>
      <c r="Q59" s="8">
        <f t="shared" si="1"/>
        <v>5.2037895366000004</v>
      </c>
      <c r="R59" s="170">
        <f>Sizing!X75</f>
        <v>14.454970935000002</v>
      </c>
      <c r="S59" s="8">
        <f>Sizing!Y75</f>
        <v>43.364912805000003</v>
      </c>
      <c r="T59" s="8">
        <f>Sizing!Z75</f>
        <v>28.909941870000001</v>
      </c>
      <c r="U59" s="17">
        <f>Sizing!CN75</f>
        <v>2</v>
      </c>
      <c r="V59" s="17">
        <f>Sizing!CO75</f>
        <v>2.3622047244094495E-2</v>
      </c>
      <c r="W59" s="17">
        <f>Sizing!CP75</f>
        <v>2.3622047244094495E-2</v>
      </c>
      <c r="X59" s="170">
        <f>Sizing!DU75</f>
        <v>2.8934969275004128</v>
      </c>
      <c r="Y59" s="170">
        <f>Sizing!DV75</f>
        <v>1.7010281971503038</v>
      </c>
      <c r="Z59" s="170">
        <f>Sizing!DW75</f>
        <v>2.8934969275004128</v>
      </c>
      <c r="AA59" s="272">
        <f>Sizing!DX75</f>
        <v>1.7010281971503038</v>
      </c>
      <c r="AB59" s="272">
        <f t="shared" si="12"/>
        <v>4.612062687073319</v>
      </c>
      <c r="AC59" s="216">
        <f>Sizing!GJ75</f>
        <v>0.75</v>
      </c>
      <c r="AD59" s="216">
        <f>Sizing!GK75</f>
        <v>6.2992125984251982E-2</v>
      </c>
      <c r="AE59" s="17">
        <f>Sizing!GL75</f>
        <v>6.2992125984251982E-2</v>
      </c>
      <c r="AF59" s="170">
        <f>Sizing!JC75</f>
        <v>4.3725358123599019E-2</v>
      </c>
      <c r="AG59" s="272">
        <f>Sizing!JD75</f>
        <v>0.20910609298535282</v>
      </c>
      <c r="AH59" s="170">
        <f>Sizing!JC75</f>
        <v>4.3725358123599019E-2</v>
      </c>
      <c r="AI59" s="272">
        <f>Sizing!JD75</f>
        <v>0.20910609298535282</v>
      </c>
      <c r="AJ59" s="216">
        <f>Sizing!IT75</f>
        <v>0.5</v>
      </c>
      <c r="AK59" s="216">
        <f>Sizing!IU75</f>
        <v>1.5748031496062995E-2</v>
      </c>
      <c r="AL59" s="17">
        <f>Sizing!IV75</f>
        <v>1.5748031496062995E-2</v>
      </c>
      <c r="AM59" s="170">
        <f t="shared" si="13"/>
        <v>0</v>
      </c>
      <c r="AN59" s="11">
        <f t="shared" si="14"/>
        <v>15.386981703881629</v>
      </c>
      <c r="AO59" s="11">
        <f t="shared" si="15"/>
        <v>15.386981703881629</v>
      </c>
      <c r="AP59" s="11">
        <f t="shared" si="16"/>
        <v>30.773963407763258</v>
      </c>
      <c r="AQ59" s="555">
        <f t="shared" si="17"/>
        <v>490973351.52086842</v>
      </c>
      <c r="AR59" s="311">
        <f t="shared" si="18"/>
        <v>14.885342707604751</v>
      </c>
      <c r="AS59" s="11">
        <f t="shared" si="19"/>
        <v>1.0718662070083149</v>
      </c>
      <c r="AT59" s="11">
        <f t="shared" si="20"/>
        <v>70.930044023955247</v>
      </c>
      <c r="AU59" s="11">
        <f t="shared" si="21"/>
        <v>72.00191023096356</v>
      </c>
      <c r="AV59" s="555">
        <f t="shared" si="22"/>
        <v>1148731436.1686342</v>
      </c>
      <c r="AW59" s="138">
        <f t="shared" si="23"/>
        <v>4.724409448818899E-2</v>
      </c>
      <c r="AX59" s="138">
        <f t="shared" si="24"/>
        <v>0.12598425196850396</v>
      </c>
      <c r="AY59" s="554">
        <f t="shared" si="25"/>
        <v>3.1496062992125991E-2</v>
      </c>
      <c r="AZ59" s="12">
        <f t="shared" si="26"/>
        <v>1417.8754057292097</v>
      </c>
      <c r="BA59" s="11">
        <f t="shared" si="27"/>
        <v>185.1871030533523</v>
      </c>
      <c r="BB59">
        <f t="shared" si="28"/>
        <v>2051.5066145084506</v>
      </c>
      <c r="BC59" s="555">
        <f t="shared" si="29"/>
        <v>7736206825.2319946</v>
      </c>
      <c r="BD59">
        <f t="shared" si="30"/>
        <v>15</v>
      </c>
      <c r="BE59" s="207">
        <f t="shared" si="31"/>
        <v>4.8183236450000004</v>
      </c>
      <c r="BF59" s="207">
        <f>'Inputs-Imperial'!$E$15*BE59</f>
        <v>3.6137427337500005</v>
      </c>
      <c r="BG59" s="207">
        <f>'Inputs-Imperial'!$E$12*BE59</f>
        <v>1.2045809112500001</v>
      </c>
      <c r="BH59">
        <f>'Inputs-Imperial'!$E$11*BE59</f>
        <v>0.8672982561</v>
      </c>
      <c r="BI59">
        <f t="shared" si="32"/>
        <v>0.91990871729936541</v>
      </c>
      <c r="BJ59">
        <f>'Weight '!U61+'Weight '!V61 /12</f>
        <v>2.5590551181102369E-2</v>
      </c>
      <c r="BK59">
        <f>('Weight '!AK61+'Weight '!AL61)/12</f>
        <v>1.0498687664041996E-2</v>
      </c>
      <c r="BL59">
        <f>'Weight '!AG61/12</f>
        <v>0.14175234976252532</v>
      </c>
      <c r="BM59">
        <f>'Weight '!AI61/12</f>
        <v>0.14175234976252532</v>
      </c>
      <c r="BN59" s="554">
        <f t="shared" si="33"/>
        <v>2.723932138523542</v>
      </c>
      <c r="BO59" s="554">
        <f t="shared" si="34"/>
        <v>5.041378655693098</v>
      </c>
      <c r="BP59">
        <f t="shared" si="35"/>
        <v>0.14175234976252532</v>
      </c>
      <c r="BQ59">
        <f t="shared" si="35"/>
        <v>0.14175234976252532</v>
      </c>
      <c r="BR59">
        <f t="shared" si="36"/>
        <v>0.58379355657494947</v>
      </c>
      <c r="BS59">
        <f t="shared" si="37"/>
        <v>0.78354819274385556</v>
      </c>
      <c r="BT59">
        <f t="shared" si="38"/>
        <v>1.8273614798310178</v>
      </c>
      <c r="BU59">
        <f t="shared" si="39"/>
        <v>2.1310141201703066</v>
      </c>
      <c r="BV59">
        <f t="shared" si="40"/>
        <v>139.22804862326674</v>
      </c>
      <c r="BW59" s="207">
        <f t="shared" si="41"/>
        <v>84.621313276082603</v>
      </c>
      <c r="BX59">
        <f t="shared" si="42"/>
        <v>1.715787682124176</v>
      </c>
      <c r="BY59" s="575">
        <f t="shared" si="43"/>
        <v>-58.081064640676217</v>
      </c>
      <c r="BZ59">
        <f t="shared" si="44"/>
        <v>158.58840350349215</v>
      </c>
      <c r="CA59" s="207">
        <f t="shared" si="45"/>
        <v>72.854297422195899</v>
      </c>
      <c r="CB59">
        <f t="shared" si="46"/>
        <v>1.7891324072866435</v>
      </c>
      <c r="CC59">
        <f t="shared" si="47"/>
        <v>166.4963928191591</v>
      </c>
      <c r="CD59">
        <f t="shared" si="48"/>
        <v>103.08960589710577</v>
      </c>
      <c r="CE59" s="207">
        <f t="shared" si="49"/>
        <v>106.58587080223896</v>
      </c>
      <c r="CF59">
        <f t="shared" si="50"/>
        <v>1.5788808864611932</v>
      </c>
      <c r="CG59">
        <f t="shared" si="51"/>
        <v>-54.026120823963588</v>
      </c>
      <c r="CH59">
        <f t="shared" si="52"/>
        <v>121.09831283842696</v>
      </c>
      <c r="CI59" s="207">
        <f t="shared" ref="CI59" si="111" xml:space="preserve"> ($BQ$38-CH59*($BP59+$BR59+$BQ59+$BN59))/($BP59+$BR59+$BQ59+$BO59)</f>
        <v>95.640372055055934</v>
      </c>
      <c r="CJ59">
        <f t="shared" si="54"/>
        <v>1.6471050315925271</v>
      </c>
      <c r="CK59">
        <f t="shared" si="55"/>
        <v>12.415381876797468</v>
      </c>
      <c r="CL59">
        <f t="shared" si="56"/>
        <v>116.95985221282781</v>
      </c>
      <c r="CM59" s="207">
        <f t="shared" ref="CM59" si="112" xml:space="preserve"> ($BQ$38-CL59*($BP59+$BR59+$BQ59+$BN59))/($BP59+$BR59+$BQ59+$BO59)</f>
        <v>98.15568399501683</v>
      </c>
      <c r="CN59">
        <f t="shared" si="58"/>
        <v>1.6314268966069803</v>
      </c>
      <c r="CO59">
        <f t="shared" si="59"/>
        <v>-3.2880151496958891</v>
      </c>
      <c r="CP59">
        <f t="shared" si="60"/>
        <v>118.05585726272645</v>
      </c>
      <c r="CQ59" s="207">
        <f t="shared" ref="CQ59" si="113" xml:space="preserve"> ($BQ$38-CP59*($BP59+$BR59+$BQ59+$BN59))/($BP59+$BR59+$BQ59+$BO59)</f>
        <v>97.489543891806747</v>
      </c>
      <c r="CR59">
        <f t="shared" si="62"/>
        <v>1.6355789996887062</v>
      </c>
      <c r="CS59">
        <f t="shared" si="63"/>
        <v>0.84551300084655168</v>
      </c>
      <c r="CT59">
        <f t="shared" si="64"/>
        <v>117.7740195957776</v>
      </c>
      <c r="CU59" s="636">
        <f t="shared" si="65"/>
        <v>97.660841800121261</v>
      </c>
      <c r="CV59" s="575">
        <f t="shared" si="66"/>
        <v>1.6345112865010771</v>
      </c>
      <c r="CW59">
        <f t="shared" si="67"/>
        <v>-0.21916223826815262</v>
      </c>
      <c r="CX59" s="576">
        <f t="shared" si="68"/>
        <v>0.33922820609969156</v>
      </c>
    </row>
    <row r="60" spans="1:102" x14ac:dyDescent="0.25">
      <c r="A60" s="186">
        <v>16</v>
      </c>
      <c r="B60" s="187">
        <f>A60/100*'Inputs-Imperial'!$E$5</f>
        <v>3.8530184959999998</v>
      </c>
      <c r="C60" s="188">
        <f>'Inputs-Imperial'!$E$10+('Inputs-Imperial'!$E$9-'Inputs-Imperial'!$E$10)*(100-A60)/100</f>
        <v>4.8005250880000006</v>
      </c>
      <c r="D60" s="187">
        <f t="shared" si="69"/>
        <v>0.24081365600000026</v>
      </c>
      <c r="E60" s="188">
        <f t="shared" si="70"/>
        <v>1.1581750649523501</v>
      </c>
      <c r="F60" s="423">
        <f>Sizing!F76</f>
        <v>780.78319639095935</v>
      </c>
      <c r="G60" s="423">
        <f>Sizing!G76</f>
        <v>7807.8319639095926</v>
      </c>
      <c r="H60" s="423">
        <f>Sizing!H76</f>
        <v>71116.296230473075</v>
      </c>
      <c r="I60" s="423">
        <f>Sizing!I76</f>
        <v>-17861.490626991144</v>
      </c>
      <c r="J60" s="189">
        <f>Sizing!J76</f>
        <v>7111.6296230473117</v>
      </c>
      <c r="K60" s="128">
        <v>16</v>
      </c>
      <c r="L60" s="12">
        <f t="shared" si="11"/>
        <v>46.236221951999994</v>
      </c>
      <c r="M60" s="11">
        <f t="shared" si="11"/>
        <v>57.606301056000007</v>
      </c>
      <c r="N60" s="11">
        <f t="shared" si="11"/>
        <v>2.8897638720000032</v>
      </c>
      <c r="O60" s="152">
        <f t="shared" si="71"/>
        <v>166.7772093531384</v>
      </c>
      <c r="P60" s="170">
        <f t="shared" si="0"/>
        <v>10.36913419008</v>
      </c>
      <c r="Q60" s="8">
        <f t="shared" si="1"/>
        <v>5.1845670950400002</v>
      </c>
      <c r="R60" s="170">
        <f>Sizing!X76</f>
        <v>14.401575264000002</v>
      </c>
      <c r="S60" s="8">
        <f>Sizing!Y76</f>
        <v>43.204725792000005</v>
      </c>
      <c r="T60" s="8">
        <f>Sizing!Z76</f>
        <v>28.803150528000003</v>
      </c>
      <c r="U60" s="17">
        <f>Sizing!CN76</f>
        <v>2</v>
      </c>
      <c r="V60" s="17">
        <f>Sizing!CO76</f>
        <v>2.3622047244094495E-2</v>
      </c>
      <c r="W60" s="17">
        <f>Sizing!CP76</f>
        <v>2.3622047244094495E-2</v>
      </c>
      <c r="X60" s="170">
        <f>Sizing!DU76</f>
        <v>2.8934969275004128</v>
      </c>
      <c r="Y60" s="170">
        <f>Sizing!DV76</f>
        <v>1.7010281971503038</v>
      </c>
      <c r="Z60" s="170">
        <f>Sizing!DW76</f>
        <v>2.8934969275004128</v>
      </c>
      <c r="AA60" s="272">
        <f>Sizing!DX76</f>
        <v>1.7010281971503038</v>
      </c>
      <c r="AB60" s="272">
        <f t="shared" si="12"/>
        <v>4.5736178039533186</v>
      </c>
      <c r="AC60" s="216">
        <f>Sizing!GJ76</f>
        <v>0.75</v>
      </c>
      <c r="AD60" s="216">
        <f>Sizing!GK76</f>
        <v>6.2992125984251982E-2</v>
      </c>
      <c r="AE60" s="17">
        <f>Sizing!GL76</f>
        <v>6.2992125984251982E-2</v>
      </c>
      <c r="AF60" s="170">
        <f>Sizing!JC76</f>
        <v>4.3725358123599019E-2</v>
      </c>
      <c r="AG60" s="272">
        <f>Sizing!JD76</f>
        <v>0.20910609298535282</v>
      </c>
      <c r="AH60" s="170">
        <f>Sizing!JC76</f>
        <v>4.3725358123599019E-2</v>
      </c>
      <c r="AI60" s="272">
        <f>Sizing!JD76</f>
        <v>0.20910609298535282</v>
      </c>
      <c r="AJ60" s="216">
        <f>Sizing!IT76</f>
        <v>0.5</v>
      </c>
      <c r="AK60" s="216">
        <f>Sizing!IU76</f>
        <v>1.5748031496062995E-2</v>
      </c>
      <c r="AL60" s="17">
        <f>Sizing!IV76</f>
        <v>1.5748031496062995E-2</v>
      </c>
      <c r="AM60" s="170">
        <f t="shared" si="13"/>
        <v>0</v>
      </c>
      <c r="AN60" s="11">
        <f t="shared" si="14"/>
        <v>15.131527582239988</v>
      </c>
      <c r="AO60" s="11">
        <f t="shared" si="15"/>
        <v>15.131527582239988</v>
      </c>
      <c r="AP60" s="11">
        <f t="shared" si="16"/>
        <v>30.263055164479976</v>
      </c>
      <c r="AQ60" s="555">
        <f t="shared" si="17"/>
        <v>482822229.44404316</v>
      </c>
      <c r="AR60" s="311">
        <f t="shared" si="18"/>
        <v>14.830357272800931</v>
      </c>
      <c r="AS60" s="11">
        <f t="shared" si="19"/>
        <v>1.0639620322872174</v>
      </c>
      <c r="AT60" s="11">
        <f t="shared" si="20"/>
        <v>70.406990440146089</v>
      </c>
      <c r="AU60" s="11">
        <f t="shared" si="21"/>
        <v>71.470952472433311</v>
      </c>
      <c r="AV60" s="555">
        <f t="shared" si="22"/>
        <v>1140260440.5166461</v>
      </c>
      <c r="AW60" s="138">
        <f t="shared" si="23"/>
        <v>4.724409448818899E-2</v>
      </c>
      <c r="AX60" s="138">
        <f t="shared" si="24"/>
        <v>0.12598425196850396</v>
      </c>
      <c r="AY60" s="554">
        <f t="shared" si="25"/>
        <v>3.1496062992125991E-2</v>
      </c>
      <c r="AZ60" s="12">
        <f t="shared" si="26"/>
        <v>1407.4196838617443</v>
      </c>
      <c r="BA60" s="11">
        <f t="shared" si="27"/>
        <v>184.50303459880178</v>
      </c>
      <c r="BB60">
        <f t="shared" si="28"/>
        <v>2028.8561162300637</v>
      </c>
      <c r="BC60" s="555">
        <f t="shared" si="29"/>
        <v>7650792068.0301762</v>
      </c>
      <c r="BD60">
        <f t="shared" si="30"/>
        <v>16</v>
      </c>
      <c r="BE60" s="207">
        <f t="shared" si="31"/>
        <v>4.8005250880000006</v>
      </c>
      <c r="BF60" s="207">
        <f>'Inputs-Imperial'!$E$15*BE60</f>
        <v>3.6003938160000004</v>
      </c>
      <c r="BG60" s="207">
        <f>'Inputs-Imperial'!$E$12*BE60</f>
        <v>1.2001312720000001</v>
      </c>
      <c r="BH60">
        <f>'Inputs-Imperial'!$E$11*BE60</f>
        <v>0.86409451584000008</v>
      </c>
      <c r="BI60">
        <f t="shared" si="32"/>
        <v>0.91651063760485596</v>
      </c>
      <c r="BJ60">
        <f>'Weight '!U62+'Weight '!V62 /12</f>
        <v>2.5590551181102369E-2</v>
      </c>
      <c r="BK60">
        <f>('Weight '!AK62+'Weight '!AL62)/12</f>
        <v>1.0498687664041996E-2</v>
      </c>
      <c r="BL60">
        <f>'Weight '!AG62/12</f>
        <v>0.14175234976252532</v>
      </c>
      <c r="BM60">
        <f>'Weight '!AI62/12</f>
        <v>0.14175234976252532</v>
      </c>
      <c r="BN60" s="554">
        <f t="shared" si="33"/>
        <v>2.7116209306568999</v>
      </c>
      <c r="BO60" s="554">
        <f t="shared" si="34"/>
        <v>5.0250053381985191</v>
      </c>
      <c r="BP60">
        <f t="shared" si="35"/>
        <v>0.14175234976252532</v>
      </c>
      <c r="BQ60">
        <f t="shared" si="35"/>
        <v>0.14175234976252532</v>
      </c>
      <c r="BR60">
        <f t="shared" si="36"/>
        <v>0.58058981631494944</v>
      </c>
      <c r="BS60">
        <f t="shared" si="37"/>
        <v>0.77777013781746263</v>
      </c>
      <c r="BT60">
        <f t="shared" si="38"/>
        <v>1.8138861185212516</v>
      </c>
      <c r="BU60">
        <f t="shared" si="39"/>
        <v>2.0997008788208866</v>
      </c>
      <c r="BV60">
        <f t="shared" si="40"/>
        <v>139.83215596471641</v>
      </c>
      <c r="BW60" s="207">
        <f t="shared" si="41"/>
        <v>84.902618802960035</v>
      </c>
      <c r="BX60">
        <f t="shared" si="42"/>
        <v>1.7097040950863998</v>
      </c>
      <c r="BY60" s="575">
        <f t="shared" si="43"/>
        <v>-57.945851030587576</v>
      </c>
      <c r="BZ60">
        <f t="shared" si="44"/>
        <v>159.14743964157893</v>
      </c>
      <c r="CA60" s="207">
        <f t="shared" si="45"/>
        <v>73.174857360867335</v>
      </c>
      <c r="CB60">
        <f t="shared" si="46"/>
        <v>1.7822954441433547</v>
      </c>
      <c r="CC60">
        <f t="shared" si="47"/>
        <v>166.26602993888235</v>
      </c>
      <c r="CD60">
        <f t="shared" si="48"/>
        <v>103.72542966195147</v>
      </c>
      <c r="CE60" s="207">
        <f t="shared" si="49"/>
        <v>106.8257279644893</v>
      </c>
      <c r="CF60">
        <f t="shared" si="50"/>
        <v>1.5740065813352739</v>
      </c>
      <c r="CG60">
        <f t="shared" si="51"/>
        <v>-53.124652546358739</v>
      </c>
      <c r="CH60">
        <f t="shared" si="52"/>
        <v>121.43364717740438</v>
      </c>
      <c r="CI60" s="207">
        <f t="shared" ref="CI60" si="114" xml:space="preserve"> ($BQ$38-CH60*($BP60+$BR60+$BQ60+$BN60))/($BP60+$BR60+$BQ60+$BO60)</f>
        <v>96.07373725804716</v>
      </c>
      <c r="CJ60">
        <f t="shared" si="54"/>
        <v>1.6405582002680346</v>
      </c>
      <c r="CK60">
        <f t="shared" si="55"/>
        <v>11.954347227712091</v>
      </c>
      <c r="CL60">
        <f t="shared" si="56"/>
        <v>117.44886476816701</v>
      </c>
      <c r="CM60" s="207">
        <f t="shared" ref="CM60" si="115" xml:space="preserve"> ($BQ$38-CL60*($BP60+$BR60+$BQ60+$BN60))/($BP60+$BR60+$BQ60+$BO60)</f>
        <v>98.493198358179143</v>
      </c>
      <c r="CN60">
        <f t="shared" si="58"/>
        <v>1.6255824569331612</v>
      </c>
      <c r="CO60">
        <f t="shared" si="59"/>
        <v>-3.1010580327897479</v>
      </c>
      <c r="CP60">
        <f t="shared" si="60"/>
        <v>118.48255077909693</v>
      </c>
      <c r="CQ60" s="207">
        <f t="shared" ref="CQ60" si="116" xml:space="preserve"> ($BQ$38-CP60*($BP60+$BR60+$BQ60+$BN60))/($BP60+$BR60+$BQ60+$BO60)</f>
        <v>97.86556983638134</v>
      </c>
      <c r="CR60">
        <f t="shared" si="62"/>
        <v>1.6294672904820773</v>
      </c>
      <c r="CS60">
        <f t="shared" si="63"/>
        <v>0.78151145184215665</v>
      </c>
      <c r="CT60">
        <f t="shared" si="64"/>
        <v>118.2220469618162</v>
      </c>
      <c r="CU60" s="636">
        <f t="shared" si="65"/>
        <v>98.023741296605991</v>
      </c>
      <c r="CV60" s="575">
        <f t="shared" si="66"/>
        <v>1.628488256270245</v>
      </c>
      <c r="CW60">
        <f t="shared" si="67"/>
        <v>-0.19846612670131059</v>
      </c>
      <c r="CX60" s="576">
        <f t="shared" si="68"/>
        <v>0.33923127708279666</v>
      </c>
    </row>
    <row r="61" spans="1:102" x14ac:dyDescent="0.25">
      <c r="A61" s="186">
        <v>17</v>
      </c>
      <c r="B61" s="187">
        <f>A61/100*'Inputs-Imperial'!$E$5</f>
        <v>4.0938321520000001</v>
      </c>
      <c r="C61" s="188">
        <f>'Inputs-Imperial'!$E$10+('Inputs-Imperial'!$E$9-'Inputs-Imperial'!$E$10)*(100-A61)/100</f>
        <v>4.7827265309999998</v>
      </c>
      <c r="D61" s="187">
        <f t="shared" si="69"/>
        <v>0.24081365600000026</v>
      </c>
      <c r="E61" s="188">
        <f t="shared" si="70"/>
        <v>1.1538889293696559</v>
      </c>
      <c r="F61" s="423">
        <f>Sizing!F77</f>
        <v>769.14192251909731</v>
      </c>
      <c r="G61" s="423">
        <f>Sizing!G77</f>
        <v>7691.4192251909717</v>
      </c>
      <c r="H61" s="423">
        <f>Sizing!H77</f>
        <v>69236.063669810348</v>
      </c>
      <c r="I61" s="423">
        <f>Sizing!I77</f>
        <v>-17539.860913395391</v>
      </c>
      <c r="J61" s="189">
        <f>Sizing!J77</f>
        <v>6923.6063669810383</v>
      </c>
      <c r="K61" s="128">
        <v>17</v>
      </c>
      <c r="L61" s="12">
        <f t="shared" si="11"/>
        <v>49.125985823999997</v>
      </c>
      <c r="M61" s="11">
        <f t="shared" si="11"/>
        <v>57.392718371999997</v>
      </c>
      <c r="N61" s="11">
        <f t="shared" si="11"/>
        <v>2.8897638720000032</v>
      </c>
      <c r="O61" s="152">
        <f t="shared" si="71"/>
        <v>166.16000582923044</v>
      </c>
      <c r="P61" s="170">
        <f t="shared" si="0"/>
        <v>10.330689306959998</v>
      </c>
      <c r="Q61" s="8">
        <f t="shared" si="1"/>
        <v>5.1653446534799992</v>
      </c>
      <c r="R61" s="170">
        <f>Sizing!X77</f>
        <v>14.348179592999999</v>
      </c>
      <c r="S61" s="8">
        <f>Sizing!Y77</f>
        <v>43.044538779</v>
      </c>
      <c r="T61" s="8">
        <f>Sizing!Z77</f>
        <v>28.696359186000002</v>
      </c>
      <c r="U61" s="17">
        <f>Sizing!CN77</f>
        <v>2</v>
      </c>
      <c r="V61" s="17">
        <f>Sizing!CO77</f>
        <v>2.3622047244094495E-2</v>
      </c>
      <c r="W61" s="17">
        <f>Sizing!CP77</f>
        <v>2.3622047244094495E-2</v>
      </c>
      <c r="X61" s="170">
        <f>Sizing!DU77</f>
        <v>2.8934969275004128</v>
      </c>
      <c r="Y61" s="170">
        <f>Sizing!DV77</f>
        <v>1.7010281971503038</v>
      </c>
      <c r="Z61" s="170">
        <f>Sizing!DW77</f>
        <v>2.8934969275004128</v>
      </c>
      <c r="AA61" s="272">
        <f>Sizing!DX77</f>
        <v>1.7010281971503038</v>
      </c>
      <c r="AB61" s="272">
        <f t="shared" si="12"/>
        <v>4.5351729208333165</v>
      </c>
      <c r="AC61" s="216">
        <f>Sizing!GJ77</f>
        <v>0.75</v>
      </c>
      <c r="AD61" s="216">
        <f>Sizing!GK77</f>
        <v>6.2992125984251982E-2</v>
      </c>
      <c r="AE61" s="17">
        <f>Sizing!GL77</f>
        <v>6.2992125984251982E-2</v>
      </c>
      <c r="AF61" s="170">
        <f>Sizing!JC77</f>
        <v>4.3725358123599019E-2</v>
      </c>
      <c r="AG61" s="272">
        <f>Sizing!JD77</f>
        <v>0.20910609298535282</v>
      </c>
      <c r="AH61" s="170">
        <f>Sizing!JC77</f>
        <v>4.3725358123599019E-2</v>
      </c>
      <c r="AI61" s="272">
        <f>Sizing!JD77</f>
        <v>0.20910609298535282</v>
      </c>
      <c r="AJ61" s="216">
        <f>Sizing!IT77</f>
        <v>0.5</v>
      </c>
      <c r="AK61" s="216">
        <f>Sizing!IU77</f>
        <v>1.5748031496062995E-2</v>
      </c>
      <c r="AL61" s="17">
        <f>Sizing!IV77</f>
        <v>1.5748031496062995E-2</v>
      </c>
      <c r="AM61" s="170">
        <f t="shared" si="13"/>
        <v>0</v>
      </c>
      <c r="AN61" s="11">
        <f t="shared" si="14"/>
        <v>14.878211767903629</v>
      </c>
      <c r="AO61" s="11">
        <f t="shared" si="15"/>
        <v>14.878211767903629</v>
      </c>
      <c r="AP61" s="11">
        <f t="shared" si="16"/>
        <v>29.756423535807258</v>
      </c>
      <c r="AQ61" s="555">
        <f t="shared" si="17"/>
        <v>474739337.24650544</v>
      </c>
      <c r="AR61" s="311">
        <f t="shared" si="18"/>
        <v>14.775371837997113</v>
      </c>
      <c r="AS61" s="11">
        <f t="shared" si="19"/>
        <v>1.0560871090718462</v>
      </c>
      <c r="AT61" s="11">
        <f t="shared" si="20"/>
        <v>69.885872555563239</v>
      </c>
      <c r="AU61" s="11">
        <f t="shared" si="21"/>
        <v>70.941959664635078</v>
      </c>
      <c r="AV61" s="555">
        <f t="shared" si="22"/>
        <v>1131820794.0423276</v>
      </c>
      <c r="AW61" s="138">
        <f t="shared" si="23"/>
        <v>4.724409448818899E-2</v>
      </c>
      <c r="AX61" s="138">
        <f t="shared" si="24"/>
        <v>0.12598425196850396</v>
      </c>
      <c r="AY61" s="554">
        <f t="shared" si="25"/>
        <v>3.1496062992125991E-2</v>
      </c>
      <c r="AZ61" s="12">
        <f t="shared" si="26"/>
        <v>1397.002656180412</v>
      </c>
      <c r="BA61" s="11">
        <f t="shared" si="27"/>
        <v>183.81896614425102</v>
      </c>
      <c r="BB61">
        <f t="shared" si="28"/>
        <v>2006.3729559612996</v>
      </c>
      <c r="BC61" s="555">
        <f t="shared" si="29"/>
        <v>7566008340.4545898</v>
      </c>
      <c r="BD61">
        <f t="shared" si="30"/>
        <v>17</v>
      </c>
      <c r="BE61" s="207">
        <f t="shared" si="31"/>
        <v>4.7827265309999998</v>
      </c>
      <c r="BF61" s="207">
        <f>'Inputs-Imperial'!$E$15*BE61</f>
        <v>3.5870448982499998</v>
      </c>
      <c r="BG61" s="207">
        <f>'Inputs-Imperial'!$E$12*BE61</f>
        <v>1.1956816327499999</v>
      </c>
      <c r="BH61">
        <f>'Inputs-Imperial'!$E$11*BE61</f>
        <v>0.86089077557999993</v>
      </c>
      <c r="BI61">
        <f t="shared" si="32"/>
        <v>0.91311255791034629</v>
      </c>
      <c r="BJ61">
        <f>'Weight '!U63+'Weight '!V63 /12</f>
        <v>2.5590551181102369E-2</v>
      </c>
      <c r="BK61">
        <f>('Weight '!AK63+'Weight '!AL63)/12</f>
        <v>1.0498687664041996E-2</v>
      </c>
      <c r="BL61">
        <f>'Weight '!AG63/12</f>
        <v>0.14175234976252532</v>
      </c>
      <c r="BM61">
        <f>'Weight '!AI63/12</f>
        <v>0.14175234976252532</v>
      </c>
      <c r="BN61" s="554">
        <f t="shared" si="33"/>
        <v>2.6993069929620699</v>
      </c>
      <c r="BO61" s="554">
        <f t="shared" si="34"/>
        <v>5.0086347505321243</v>
      </c>
      <c r="BP61">
        <f t="shared" si="35"/>
        <v>0.14175234976252532</v>
      </c>
      <c r="BQ61">
        <f t="shared" si="35"/>
        <v>0.14175234976252532</v>
      </c>
      <c r="BR61">
        <f t="shared" si="36"/>
        <v>0.5773860760549494</v>
      </c>
      <c r="BS61">
        <f t="shared" si="37"/>
        <v>0.77201346612368116</v>
      </c>
      <c r="BT61">
        <f t="shared" si="38"/>
        <v>1.800460626378372</v>
      </c>
      <c r="BU61">
        <f t="shared" si="39"/>
        <v>2.0687340006936261</v>
      </c>
      <c r="BV61">
        <f t="shared" si="40"/>
        <v>140.44163625346974</v>
      </c>
      <c r="BW61" s="207">
        <f t="shared" si="41"/>
        <v>85.185761229867538</v>
      </c>
      <c r="BX61">
        <f t="shared" si="42"/>
        <v>1.7036208998643532</v>
      </c>
      <c r="BY61" s="575">
        <f t="shared" si="43"/>
        <v>-57.809426829545913</v>
      </c>
      <c r="BZ61">
        <f t="shared" si="44"/>
        <v>159.71144519665171</v>
      </c>
      <c r="CA61" s="207">
        <f t="shared" si="45"/>
        <v>73.497536944183096</v>
      </c>
      <c r="CB61">
        <f t="shared" si="46"/>
        <v>1.7754623790891959</v>
      </c>
      <c r="CC61">
        <f t="shared" si="47"/>
        <v>166.0385112035753</v>
      </c>
      <c r="CD61">
        <f t="shared" si="48"/>
        <v>104.36527479545995</v>
      </c>
      <c r="CE61" s="207">
        <f t="shared" si="49"/>
        <v>107.06810606140955</v>
      </c>
      <c r="CF61">
        <f t="shared" si="50"/>
        <v>1.5691214255916441</v>
      </c>
      <c r="CG61">
        <f t="shared" si="51"/>
        <v>-52.225558472746243</v>
      </c>
      <c r="CH61">
        <f t="shared" si="52"/>
        <v>121.77379428637536</v>
      </c>
      <c r="CI61" s="207">
        <f t="shared" ref="CI61" si="117" xml:space="preserve"> ($BQ$38-CH61*($BP61+$BR61+$BQ61+$BN61))/($BP61+$BR61+$BQ61+$BO61)</f>
        <v>96.508858645335849</v>
      </c>
      <c r="CJ61">
        <f t="shared" si="54"/>
        <v>1.6340236669698271</v>
      </c>
      <c r="CK61">
        <f t="shared" si="55"/>
        <v>11.502488723486843</v>
      </c>
      <c r="CL61">
        <f t="shared" si="56"/>
        <v>117.93963137854641</v>
      </c>
      <c r="CM61" s="207">
        <f t="shared" ref="CM61" si="118" xml:space="preserve"> ($BQ$38-CL61*($BP61+$BR61+$BQ61+$BN61))/($BP61+$BR61+$BQ61+$BO61)</f>
        <v>98.834494366307155</v>
      </c>
      <c r="CN61">
        <f t="shared" si="58"/>
        <v>1.6197291850836995</v>
      </c>
      <c r="CO61">
        <f t="shared" si="59"/>
        <v>-2.921457966366237</v>
      </c>
      <c r="CP61">
        <f t="shared" si="60"/>
        <v>118.91345070066849</v>
      </c>
      <c r="CQ61" s="207">
        <f t="shared" ref="CQ61" si="119" xml:space="preserve"> ($BQ$38-CP61*($BP61+$BR61+$BQ61+$BN61))/($BP61+$BR61+$BQ61+$BO61)</f>
        <v>98.243818107696754</v>
      </c>
      <c r="CR61">
        <f t="shared" si="62"/>
        <v>1.6233597670373281</v>
      </c>
      <c r="CS61">
        <f t="shared" si="63"/>
        <v>0.72123666345999737</v>
      </c>
      <c r="CT61">
        <f t="shared" si="64"/>
        <v>118.67303847951516</v>
      </c>
      <c r="CU61" s="636">
        <f t="shared" si="65"/>
        <v>98.389641658420331</v>
      </c>
      <c r="CV61" s="575">
        <f t="shared" si="66"/>
        <v>1.6224634649700729</v>
      </c>
      <c r="CW61">
        <f t="shared" si="67"/>
        <v>-0.17937043649748041</v>
      </c>
      <c r="CX61" s="576">
        <f t="shared" si="68"/>
        <v>0.33923400270824994</v>
      </c>
    </row>
    <row r="62" spans="1:102" x14ac:dyDescent="0.25">
      <c r="A62" s="186">
        <v>18</v>
      </c>
      <c r="B62" s="187">
        <f>A62/100*'Inputs-Imperial'!$E$5</f>
        <v>4.3346458079999994</v>
      </c>
      <c r="C62" s="188">
        <f>'Inputs-Imperial'!$E$10+('Inputs-Imperial'!$E$9-'Inputs-Imperial'!$E$10)*(100-A62)/100</f>
        <v>4.7649279740000008</v>
      </c>
      <c r="D62" s="187">
        <f t="shared" si="69"/>
        <v>0.24081365599999938</v>
      </c>
      <c r="E62" s="188">
        <f t="shared" si="70"/>
        <v>1.1496027937869573</v>
      </c>
      <c r="F62" s="423">
        <f>Sizing!F78</f>
        <v>757.53190875975486</v>
      </c>
      <c r="G62" s="423">
        <f>Sizing!G78</f>
        <v>7575.3190875975479</v>
      </c>
      <c r="H62" s="423">
        <f>Sizing!H78</f>
        <v>67383.86488636343</v>
      </c>
      <c r="I62" s="423">
        <f>Sizing!I78</f>
        <v>-17219.96627128018</v>
      </c>
      <c r="J62" s="189">
        <f>Sizing!J78</f>
        <v>6738.3864886363463</v>
      </c>
      <c r="K62" s="128">
        <v>18</v>
      </c>
      <c r="L62" s="12">
        <f t="shared" si="11"/>
        <v>52.015749695999993</v>
      </c>
      <c r="M62" s="11">
        <f t="shared" si="11"/>
        <v>57.179135688000009</v>
      </c>
      <c r="N62" s="11">
        <f t="shared" si="11"/>
        <v>2.8897638719999925</v>
      </c>
      <c r="O62" s="152">
        <f t="shared" si="71"/>
        <v>165.54280230532186</v>
      </c>
      <c r="P62" s="170">
        <f t="shared" si="0"/>
        <v>10.292244423840001</v>
      </c>
      <c r="Q62" s="8">
        <f t="shared" si="1"/>
        <v>5.1461222119200007</v>
      </c>
      <c r="R62" s="170">
        <f>Sizing!X78</f>
        <v>14.294783922000002</v>
      </c>
      <c r="S62" s="8">
        <f>Sizing!Y78</f>
        <v>42.884351766000009</v>
      </c>
      <c r="T62" s="8">
        <f>Sizing!Z78</f>
        <v>28.589567844000008</v>
      </c>
      <c r="U62" s="17">
        <f>Sizing!CN78</f>
        <v>2</v>
      </c>
      <c r="V62" s="17">
        <f>Sizing!CO78</f>
        <v>2.3622047244094495E-2</v>
      </c>
      <c r="W62" s="17">
        <f>Sizing!CP78</f>
        <v>2.3622047244094495E-2</v>
      </c>
      <c r="X62" s="170">
        <f>Sizing!DU78</f>
        <v>2.8934969275004128</v>
      </c>
      <c r="Y62" s="170">
        <f>Sizing!DV78</f>
        <v>1.7010281971503038</v>
      </c>
      <c r="Z62" s="170">
        <f>Sizing!DW78</f>
        <v>2.8934969275004128</v>
      </c>
      <c r="AA62" s="272">
        <f>Sizing!DX78</f>
        <v>1.7010281971503038</v>
      </c>
      <c r="AB62" s="272">
        <f t="shared" si="12"/>
        <v>4.4967280377133196</v>
      </c>
      <c r="AC62" s="216">
        <f>Sizing!GJ78</f>
        <v>0.75</v>
      </c>
      <c r="AD62" s="216">
        <f>Sizing!GK78</f>
        <v>6.2992125984251982E-2</v>
      </c>
      <c r="AE62" s="17">
        <f>Sizing!GL78</f>
        <v>6.2992125984251982E-2</v>
      </c>
      <c r="AF62" s="170">
        <f>Sizing!JC78</f>
        <v>4.3725358123599019E-2</v>
      </c>
      <c r="AG62" s="272">
        <f>Sizing!JD78</f>
        <v>0.20910609298535282</v>
      </c>
      <c r="AH62" s="170">
        <f>Sizing!JC78</f>
        <v>4.3725358123599019E-2</v>
      </c>
      <c r="AI62" s="272">
        <f>Sizing!JD78</f>
        <v>0.20910609298535282</v>
      </c>
      <c r="AJ62" s="216">
        <f>Sizing!IT78</f>
        <v>0.5</v>
      </c>
      <c r="AK62" s="216">
        <f>Sizing!IU78</f>
        <v>1.5748031496062995E-2</v>
      </c>
      <c r="AL62" s="17">
        <f>Sizing!IV78</f>
        <v>1.5748031496062995E-2</v>
      </c>
      <c r="AM62" s="170">
        <f t="shared" si="13"/>
        <v>0</v>
      </c>
      <c r="AN62" s="11">
        <f t="shared" si="14"/>
        <v>14.627034260872602</v>
      </c>
      <c r="AO62" s="11">
        <f t="shared" si="15"/>
        <v>14.627034260872602</v>
      </c>
      <c r="AP62" s="11">
        <f t="shared" si="16"/>
        <v>29.254068521745204</v>
      </c>
      <c r="AQ62" s="555">
        <f t="shared" si="17"/>
        <v>466724674.92825687</v>
      </c>
      <c r="AR62" s="311">
        <f t="shared" si="18"/>
        <v>14.7203864031933</v>
      </c>
      <c r="AS62" s="11">
        <f t="shared" si="19"/>
        <v>1.0482414373621833</v>
      </c>
      <c r="AT62" s="11">
        <f t="shared" si="20"/>
        <v>69.366690370206811</v>
      </c>
      <c r="AU62" s="11">
        <f t="shared" si="21"/>
        <v>70.414931807568991</v>
      </c>
      <c r="AV62" s="555">
        <f t="shared" si="22"/>
        <v>1123412496.745681</v>
      </c>
      <c r="AW62" s="138">
        <f t="shared" si="23"/>
        <v>4.724409448818899E-2</v>
      </c>
      <c r="AX62" s="138">
        <f t="shared" si="24"/>
        <v>0.12598425196850396</v>
      </c>
      <c r="AY62" s="554">
        <f t="shared" si="25"/>
        <v>3.1496062992125991E-2</v>
      </c>
      <c r="AZ62" s="12">
        <f t="shared" si="26"/>
        <v>1386.6243226852152</v>
      </c>
      <c r="BA62" s="11">
        <f t="shared" si="27"/>
        <v>183.13489768970049</v>
      </c>
      <c r="BB62">
        <f t="shared" si="28"/>
        <v>1984.056513275217</v>
      </c>
      <c r="BC62" s="555">
        <f t="shared" si="29"/>
        <v>7481853302.8826847</v>
      </c>
      <c r="BD62">
        <f t="shared" si="30"/>
        <v>18</v>
      </c>
      <c r="BE62" s="207">
        <f t="shared" si="31"/>
        <v>4.7649279740000008</v>
      </c>
      <c r="BF62" s="207">
        <f>'Inputs-Imperial'!$E$15*BE62</f>
        <v>3.5736959805000006</v>
      </c>
      <c r="BG62" s="207">
        <f>'Inputs-Imperial'!$E$12*BE62</f>
        <v>1.1912319935000002</v>
      </c>
      <c r="BH62">
        <f>'Inputs-Imperial'!$E$11*BE62</f>
        <v>0.85768703532000012</v>
      </c>
      <c r="BI62">
        <f t="shared" si="32"/>
        <v>0.90971447821583695</v>
      </c>
      <c r="BJ62">
        <f>'Weight '!U64+'Weight '!V64 /12</f>
        <v>2.5590551181102369E-2</v>
      </c>
      <c r="BK62">
        <f>('Weight '!AK64+'Weight '!AL64)/12</f>
        <v>1.0498687664041996E-2</v>
      </c>
      <c r="BL62">
        <f>'Weight '!AG64/12</f>
        <v>0.14175234976252532</v>
      </c>
      <c r="BM62">
        <f>'Weight '!AI64/12</f>
        <v>0.14175234976252532</v>
      </c>
      <c r="BN62" s="554">
        <f t="shared" si="33"/>
        <v>2.6869903346373585</v>
      </c>
      <c r="BO62" s="554">
        <f t="shared" si="34"/>
        <v>4.9922668834956143</v>
      </c>
      <c r="BP62">
        <f t="shared" si="35"/>
        <v>0.14175234976252532</v>
      </c>
      <c r="BQ62">
        <f t="shared" si="35"/>
        <v>0.14175234976252532</v>
      </c>
      <c r="BR62">
        <f t="shared" si="36"/>
        <v>0.57418233579494959</v>
      </c>
      <c r="BS62">
        <f t="shared" si="37"/>
        <v>0.76627817766251161</v>
      </c>
      <c r="BT62">
        <f t="shared" si="38"/>
        <v>1.7870850034023817</v>
      </c>
      <c r="BU62">
        <f t="shared" si="39"/>
        <v>2.0381109221843334</v>
      </c>
      <c r="BV62">
        <f t="shared" si="40"/>
        <v>141.05656109571825</v>
      </c>
      <c r="BW62" s="207">
        <f t="shared" si="41"/>
        <v>85.470758733981654</v>
      </c>
      <c r="BX62">
        <f t="shared" si="42"/>
        <v>1.6975380970916922</v>
      </c>
      <c r="BY62" s="575">
        <f t="shared" si="43"/>
        <v>-57.671778207526188</v>
      </c>
      <c r="BZ62">
        <f t="shared" si="44"/>
        <v>160.28048716489366</v>
      </c>
      <c r="CA62" s="207">
        <f t="shared" si="45"/>
        <v>73.822356602134505</v>
      </c>
      <c r="CB62">
        <f t="shared" si="46"/>
        <v>1.7686332166901542</v>
      </c>
      <c r="CC62">
        <f t="shared" si="47"/>
        <v>165.81387314805744</v>
      </c>
      <c r="CD62">
        <f t="shared" si="48"/>
        <v>105.00919611554119</v>
      </c>
      <c r="CE62" s="207">
        <f t="shared" si="49"/>
        <v>107.31302974416025</v>
      </c>
      <c r="CF62">
        <f t="shared" si="50"/>
        <v>1.5642254888735196</v>
      </c>
      <c r="CG62">
        <f t="shared" si="51"/>
        <v>-51.328820357070782</v>
      </c>
      <c r="CH62">
        <f t="shared" si="52"/>
        <v>122.11880290123145</v>
      </c>
      <c r="CI62" s="207">
        <f t="shared" ref="CI62" si="120" xml:space="preserve"> ($BQ$38-CH62*($BP62+$BR62+$BQ62+$BN62))/($BP62+$BR62+$BQ62+$BO62)</f>
        <v>96.94576244192757</v>
      </c>
      <c r="CJ62">
        <f t="shared" si="54"/>
        <v>1.6275013013342092</v>
      </c>
      <c r="CK62">
        <f t="shared" si="55"/>
        <v>11.059764821311873</v>
      </c>
      <c r="CL62">
        <f t="shared" si="56"/>
        <v>118.43221462746082</v>
      </c>
      <c r="CM62" s="207">
        <f t="shared" ref="CM62" si="121" xml:space="preserve"> ($BQ$38-CL62*($BP62+$BR62+$BQ62+$BN62))/($BP62+$BR62+$BQ62+$BO62)</f>
        <v>99.179586196394098</v>
      </c>
      <c r="CN62">
        <f t="shared" si="58"/>
        <v>1.613867331182073</v>
      </c>
      <c r="CO62">
        <f t="shared" si="59"/>
        <v>-2.7490535055074456</v>
      </c>
      <c r="CP62">
        <f t="shared" si="60"/>
        <v>119.34856579596331</v>
      </c>
      <c r="CQ62" s="207">
        <f t="shared" ref="CQ62" si="122" xml:space="preserve"> ($BQ$38-CP62*($BP62+$BR62+$BQ62+$BN62))/($BP62+$BR62+$BQ62+$BO62)</f>
        <v>98.624339215819205</v>
      </c>
      <c r="CR62">
        <f t="shared" si="62"/>
        <v>1.6172562380934108</v>
      </c>
      <c r="CS62">
        <f t="shared" si="63"/>
        <v>0.66453812325773676</v>
      </c>
      <c r="CT62">
        <f t="shared" si="64"/>
        <v>119.12705308821073</v>
      </c>
      <c r="CU62" s="636">
        <f t="shared" si="65"/>
        <v>98.758560970934752</v>
      </c>
      <c r="CV62" s="575">
        <f t="shared" si="66"/>
        <v>1.6164370260139647</v>
      </c>
      <c r="CW62">
        <f t="shared" si="67"/>
        <v>-0.16177951763264176</v>
      </c>
      <c r="CX62" s="576">
        <f t="shared" si="68"/>
        <v>0.33923640290768525</v>
      </c>
    </row>
    <row r="63" spans="1:102" x14ac:dyDescent="0.25">
      <c r="A63" s="186">
        <v>19</v>
      </c>
      <c r="B63" s="187">
        <f>A63/100*'Inputs-Imperial'!$E$5</f>
        <v>4.5754594639999997</v>
      </c>
      <c r="C63" s="188">
        <f>'Inputs-Imperial'!$E$10+('Inputs-Imperial'!$E$9-'Inputs-Imperial'!$E$10)*(100-A63)/100</f>
        <v>4.747129417</v>
      </c>
      <c r="D63" s="187">
        <f t="shared" si="69"/>
        <v>0.24081365600000026</v>
      </c>
      <c r="E63" s="188">
        <f t="shared" si="70"/>
        <v>1.1453166582042671</v>
      </c>
      <c r="F63" s="423">
        <f>Sizing!F79</f>
        <v>745.95380281547682</v>
      </c>
      <c r="G63" s="423">
        <f>Sizing!G79</f>
        <v>7459.5380281547677</v>
      </c>
      <c r="H63" s="423">
        <f>Sizing!H79</f>
        <v>65559.624601512478</v>
      </c>
      <c r="I63" s="423">
        <f>Sizing!I79</f>
        <v>-16901.837675688545</v>
      </c>
      <c r="J63" s="189">
        <f>Sizing!J79</f>
        <v>6555.9624601512514</v>
      </c>
      <c r="K63" s="128">
        <v>19</v>
      </c>
      <c r="L63" s="12">
        <f t="shared" si="11"/>
        <v>54.905513567999996</v>
      </c>
      <c r="M63" s="11">
        <f t="shared" si="11"/>
        <v>56.965553004</v>
      </c>
      <c r="N63" s="11">
        <f t="shared" si="11"/>
        <v>2.8897638720000032</v>
      </c>
      <c r="O63" s="152">
        <f t="shared" si="71"/>
        <v>164.92559878141446</v>
      </c>
      <c r="P63" s="170">
        <f t="shared" si="0"/>
        <v>10.253799540719999</v>
      </c>
      <c r="Q63" s="8">
        <f t="shared" si="1"/>
        <v>5.1268997703599997</v>
      </c>
      <c r="R63" s="170">
        <f>Sizing!X79</f>
        <v>14.241388251</v>
      </c>
      <c r="S63" s="8">
        <f>Sizing!Y79</f>
        <v>42.724164752999997</v>
      </c>
      <c r="T63" s="8">
        <f>Sizing!Z79</f>
        <v>28.482776501999997</v>
      </c>
      <c r="U63" s="17">
        <f>Sizing!CN79</f>
        <v>2</v>
      </c>
      <c r="V63" s="17">
        <f>Sizing!CO79</f>
        <v>2.3622047244094495E-2</v>
      </c>
      <c r="W63" s="17">
        <f>Sizing!CP79</f>
        <v>2.3622047244094495E-2</v>
      </c>
      <c r="X63" s="170">
        <f>Sizing!DU79</f>
        <v>2.8934969275004128</v>
      </c>
      <c r="Y63" s="170">
        <f>Sizing!DV79</f>
        <v>1.7010281971503038</v>
      </c>
      <c r="Z63" s="170">
        <f>Sizing!DW79</f>
        <v>2.8934969275004128</v>
      </c>
      <c r="AA63" s="272">
        <f>Sizing!DX79</f>
        <v>1.7010281971503038</v>
      </c>
      <c r="AB63" s="272">
        <f t="shared" si="12"/>
        <v>4.4582831545933175</v>
      </c>
      <c r="AC63" s="216">
        <f>Sizing!GJ79</f>
        <v>0.75</v>
      </c>
      <c r="AD63" s="216">
        <f>Sizing!GK79</f>
        <v>6.2992125984251982E-2</v>
      </c>
      <c r="AE63" s="17">
        <f>Sizing!GL79</f>
        <v>6.2992125984251982E-2</v>
      </c>
      <c r="AF63" s="170">
        <f>Sizing!JC79</f>
        <v>4.3725358123599019E-2</v>
      </c>
      <c r="AG63" s="272">
        <f>Sizing!JD79</f>
        <v>0.20910609298535282</v>
      </c>
      <c r="AH63" s="170">
        <f>Sizing!JC79</f>
        <v>4.3725358123599019E-2</v>
      </c>
      <c r="AI63" s="272">
        <f>Sizing!JD79</f>
        <v>0.20910609298535282</v>
      </c>
      <c r="AJ63" s="216">
        <f>Sizing!IT79</f>
        <v>0.5</v>
      </c>
      <c r="AK63" s="216">
        <f>Sizing!IU79</f>
        <v>1.5748031496062995E-2</v>
      </c>
      <c r="AL63" s="17">
        <f>Sizing!IV79</f>
        <v>1.5748031496062995E-2</v>
      </c>
      <c r="AM63" s="170">
        <f t="shared" si="13"/>
        <v>0</v>
      </c>
      <c r="AN63" s="11">
        <f t="shared" si="14"/>
        <v>14.377995061146835</v>
      </c>
      <c r="AO63" s="11">
        <f t="shared" si="15"/>
        <v>14.377995061146835</v>
      </c>
      <c r="AP63" s="11">
        <f t="shared" si="16"/>
        <v>28.755990122293671</v>
      </c>
      <c r="AQ63" s="555">
        <f t="shared" si="17"/>
        <v>458778242.48929524</v>
      </c>
      <c r="AR63" s="311">
        <f t="shared" si="18"/>
        <v>14.665400968389479</v>
      </c>
      <c r="AS63" s="11">
        <f t="shared" si="19"/>
        <v>1.0404250171582115</v>
      </c>
      <c r="AT63" s="11">
        <f t="shared" si="20"/>
        <v>68.849443884076706</v>
      </c>
      <c r="AU63" s="11">
        <f t="shared" si="21"/>
        <v>69.889868901234919</v>
      </c>
      <c r="AV63" s="555">
        <f t="shared" si="22"/>
        <v>1115035548.6267042</v>
      </c>
      <c r="AW63" s="138">
        <f t="shared" si="23"/>
        <v>4.724409448818899E-2</v>
      </c>
      <c r="AX63" s="138">
        <f t="shared" si="24"/>
        <v>0.12598425196850396</v>
      </c>
      <c r="AY63" s="554">
        <f t="shared" si="25"/>
        <v>3.1496062992125991E-2</v>
      </c>
      <c r="AZ63" s="12">
        <f t="shared" si="26"/>
        <v>1376.2846833761507</v>
      </c>
      <c r="BA63" s="11">
        <f t="shared" si="27"/>
        <v>182.45082923514977</v>
      </c>
      <c r="BB63">
        <f t="shared" si="28"/>
        <v>1961.9061677448701</v>
      </c>
      <c r="BC63" s="555">
        <f t="shared" si="29"/>
        <v>7398324615.6918936</v>
      </c>
      <c r="BD63">
        <f t="shared" si="30"/>
        <v>19</v>
      </c>
      <c r="BE63" s="207">
        <f t="shared" si="31"/>
        <v>4.747129417</v>
      </c>
      <c r="BF63" s="207">
        <f>'Inputs-Imperial'!$E$15*BE63</f>
        <v>3.56034706275</v>
      </c>
      <c r="BG63" s="207">
        <f>'Inputs-Imperial'!$E$12*BE63</f>
        <v>1.18678235425</v>
      </c>
      <c r="BH63">
        <f>'Inputs-Imperial'!$E$11*BE63</f>
        <v>0.85448329505999998</v>
      </c>
      <c r="BI63">
        <f t="shared" si="32"/>
        <v>0.90631639852132728</v>
      </c>
      <c r="BJ63">
        <f>'Weight '!U65+'Weight '!V65 /12</f>
        <v>2.5590551181102369E-2</v>
      </c>
      <c r="BK63">
        <f>('Weight '!AK65+'Weight '!AL65)/12</f>
        <v>1.0498687664041996E-2</v>
      </c>
      <c r="BL63">
        <f>'Weight '!AG65/12</f>
        <v>0.14175234976252532</v>
      </c>
      <c r="BM63">
        <f>'Weight '!AI65/12</f>
        <v>0.14175234976252532</v>
      </c>
      <c r="BN63" s="554">
        <f t="shared" si="33"/>
        <v>2.6746709654575875</v>
      </c>
      <c r="BO63" s="554">
        <f t="shared" si="34"/>
        <v>4.9759017273141621</v>
      </c>
      <c r="BP63">
        <f t="shared" si="35"/>
        <v>0.14175234976252532</v>
      </c>
      <c r="BQ63">
        <f t="shared" si="35"/>
        <v>0.14175234976252532</v>
      </c>
      <c r="BR63">
        <f t="shared" si="36"/>
        <v>0.57097859553494934</v>
      </c>
      <c r="BS63">
        <f t="shared" si="37"/>
        <v>0.76056427243395308</v>
      </c>
      <c r="BT63">
        <f t="shared" si="38"/>
        <v>1.7737592495932781</v>
      </c>
      <c r="BU63">
        <f t="shared" si="39"/>
        <v>2.0078290892113491</v>
      </c>
      <c r="BV63">
        <f t="shared" si="40"/>
        <v>141.67700335282873</v>
      </c>
      <c r="BW63" s="207">
        <f t="shared" si="41"/>
        <v>85.757629741645687</v>
      </c>
      <c r="BX63">
        <f t="shared" si="42"/>
        <v>1.6914556873714546</v>
      </c>
      <c r="BY63" s="575">
        <f t="shared" si="43"/>
        <v>-57.532891144713332</v>
      </c>
      <c r="BZ63">
        <f t="shared" si="44"/>
        <v>160.85463373439984</v>
      </c>
      <c r="CA63" s="207">
        <f t="shared" si="45"/>
        <v>74.149337028895602</v>
      </c>
      <c r="CB63">
        <f t="shared" si="46"/>
        <v>1.7618079615102418</v>
      </c>
      <c r="CC63">
        <f t="shared" si="47"/>
        <v>165.59215288900006</v>
      </c>
      <c r="CD63">
        <f t="shared" si="48"/>
        <v>105.65724943806649</v>
      </c>
      <c r="CE63" s="207">
        <f t="shared" si="49"/>
        <v>107.56052397646152</v>
      </c>
      <c r="CF63">
        <f t="shared" si="50"/>
        <v>1.559318840878775</v>
      </c>
      <c r="CG63">
        <f t="shared" si="51"/>
        <v>-50.434419309087481</v>
      </c>
      <c r="CH63">
        <f t="shared" si="52"/>
        <v>122.46872254109564</v>
      </c>
      <c r="CI63" s="207">
        <f t="shared" ref="CI63" si="123" xml:space="preserve"> ($BQ$38-CH63*($BP63+$BR63+$BQ63+$BN63))/($BP63+$BR63+$BQ63+$BO63)</f>
        <v>97.384475276512617</v>
      </c>
      <c r="CJ63">
        <f t="shared" si="54"/>
        <v>1.6209909735087638</v>
      </c>
      <c r="CK63">
        <f t="shared" si="55"/>
        <v>10.626134346680967</v>
      </c>
      <c r="CL63">
        <f t="shared" si="56"/>
        <v>118.92667775886865</v>
      </c>
      <c r="CM63" s="207">
        <f t="shared" ref="CM63" si="124" xml:space="preserve"> ($BQ$38-CL63*($BP63+$BR63+$BQ63+$BN63))/($BP63+$BR63+$BQ63+$BO63)</f>
        <v>99.528488473954965</v>
      </c>
      <c r="CN63">
        <f t="shared" si="58"/>
        <v>1.6079971416028911</v>
      </c>
      <c r="CO63">
        <f t="shared" si="59"/>
        <v>-2.5836841353309428</v>
      </c>
      <c r="CP63">
        <f t="shared" si="60"/>
        <v>119.78790580397896</v>
      </c>
      <c r="CQ63" s="207">
        <f t="shared" ref="CQ63" si="125" xml:space="preserve"> ($BQ$38-CP63*($BP63+$BR63+$BQ63+$BN63))/($BP63+$BR63+$BQ63+$BO63)</f>
        <v>99.007183858048052</v>
      </c>
      <c r="CR63">
        <f t="shared" si="62"/>
        <v>1.6111565179345904</v>
      </c>
      <c r="CS63">
        <f t="shared" si="63"/>
        <v>0.61126868613826524</v>
      </c>
      <c r="CT63">
        <f t="shared" si="64"/>
        <v>119.58414957526621</v>
      </c>
      <c r="CU63" s="636">
        <f t="shared" si="65"/>
        <v>99.130518279344258</v>
      </c>
      <c r="CV63" s="575">
        <f t="shared" si="66"/>
        <v>1.6104090473777659</v>
      </c>
      <c r="CW63">
        <f t="shared" si="67"/>
        <v>-0.14560172322670084</v>
      </c>
      <c r="CX63" s="576">
        <f t="shared" si="68"/>
        <v>0.33923849676621654</v>
      </c>
    </row>
    <row r="64" spans="1:102" x14ac:dyDescent="0.25">
      <c r="A64" s="186">
        <v>20</v>
      </c>
      <c r="B64" s="187">
        <f>A64/100*'Inputs-Imperial'!$E$5</f>
        <v>4.81627312</v>
      </c>
      <c r="C64" s="188">
        <f>'Inputs-Imperial'!$E$10+('Inputs-Imperial'!$E$9-'Inputs-Imperial'!$E$10)*(100-A64)/100</f>
        <v>4.729330860000001</v>
      </c>
      <c r="D64" s="187">
        <f t="shared" si="69"/>
        <v>0.24081365600000026</v>
      </c>
      <c r="E64" s="188">
        <f t="shared" si="70"/>
        <v>1.1410305226215727</v>
      </c>
      <c r="F64" s="423">
        <f>Sizing!F80</f>
        <v>734.40825601471386</v>
      </c>
      <c r="G64" s="423">
        <f>Sizing!G80</f>
        <v>7344.0825601471379</v>
      </c>
      <c r="H64" s="423">
        <f>Sizing!H80</f>
        <v>63763.265976881499</v>
      </c>
      <c r="I64" s="423">
        <f>Sizing!I80</f>
        <v>-16585.506007137988</v>
      </c>
      <c r="J64" s="189">
        <f>Sizing!J80</f>
        <v>6376.326597688153</v>
      </c>
      <c r="K64" s="128">
        <v>20</v>
      </c>
      <c r="L64" s="12">
        <f t="shared" si="11"/>
        <v>57.79527744</v>
      </c>
      <c r="M64" s="11">
        <f t="shared" si="11"/>
        <v>56.751970320000012</v>
      </c>
      <c r="N64" s="11">
        <f t="shared" si="11"/>
        <v>2.8897638720000032</v>
      </c>
      <c r="O64" s="152">
        <f t="shared" si="71"/>
        <v>164.30839525750648</v>
      </c>
      <c r="P64" s="170">
        <f t="shared" si="0"/>
        <v>10.215354657600002</v>
      </c>
      <c r="Q64" s="8">
        <f t="shared" si="1"/>
        <v>5.1076773288000012</v>
      </c>
      <c r="R64" s="170">
        <f>Sizing!X80</f>
        <v>14.187992580000003</v>
      </c>
      <c r="S64" s="8">
        <f>Sizing!Y80</f>
        <v>42.563977740000013</v>
      </c>
      <c r="T64" s="8">
        <f>Sizing!Z80</f>
        <v>28.37598516000001</v>
      </c>
      <c r="U64" s="17">
        <f>Sizing!CN80</f>
        <v>2</v>
      </c>
      <c r="V64" s="17">
        <f>Sizing!CO80</f>
        <v>2.3622047244094495E-2</v>
      </c>
      <c r="W64" s="17">
        <f>Sizing!CP80</f>
        <v>2.3622047244094495E-2</v>
      </c>
      <c r="X64" s="170">
        <f>Sizing!DU80</f>
        <v>2.271823534607841</v>
      </c>
      <c r="Y64" s="170">
        <f>Sizing!DV80</f>
        <v>1.5072569570606869</v>
      </c>
      <c r="Z64" s="170">
        <f>Sizing!DW80</f>
        <v>2.271823534607841</v>
      </c>
      <c r="AA64" s="272">
        <f>Sizing!DX80</f>
        <v>1.5072569570606869</v>
      </c>
      <c r="AB64" s="272">
        <f t="shared" si="12"/>
        <v>4.6136095115629381</v>
      </c>
      <c r="AC64" s="216">
        <f>Sizing!GJ80</f>
        <v>0.75</v>
      </c>
      <c r="AD64" s="216">
        <f>Sizing!GK80</f>
        <v>6.2992125984251982E-2</v>
      </c>
      <c r="AE64" s="17">
        <f>Sizing!GL80</f>
        <v>6.2992125984251982E-2</v>
      </c>
      <c r="AF64" s="170">
        <f>Sizing!JC80</f>
        <v>3.485943317074526E-2</v>
      </c>
      <c r="AG64" s="272">
        <f>Sizing!JD80</f>
        <v>0.18670681072404741</v>
      </c>
      <c r="AH64" s="170">
        <f>Sizing!JC80</f>
        <v>3.485943317074526E-2</v>
      </c>
      <c r="AI64" s="272">
        <f>Sizing!JD80</f>
        <v>0.18670681072404741</v>
      </c>
      <c r="AJ64" s="216">
        <f>Sizing!IT80</f>
        <v>0.5</v>
      </c>
      <c r="AK64" s="216">
        <f>Sizing!IU80</f>
        <v>1.5748031496062995E-2</v>
      </c>
      <c r="AL64" s="17">
        <f>Sizing!IV80</f>
        <v>1.5748031496062995E-2</v>
      </c>
      <c r="AM64" s="170">
        <f t="shared" si="13"/>
        <v>0</v>
      </c>
      <c r="AN64" s="11">
        <f>X64*((AB64/2-AM64)^2)</f>
        <v>12.08916403411089</v>
      </c>
      <c r="AO64" s="11">
        <f t="shared" si="15"/>
        <v>12.08916403411089</v>
      </c>
      <c r="AP64" s="11">
        <f>AN64+AO64</f>
        <v>24.178328068221781</v>
      </c>
      <c r="AQ64" s="555">
        <f>AP64*$E$23</f>
        <v>385745398.09946257</v>
      </c>
      <c r="AR64" s="311">
        <f t="shared" si="18"/>
        <v>14.616820803105011</v>
      </c>
      <c r="AS64" s="11">
        <f t="shared" si="19"/>
        <v>0.83554782083993651</v>
      </c>
      <c r="AT64" s="11">
        <f t="shared" si="20"/>
        <v>54.453473020539455</v>
      </c>
      <c r="AU64" s="11">
        <f t="shared" si="21"/>
        <v>55.28902084137939</v>
      </c>
      <c r="AV64" s="555">
        <f t="shared" si="22"/>
        <v>882090990.52711821</v>
      </c>
      <c r="AW64" s="138">
        <f t="shared" si="23"/>
        <v>4.724409448818899E-2</v>
      </c>
      <c r="AX64" s="138">
        <f t="shared" si="24"/>
        <v>0.12598425196850396</v>
      </c>
      <c r="AY64" s="554">
        <f t="shared" si="25"/>
        <v>3.1496062992125991E-2</v>
      </c>
      <c r="AZ64" s="12">
        <f t="shared" si="26"/>
        <v>1365.9837382532219</v>
      </c>
      <c r="BA64" s="11">
        <f t="shared" si="27"/>
        <v>181.76676078059927</v>
      </c>
      <c r="BB64">
        <f t="shared" si="28"/>
        <v>1939.9212989433204</v>
      </c>
      <c r="BC64" s="555">
        <f t="shared" si="29"/>
        <v>7315419939.259675</v>
      </c>
      <c r="BD64">
        <f t="shared" si="30"/>
        <v>20</v>
      </c>
      <c r="BE64" s="207">
        <f t="shared" si="31"/>
        <v>4.729330860000001</v>
      </c>
      <c r="BF64" s="207">
        <f>'Inputs-Imperial'!$E$15*BE64</f>
        <v>3.5469981450000008</v>
      </c>
      <c r="BG64" s="207">
        <f>'Inputs-Imperial'!$E$12*BE64</f>
        <v>1.1823327150000003</v>
      </c>
      <c r="BH64">
        <f>'Inputs-Imperial'!$E$11*BE64</f>
        <v>0.85127955480000017</v>
      </c>
      <c r="BI64">
        <f t="shared" si="32"/>
        <v>0.90291831882681794</v>
      </c>
      <c r="BJ64">
        <f>'Weight '!U66+'Weight '!V66 /12</f>
        <v>2.5590551181102369E-2</v>
      </c>
      <c r="BK64">
        <f>('Weight '!AK66+'Weight '!AL66)/12</f>
        <v>1.0498687664041996E-2</v>
      </c>
      <c r="BL64">
        <f>'Weight '!AG66/12</f>
        <v>0.1256047464217239</v>
      </c>
      <c r="BM64">
        <f>'Weight '!AI66/12</f>
        <v>0.1256047464217239</v>
      </c>
      <c r="BN64" s="554">
        <f t="shared" si="33"/>
        <v>2.6623488957893691</v>
      </c>
      <c r="BO64" s="554">
        <f t="shared" si="34"/>
        <v>4.9595392716211588</v>
      </c>
      <c r="BP64">
        <f t="shared" si="35"/>
        <v>0.1256047464217239</v>
      </c>
      <c r="BQ64">
        <f t="shared" si="35"/>
        <v>0.1256047464217239</v>
      </c>
      <c r="BR64">
        <f t="shared" si="36"/>
        <v>0.60007006195655233</v>
      </c>
      <c r="BS64">
        <f t="shared" si="37"/>
        <v>0.75487175043800681</v>
      </c>
      <c r="BT64">
        <f t="shared" si="38"/>
        <v>1.7604833649510634</v>
      </c>
      <c r="BU64">
        <f t="shared" si="39"/>
        <v>1.9778859572155645</v>
      </c>
      <c r="BV64">
        <f t="shared" si="40"/>
        <v>142.30303716835255</v>
      </c>
      <c r="BW64" s="207">
        <f t="shared" si="41"/>
        <v>86.046392932877993</v>
      </c>
      <c r="BX64">
        <f t="shared" si="42"/>
        <v>1.6853736712750895</v>
      </c>
      <c r="BY64" s="575">
        <f t="shared" si="43"/>
        <v>-57.392751428474639</v>
      </c>
      <c r="BZ64">
        <f t="shared" si="44"/>
        <v>161.43395431117742</v>
      </c>
      <c r="CA64" s="207">
        <f t="shared" si="45"/>
        <v>74.478499187290865</v>
      </c>
      <c r="CB64">
        <f t="shared" si="46"/>
        <v>1.754986618110522</v>
      </c>
      <c r="CC64">
        <f t="shared" si="47"/>
        <v>165.37338813561152</v>
      </c>
      <c r="CD64">
        <f t="shared" si="48"/>
        <v>106.30949159930691</v>
      </c>
      <c r="CE64" s="207">
        <f t="shared" si="49"/>
        <v>107.8106140395399</v>
      </c>
      <c r="CF64">
        <f t="shared" si="50"/>
        <v>1.5544015513599481</v>
      </c>
      <c r="CG64">
        <f t="shared" si="51"/>
        <v>-49.542335783314876</v>
      </c>
      <c r="CH64">
        <f t="shared" si="52"/>
        <v>122.82360352707853</v>
      </c>
      <c r="CI64" s="207">
        <f t="shared" ref="CI64" si="126" xml:space="preserve"> ($BQ$38-CH64*($BP64+$BR64+$BQ64+$BN64))/($BP64+$BR64+$BQ64+$BO64)</f>
        <v>97.825024187417029</v>
      </c>
      <c r="CJ64">
        <f t="shared" si="54"/>
        <v>1.6144925541634132</v>
      </c>
      <c r="CK64">
        <f t="shared" si="55"/>
        <v>10.201556503553238</v>
      </c>
      <c r="CL64">
        <f t="shared" si="56"/>
        <v>119.42308469256079</v>
      </c>
      <c r="CM64" s="207">
        <f t="shared" ref="CM64" si="127" xml:space="preserve"> ($BQ$38-CL64*($BP64+$BR64+$BQ64+$BN64))/($BP64+$BR64+$BQ64+$BO64)</f>
        <v>99.881216280242143</v>
      </c>
      <c r="CN64">
        <f t="shared" si="58"/>
        <v>1.6021188590042685</v>
      </c>
      <c r="CO64">
        <f t="shared" si="59"/>
        <v>-2.4251902750107899</v>
      </c>
      <c r="CP64">
        <f t="shared" si="60"/>
        <v>120.23148145089772</v>
      </c>
      <c r="CQ64" s="207">
        <f t="shared" ref="CQ64" si="128" xml:space="preserve"> ($BQ$38-CP64*($BP64+$BR64+$BQ64+$BN64))/($BP64+$BR64+$BQ64+$BO64)</f>
        <v>99.392402924619716</v>
      </c>
      <c r="CR64">
        <f t="shared" si="62"/>
        <v>1.6050604263185753</v>
      </c>
      <c r="CS64">
        <f t="shared" si="63"/>
        <v>0.56128455883477812</v>
      </c>
      <c r="CT64">
        <f t="shared" si="64"/>
        <v>120.04438659795279</v>
      </c>
      <c r="CU64" s="636">
        <f t="shared" si="65"/>
        <v>99.505533589660772</v>
      </c>
      <c r="CV64" s="575">
        <f t="shared" si="66"/>
        <v>1.6043796317725532</v>
      </c>
      <c r="CW64">
        <f t="shared" si="67"/>
        <v>-0.1307493140307443</v>
      </c>
      <c r="CX64" s="576">
        <f t="shared" si="68"/>
        <v>0.33924030254304366</v>
      </c>
    </row>
    <row r="65" spans="1:102" x14ac:dyDescent="0.25">
      <c r="A65" s="186">
        <v>21</v>
      </c>
      <c r="B65" s="187">
        <f>A65/100*'Inputs-Imperial'!$E$5</f>
        <v>5.0570867759999993</v>
      </c>
      <c r="C65" s="188">
        <f>'Inputs-Imperial'!$E$10+('Inputs-Imperial'!$E$9-'Inputs-Imperial'!$E$10)*(100-A65)/100</f>
        <v>4.7115323030000003</v>
      </c>
      <c r="D65" s="187">
        <f t="shared" si="69"/>
        <v>0.24081365599999938</v>
      </c>
      <c r="E65" s="188">
        <f t="shared" si="70"/>
        <v>1.1367443870388743</v>
      </c>
      <c r="F65" s="423">
        <f>Sizing!F81</f>
        <v>722.89592355011621</v>
      </c>
      <c r="G65" s="423">
        <f>Sizing!G81</f>
        <v>7228.9592355011619</v>
      </c>
      <c r="H65" s="423">
        <f>Sizing!H81</f>
        <v>61994.710605606633</v>
      </c>
      <c r="I65" s="423">
        <f>Sizing!I81</f>
        <v>-16271.002056400292</v>
      </c>
      <c r="J65" s="189">
        <f>Sizing!J81</f>
        <v>6199.471060560666</v>
      </c>
      <c r="K65" s="128">
        <v>21</v>
      </c>
      <c r="L65" s="12">
        <f t="shared" si="11"/>
        <v>60.685041311999996</v>
      </c>
      <c r="M65" s="11">
        <f t="shared" si="11"/>
        <v>56.538387636000003</v>
      </c>
      <c r="N65" s="11">
        <f t="shared" si="11"/>
        <v>2.8897638719999925</v>
      </c>
      <c r="O65" s="152">
        <f t="shared" si="71"/>
        <v>163.69119173359792</v>
      </c>
      <c r="P65" s="170">
        <f t="shared" si="0"/>
        <v>10.17690977448</v>
      </c>
      <c r="Q65" s="8">
        <f t="shared" si="1"/>
        <v>5.0884548872400002</v>
      </c>
      <c r="R65" s="170">
        <f>Sizing!X81</f>
        <v>14.134596909000001</v>
      </c>
      <c r="S65" s="8">
        <f>Sizing!Y81</f>
        <v>42.403790727000001</v>
      </c>
      <c r="T65" s="8">
        <f>Sizing!Z81</f>
        <v>28.269193817999998</v>
      </c>
      <c r="U65" s="17">
        <f>Sizing!CN81</f>
        <v>2</v>
      </c>
      <c r="V65" s="17">
        <f>Sizing!CO81</f>
        <v>2.3622047244094495E-2</v>
      </c>
      <c r="W65" s="17">
        <f>Sizing!CP81</f>
        <v>2.3622047244094495E-2</v>
      </c>
      <c r="X65" s="170">
        <f>Sizing!DU81</f>
        <v>2.271823534607841</v>
      </c>
      <c r="Y65" s="170">
        <f>Sizing!DV81</f>
        <v>1.5072569570606869</v>
      </c>
      <c r="Z65" s="170">
        <f>Sizing!DW81</f>
        <v>2.271823534607841</v>
      </c>
      <c r="AA65" s="272">
        <f>Sizing!DX81</f>
        <v>1.5072569570606869</v>
      </c>
      <c r="AB65" s="272">
        <f t="shared" si="12"/>
        <v>4.5751646284429359</v>
      </c>
      <c r="AC65" s="216">
        <f>Sizing!GJ81</f>
        <v>0.75</v>
      </c>
      <c r="AD65" s="216">
        <f>Sizing!GK81</f>
        <v>6.2992125984251982E-2</v>
      </c>
      <c r="AE65" s="17">
        <f>Sizing!GL81</f>
        <v>6.2992125984251982E-2</v>
      </c>
      <c r="AF65" s="170">
        <f>Sizing!JC81</f>
        <v>3.485943317074526E-2</v>
      </c>
      <c r="AG65" s="272">
        <f>Sizing!JD81</f>
        <v>0.18670681072404741</v>
      </c>
      <c r="AH65" s="170">
        <f>Sizing!JC81</f>
        <v>3.485943317074526E-2</v>
      </c>
      <c r="AI65" s="272">
        <f>Sizing!JD81</f>
        <v>0.18670681072404741</v>
      </c>
      <c r="AJ65" s="216">
        <f>Sizing!IT81</f>
        <v>0.5</v>
      </c>
      <c r="AK65" s="216">
        <f>Sizing!IU81</f>
        <v>1.5748031496062995E-2</v>
      </c>
      <c r="AL65" s="17">
        <f>Sizing!IV81</f>
        <v>1.5748031496062995E-2</v>
      </c>
      <c r="AM65" s="170">
        <f t="shared" si="13"/>
        <v>0</v>
      </c>
      <c r="AN65" s="11">
        <f t="shared" si="14"/>
        <v>11.888527173144805</v>
      </c>
      <c r="AO65" s="11">
        <f t="shared" si="15"/>
        <v>11.888527173144805</v>
      </c>
      <c r="AP65" s="11">
        <f t="shared" si="16"/>
        <v>23.77705434628961</v>
      </c>
      <c r="AQ65" s="555">
        <f t="shared" si="17"/>
        <v>379343404.91048676</v>
      </c>
      <c r="AR65" s="311">
        <f t="shared" si="18"/>
        <v>14.561811262448161</v>
      </c>
      <c r="AS65" s="11">
        <f t="shared" si="19"/>
        <v>0.82927058549149979</v>
      </c>
      <c r="AT65" s="11">
        <f t="shared" si="20"/>
        <v>54.044379420910325</v>
      </c>
      <c r="AU65" s="11">
        <f t="shared" si="21"/>
        <v>54.873650006401824</v>
      </c>
      <c r="AV65" s="555">
        <f t="shared" si="22"/>
        <v>875464089.45913589</v>
      </c>
      <c r="AW65" s="138">
        <f t="shared" si="23"/>
        <v>4.724409448818899E-2</v>
      </c>
      <c r="AX65" s="138">
        <f t="shared" si="24"/>
        <v>0.12598425196850396</v>
      </c>
      <c r="AY65" s="554">
        <f t="shared" si="25"/>
        <v>3.1496062992125991E-2</v>
      </c>
      <c r="AZ65" s="12">
        <f t="shared" si="26"/>
        <v>1355.7214873164251</v>
      </c>
      <c r="BA65" s="11">
        <f t="shared" si="27"/>
        <v>181.08269232604852</v>
      </c>
      <c r="BB65">
        <f t="shared" si="28"/>
        <v>1918.1012864436211</v>
      </c>
      <c r="BC65" s="555">
        <f t="shared" si="29"/>
        <v>7233136933.963459</v>
      </c>
      <c r="BD65">
        <f t="shared" si="30"/>
        <v>21</v>
      </c>
      <c r="BE65" s="207">
        <f t="shared" si="31"/>
        <v>4.7115323030000003</v>
      </c>
      <c r="BF65" s="207">
        <f>'Inputs-Imperial'!$E$15*BE65</f>
        <v>3.5336492272500002</v>
      </c>
      <c r="BG65" s="207">
        <f>'Inputs-Imperial'!$E$12*BE65</f>
        <v>1.1778830757500001</v>
      </c>
      <c r="BH65">
        <f>'Inputs-Imperial'!$E$11*BE65</f>
        <v>0.84807581454000003</v>
      </c>
      <c r="BI65">
        <f t="shared" si="32"/>
        <v>0.89952023913230827</v>
      </c>
      <c r="BJ65">
        <f>'Weight '!U67+'Weight '!V67 /12</f>
        <v>2.5590551181102369E-2</v>
      </c>
      <c r="BK65">
        <f>('Weight '!AK67+'Weight '!AL67)/12</f>
        <v>1.0498687664041996E-2</v>
      </c>
      <c r="BL65">
        <f>'Weight '!AG67/12</f>
        <v>0.1256047464217239</v>
      </c>
      <c r="BM65">
        <f>'Weight '!AI67/12</f>
        <v>0.1256047464217239</v>
      </c>
      <c r="BN65" s="554">
        <f t="shared" si="33"/>
        <v>2.6500241366067221</v>
      </c>
      <c r="BO65" s="554">
        <f t="shared" si="34"/>
        <v>4.9431795054425844</v>
      </c>
      <c r="BP65">
        <f t="shared" si="35"/>
        <v>0.1256047464217239</v>
      </c>
      <c r="BQ65">
        <f t="shared" si="35"/>
        <v>0.1256047464217239</v>
      </c>
      <c r="BR65">
        <f t="shared" si="36"/>
        <v>0.59686632169655218</v>
      </c>
      <c r="BS65">
        <f t="shared" si="37"/>
        <v>0.74920061167467145</v>
      </c>
      <c r="BT65">
        <f t="shared" si="38"/>
        <v>1.7472573494757353</v>
      </c>
      <c r="BU65">
        <f t="shared" si="39"/>
        <v>1.9482789911604039</v>
      </c>
      <c r="BV65">
        <f t="shared" si="40"/>
        <v>142.93473799572067</v>
      </c>
      <c r="BW65" s="207">
        <f t="shared" si="41"/>
        <v>86.337067245984187</v>
      </c>
      <c r="BX65">
        <f t="shared" si="42"/>
        <v>1.6792920493414525</v>
      </c>
      <c r="BY65" s="575">
        <f t="shared" si="43"/>
        <v>-57.251344650277503</v>
      </c>
      <c r="BZ65">
        <f t="shared" si="44"/>
        <v>162.01851954581318</v>
      </c>
      <c r="CA65" s="207">
        <f t="shared" si="45"/>
        <v>74.809864313360933</v>
      </c>
      <c r="CB65">
        <f t="shared" si="46"/>
        <v>1.7481691910480912</v>
      </c>
      <c r="CC65">
        <f t="shared" si="47"/>
        <v>165.1576172005457</v>
      </c>
      <c r="CD65">
        <f t="shared" si="48"/>
        <v>106.96598047896461</v>
      </c>
      <c r="CE65" s="207">
        <f t="shared" si="49"/>
        <v>108.06332553717469</v>
      </c>
      <c r="CF65">
        <f t="shared" si="50"/>
        <v>1.5494736901242079</v>
      </c>
      <c r="CG65">
        <f t="shared" si="51"/>
        <v>-48.652549567747272</v>
      </c>
      <c r="CH65">
        <f t="shared" si="52"/>
        <v>123.18349700154704</v>
      </c>
      <c r="CI65" s="207">
        <f t="shared" ref="CI65" si="129" xml:space="preserve"> ($BQ$38-CH65*($BP65+$BR65+$BQ65+$BN65))/($BP65+$BR65+$BQ65+$BO65)</f>
        <v>98.267436628664711</v>
      </c>
      <c r="CJ65">
        <f t="shared" si="54"/>
        <v>1.6080059145014174</v>
      </c>
      <c r="CK65">
        <f t="shared" si="55"/>
        <v>9.785990884746635</v>
      </c>
      <c r="CL65">
        <f t="shared" si="56"/>
        <v>119.92150003996483</v>
      </c>
      <c r="CM65" s="207">
        <f t="shared" ref="CM65" si="130" xml:space="preserve"> ($BQ$38-CL65*($BP65+$BR65+$BQ65+$BN65))/($BP65+$BR65+$BQ65+$BO65)</f>
        <v>100.23778515959182</v>
      </c>
      <c r="CN65">
        <f t="shared" si="58"/>
        <v>1.5962327223602384</v>
      </c>
      <c r="CO65">
        <f t="shared" si="59"/>
        <v>-2.2734132811165821</v>
      </c>
      <c r="CP65">
        <f t="shared" si="60"/>
        <v>120.67930446700369</v>
      </c>
      <c r="CQ65" s="207">
        <f t="shared" ref="CQ65" si="131" xml:space="preserve"> ($BQ$38-CP65*($BP65+$BR65+$BQ65+$BN65))/($BP65+$BR65+$BQ65+$BO65)</f>
        <v>99.780047504673277</v>
      </c>
      <c r="CR65">
        <f t="shared" si="62"/>
        <v>1.5989677884041495</v>
      </c>
      <c r="CS65">
        <f t="shared" si="63"/>
        <v>0.51444528408228329</v>
      </c>
      <c r="CT65">
        <f t="shared" si="64"/>
        <v>120.50782270564292</v>
      </c>
      <c r="CU65" s="636">
        <f t="shared" si="65"/>
        <v>99.883627869878168</v>
      </c>
      <c r="CV65" s="575">
        <f t="shared" si="66"/>
        <v>1.5983488768144132</v>
      </c>
      <c r="CW65">
        <f t="shared" si="67"/>
        <v>-0.117138363515771</v>
      </c>
      <c r="CX65" s="576">
        <f t="shared" si="68"/>
        <v>0.33924183769188798</v>
      </c>
    </row>
    <row r="66" spans="1:102" x14ac:dyDescent="0.25">
      <c r="A66" s="186">
        <v>22</v>
      </c>
      <c r="B66" s="187">
        <f>A66/100*'Inputs-Imperial'!$E$5</f>
        <v>5.2979004319999996</v>
      </c>
      <c r="C66" s="188">
        <f>'Inputs-Imperial'!$E$10+('Inputs-Imperial'!$E$9-'Inputs-Imperial'!$E$10)*(100-A66)/100</f>
        <v>4.6937337460000004</v>
      </c>
      <c r="D66" s="187">
        <f t="shared" si="69"/>
        <v>0.24081365600000026</v>
      </c>
      <c r="E66" s="188">
        <f t="shared" si="70"/>
        <v>1.1324582514561841</v>
      </c>
      <c r="F66" s="423">
        <f>Sizing!F82</f>
        <v>711.41746472337297</v>
      </c>
      <c r="G66" s="423">
        <f>Sizing!G82</f>
        <v>7114.174647233729</v>
      </c>
      <c r="H66" s="423">
        <f>Sizing!H82</f>
        <v>60253.878503030632</v>
      </c>
      <c r="I66" s="423">
        <f>Sizing!I82</f>
        <v>-15958.356529336235</v>
      </c>
      <c r="J66" s="189">
        <f>Sizing!J82</f>
        <v>6025.3878503030655</v>
      </c>
      <c r="K66" s="128">
        <v>22</v>
      </c>
      <c r="L66" s="12">
        <f t="shared" si="11"/>
        <v>63.574805183999999</v>
      </c>
      <c r="M66" s="11">
        <f t="shared" si="11"/>
        <v>56.324804952000008</v>
      </c>
      <c r="N66" s="11">
        <f t="shared" si="11"/>
        <v>2.8897638720000032</v>
      </c>
      <c r="O66" s="152">
        <f t="shared" si="71"/>
        <v>163.0739882096905</v>
      </c>
      <c r="P66" s="170">
        <f t="shared" si="0"/>
        <v>10.138464891360002</v>
      </c>
      <c r="Q66" s="8">
        <f t="shared" si="1"/>
        <v>5.0692324456800009</v>
      </c>
      <c r="R66" s="170">
        <f>Sizing!X82</f>
        <v>14.081201238000002</v>
      </c>
      <c r="S66" s="8">
        <f>Sizing!Y82</f>
        <v>42.243603714000002</v>
      </c>
      <c r="T66" s="8">
        <f>Sizing!Z82</f>
        <v>28.162402476</v>
      </c>
      <c r="U66" s="17">
        <f>Sizing!CN82</f>
        <v>2</v>
      </c>
      <c r="V66" s="17">
        <f>Sizing!CO82</f>
        <v>2.3622047244094495E-2</v>
      </c>
      <c r="W66" s="17">
        <f>Sizing!CP82</f>
        <v>2.3622047244094495E-2</v>
      </c>
      <c r="X66" s="170">
        <f>Sizing!DU82</f>
        <v>2.271823534607841</v>
      </c>
      <c r="Y66" s="170">
        <f>Sizing!DV82</f>
        <v>1.5072569570606869</v>
      </c>
      <c r="Z66" s="170">
        <f>Sizing!DW82</f>
        <v>2.271823534607841</v>
      </c>
      <c r="AA66" s="272">
        <f>Sizing!DX82</f>
        <v>1.5072569570606869</v>
      </c>
      <c r="AB66" s="272">
        <f t="shared" si="12"/>
        <v>4.5367197453229373</v>
      </c>
      <c r="AC66" s="216">
        <f>Sizing!GJ82</f>
        <v>0.75</v>
      </c>
      <c r="AD66" s="216">
        <f>Sizing!GK82</f>
        <v>6.2992125984251982E-2</v>
      </c>
      <c r="AE66" s="17">
        <f>Sizing!GL82</f>
        <v>6.2992125984251982E-2</v>
      </c>
      <c r="AF66" s="170">
        <f>Sizing!JC82</f>
        <v>3.485943317074526E-2</v>
      </c>
      <c r="AG66" s="272">
        <f>Sizing!JD82</f>
        <v>0.18670681072404741</v>
      </c>
      <c r="AH66" s="170">
        <f>Sizing!JC82</f>
        <v>3.485943317074526E-2</v>
      </c>
      <c r="AI66" s="272">
        <f>Sizing!JD82</f>
        <v>0.18670681072404741</v>
      </c>
      <c r="AJ66" s="216">
        <f>Sizing!IT82</f>
        <v>0.5</v>
      </c>
      <c r="AK66" s="216">
        <f>Sizing!IU82</f>
        <v>1.5748031496062995E-2</v>
      </c>
      <c r="AL66" s="17">
        <f>Sizing!IV82</f>
        <v>1.5748031496062995E-2</v>
      </c>
      <c r="AM66" s="170">
        <f t="shared" si="13"/>
        <v>0</v>
      </c>
      <c r="AN66" s="11">
        <f t="shared" si="14"/>
        <v>11.689569200037303</v>
      </c>
      <c r="AO66" s="11">
        <f t="shared" si="15"/>
        <v>11.689569200037303</v>
      </c>
      <c r="AP66" s="11">
        <f t="shared" si="16"/>
        <v>23.379138400074606</v>
      </c>
      <c r="AQ66" s="555">
        <f t="shared" si="17"/>
        <v>372994982.27970225</v>
      </c>
      <c r="AR66" s="311">
        <f t="shared" si="18"/>
        <v>14.506801721791316</v>
      </c>
      <c r="AS66" s="11">
        <f t="shared" si="19"/>
        <v>0.82301701868464094</v>
      </c>
      <c r="AT66" s="11">
        <f t="shared" si="20"/>
        <v>53.636828323407485</v>
      </c>
      <c r="AU66" s="11">
        <f t="shared" si="21"/>
        <v>54.459845342092123</v>
      </c>
      <c r="AV66" s="555">
        <f t="shared" si="22"/>
        <v>868862175.35989928</v>
      </c>
      <c r="AW66" s="138">
        <f t="shared" si="23"/>
        <v>4.724409448818899E-2</v>
      </c>
      <c r="AX66" s="138">
        <f t="shared" si="24"/>
        <v>0.12598425196850396</v>
      </c>
      <c r="AY66" s="554">
        <f t="shared" si="25"/>
        <v>3.1496062992125991E-2</v>
      </c>
      <c r="AZ66" s="12">
        <f t="shared" si="26"/>
        <v>1345.4979305657632</v>
      </c>
      <c r="BA66" s="11">
        <f t="shared" si="27"/>
        <v>180.3986238714979</v>
      </c>
      <c r="BB66">
        <f t="shared" si="28"/>
        <v>1896.4455098188332</v>
      </c>
      <c r="BC66" s="555">
        <f t="shared" si="29"/>
        <v>7151473260.1807032</v>
      </c>
      <c r="BD66">
        <f t="shared" si="30"/>
        <v>22</v>
      </c>
      <c r="BE66" s="207">
        <f t="shared" si="31"/>
        <v>4.6937337460000004</v>
      </c>
      <c r="BF66" s="207">
        <f>'Inputs-Imperial'!$E$15*BE66</f>
        <v>3.5203003095000005</v>
      </c>
      <c r="BG66" s="207">
        <f>'Inputs-Imperial'!$E$12*BE66</f>
        <v>1.1734334365000001</v>
      </c>
      <c r="BH66">
        <f>'Inputs-Imperial'!$E$11*BE66</f>
        <v>0.84487207428</v>
      </c>
      <c r="BI66">
        <f t="shared" si="32"/>
        <v>0.89612215943779872</v>
      </c>
      <c r="BJ66">
        <f>'Weight '!U68+'Weight '!V68 /12</f>
        <v>2.5590551181102369E-2</v>
      </c>
      <c r="BK66">
        <f>('Weight '!AK68+'Weight '!AL68)/12</f>
        <v>1.0498687664041996E-2</v>
      </c>
      <c r="BL66">
        <f>'Weight '!AG68/12</f>
        <v>0.1256047464217239</v>
      </c>
      <c r="BM66">
        <f>'Weight '!AI68/12</f>
        <v>0.1256047464217239</v>
      </c>
      <c r="BN66" s="554">
        <f t="shared" si="33"/>
        <v>2.6376966995070745</v>
      </c>
      <c r="BO66" s="554">
        <f t="shared" si="34"/>
        <v>4.9268224171810084</v>
      </c>
      <c r="BP66">
        <f t="shared" si="35"/>
        <v>0.1256047464217239</v>
      </c>
      <c r="BQ66">
        <f t="shared" si="35"/>
        <v>0.1256047464217239</v>
      </c>
      <c r="BR66">
        <f t="shared" si="36"/>
        <v>0.59366258143655215</v>
      </c>
      <c r="BS66">
        <f t="shared" si="37"/>
        <v>0.74355085614394778</v>
      </c>
      <c r="BT66">
        <f t="shared" si="38"/>
        <v>1.7340812031672961</v>
      </c>
      <c r="BU66">
        <f t="shared" si="39"/>
        <v>1.9190056655318417</v>
      </c>
      <c r="BV66">
        <f t="shared" si="40"/>
        <v>143.57218262664242</v>
      </c>
      <c r="BW66" s="207">
        <f t="shared" si="41"/>
        <v>86.629671882274778</v>
      </c>
      <c r="BX66">
        <f t="shared" si="42"/>
        <v>1.6732108220757844</v>
      </c>
      <c r="BY66" s="575">
        <f t="shared" si="43"/>
        <v>-57.108656202550804</v>
      </c>
      <c r="BZ66">
        <f t="shared" si="44"/>
        <v>162.60840136082601</v>
      </c>
      <c r="CA66" s="207">
        <f t="shared" si="45"/>
        <v>75.143453921028055</v>
      </c>
      <c r="CB66">
        <f t="shared" si="46"/>
        <v>1.7413556848750369</v>
      </c>
      <c r="CC66">
        <f t="shared" si="47"/>
        <v>164.94487901103935</v>
      </c>
      <c r="CD66">
        <f t="shared" si="48"/>
        <v>107.62677502381288</v>
      </c>
      <c r="CE66" s="207">
        <f t="shared" si="49"/>
        <v>108.31868440084536</v>
      </c>
      <c r="CF66">
        <f t="shared" si="50"/>
        <v>1.5445353270333033</v>
      </c>
      <c r="CG66">
        <f t="shared" si="51"/>
        <v>-47.765039772322538</v>
      </c>
      <c r="CH66">
        <f t="shared" si="52"/>
        <v>123.54845494792039</v>
      </c>
      <c r="CI66" s="207">
        <f t="shared" ref="CI66" si="132" xml:space="preserve"> ($BQ$38-CH66*($BP66+$BR66+$BQ66+$BN66))/($BP66+$BR66+$BQ66+$BO66)</f>
        <v>98.711740476151661</v>
      </c>
      <c r="CJ66">
        <f t="shared" si="54"/>
        <v>1.6015309262703308</v>
      </c>
      <c r="CK66">
        <f t="shared" si="55"/>
        <v>9.3793974825727666</v>
      </c>
      <c r="CL66">
        <f t="shared" si="56"/>
        <v>120.42198912039613</v>
      </c>
      <c r="CM66" s="207">
        <f t="shared" ref="CM66" si="133" xml:space="preserve"> ($BQ$38-CL66*($BP66+$BR66+$BQ66+$BN66))/($BP66+$BR66+$BQ66+$BO66)</f>
        <v>100.59821112690369</v>
      </c>
      <c r="CN66">
        <f t="shared" si="58"/>
        <v>1.590338966993218</v>
      </c>
      <c r="CO66">
        <f t="shared" si="59"/>
        <v>-2.1281954502760438</v>
      </c>
      <c r="CP66">
        <f t="shared" si="60"/>
        <v>121.13138760382148</v>
      </c>
      <c r="CQ66" s="207">
        <f t="shared" ref="CQ66" si="134" xml:space="preserve"> ($BQ$38-CP66*($BP66+$BR66+$BQ66+$BN66))/($BP66+$BR66+$BQ66+$BO66)</f>
        <v>100.17016889247772</v>
      </c>
      <c r="CR66">
        <f t="shared" si="62"/>
        <v>1.592878434678374</v>
      </c>
      <c r="CS66">
        <f t="shared" si="63"/>
        <v>0.47061372449217664</v>
      </c>
      <c r="CT66">
        <f t="shared" si="64"/>
        <v>120.97451636232408</v>
      </c>
      <c r="CU66" s="636">
        <f t="shared" si="65"/>
        <v>100.26482305131309</v>
      </c>
      <c r="CV66" s="575">
        <f t="shared" si="66"/>
        <v>1.5923168751912584</v>
      </c>
      <c r="CW66">
        <f t="shared" si="67"/>
        <v>-0.10468866357521733</v>
      </c>
      <c r="CX66" s="576">
        <f t="shared" si="68"/>
        <v>0.33924311888125969</v>
      </c>
    </row>
    <row r="67" spans="1:102" x14ac:dyDescent="0.25">
      <c r="A67" s="186">
        <v>23</v>
      </c>
      <c r="B67" s="187">
        <f>A67/100*'Inputs-Imperial'!$E$5</f>
        <v>5.5387140879999999</v>
      </c>
      <c r="C67" s="188">
        <f>'Inputs-Imperial'!$E$10+('Inputs-Imperial'!$E$9-'Inputs-Imperial'!$E$10)*(100-A67)/100</f>
        <v>4.6759351890000005</v>
      </c>
      <c r="D67" s="187">
        <f t="shared" si="69"/>
        <v>0.24081365600000026</v>
      </c>
      <c r="E67" s="188">
        <f t="shared" si="70"/>
        <v>1.1281721158734894</v>
      </c>
      <c r="F67" s="423">
        <f>Sizing!F83</f>
        <v>699.97354319710246</v>
      </c>
      <c r="G67" s="423">
        <f>Sizing!G83</f>
        <v>6999.7354319710239</v>
      </c>
      <c r="H67" s="423">
        <f>Sizing!H83</f>
        <v>58540.688096807768</v>
      </c>
      <c r="I67" s="423">
        <f>Sizing!I83</f>
        <v>-15647.600051794612</v>
      </c>
      <c r="J67" s="189">
        <f>Sizing!J83</f>
        <v>5854.0688096807789</v>
      </c>
      <c r="K67" s="128">
        <v>23</v>
      </c>
      <c r="L67" s="12">
        <f t="shared" si="11"/>
        <v>66.464569056000002</v>
      </c>
      <c r="M67" s="11">
        <f t="shared" si="11"/>
        <v>56.111222268000006</v>
      </c>
      <c r="N67" s="11">
        <f t="shared" si="11"/>
        <v>2.8897638720000032</v>
      </c>
      <c r="O67" s="152">
        <f t="shared" si="71"/>
        <v>162.45678468578245</v>
      </c>
      <c r="P67" s="170">
        <f t="shared" si="0"/>
        <v>10.100020008240001</v>
      </c>
      <c r="Q67" s="8">
        <f t="shared" si="1"/>
        <v>5.0500100041200007</v>
      </c>
      <c r="R67" s="170">
        <f>Sizing!X83</f>
        <v>14.027805567000001</v>
      </c>
      <c r="S67" s="8">
        <f>Sizing!Y83</f>
        <v>42.083416701000004</v>
      </c>
      <c r="T67" s="8">
        <f>Sizing!Z83</f>
        <v>28.055611134000003</v>
      </c>
      <c r="U67" s="17">
        <f>Sizing!CN83</f>
        <v>2</v>
      </c>
      <c r="V67" s="17">
        <f>Sizing!CO83</f>
        <v>2.3622047244094495E-2</v>
      </c>
      <c r="W67" s="17">
        <f>Sizing!CP83</f>
        <v>2.3622047244094495E-2</v>
      </c>
      <c r="X67" s="170">
        <f>Sizing!DU83</f>
        <v>2.271823534607841</v>
      </c>
      <c r="Y67" s="170">
        <f>Sizing!DV83</f>
        <v>1.5072569570606869</v>
      </c>
      <c r="Z67" s="170">
        <f>Sizing!DW83</f>
        <v>2.271823534607841</v>
      </c>
      <c r="AA67" s="272">
        <f>Sizing!DX83</f>
        <v>1.5072569570606869</v>
      </c>
      <c r="AB67" s="272">
        <f t="shared" si="12"/>
        <v>4.4982748622029369</v>
      </c>
      <c r="AC67" s="216">
        <f>Sizing!GJ83</f>
        <v>0.75</v>
      </c>
      <c r="AD67" s="216">
        <f>Sizing!GK83</f>
        <v>6.2992125984251982E-2</v>
      </c>
      <c r="AE67" s="17">
        <f>Sizing!GL83</f>
        <v>6.2992125984251982E-2</v>
      </c>
      <c r="AF67" s="170">
        <f>Sizing!JC83</f>
        <v>3.485943317074526E-2</v>
      </c>
      <c r="AG67" s="272">
        <f>Sizing!JD83</f>
        <v>0.18670681072404741</v>
      </c>
      <c r="AH67" s="170">
        <f>Sizing!JC83</f>
        <v>3.485943317074526E-2</v>
      </c>
      <c r="AI67" s="272">
        <f>Sizing!JD83</f>
        <v>0.18670681072404741</v>
      </c>
      <c r="AJ67" s="216">
        <f>Sizing!IT83</f>
        <v>0.5</v>
      </c>
      <c r="AK67" s="216">
        <f>Sizing!IU83</f>
        <v>1.5748031496062995E-2</v>
      </c>
      <c r="AL67" s="17">
        <f>Sizing!IV83</f>
        <v>1.5748031496062995E-2</v>
      </c>
      <c r="AM67" s="170">
        <f t="shared" si="13"/>
        <v>0</v>
      </c>
      <c r="AN67" s="11">
        <f t="shared" si="14"/>
        <v>11.492290114788368</v>
      </c>
      <c r="AO67" s="11">
        <f t="shared" si="15"/>
        <v>11.492290114788368</v>
      </c>
      <c r="AP67" s="11">
        <f t="shared" si="16"/>
        <v>22.984580229576736</v>
      </c>
      <c r="AQ67" s="555">
        <f t="shared" si="17"/>
        <v>366700130.20710856</v>
      </c>
      <c r="AR67" s="311">
        <f t="shared" si="18"/>
        <v>14.45179218113447</v>
      </c>
      <c r="AS67" s="11">
        <f t="shared" si="19"/>
        <v>0.81678712041936652</v>
      </c>
      <c r="AT67" s="11">
        <f t="shared" si="20"/>
        <v>53.230819728030895</v>
      </c>
      <c r="AU67" s="11">
        <f t="shared" si="21"/>
        <v>54.047606848450258</v>
      </c>
      <c r="AV67" s="555">
        <f t="shared" si="22"/>
        <v>862285248.22940814</v>
      </c>
      <c r="AW67" s="138">
        <f t="shared" si="23"/>
        <v>4.724409448818899E-2</v>
      </c>
      <c r="AX67" s="138">
        <f t="shared" si="24"/>
        <v>0.12598425196850396</v>
      </c>
      <c r="AY67" s="554">
        <f t="shared" si="25"/>
        <v>3.1496062992125991E-2</v>
      </c>
      <c r="AZ67" s="12">
        <f t="shared" si="26"/>
        <v>1335.313068001235</v>
      </c>
      <c r="BA67" s="11">
        <f t="shared" si="27"/>
        <v>179.71455541694729</v>
      </c>
      <c r="BB67">
        <f t="shared" si="28"/>
        <v>1874.9533486420125</v>
      </c>
      <c r="BC67" s="555">
        <f t="shared" si="29"/>
        <v>7070426578.288846</v>
      </c>
      <c r="BD67">
        <f t="shared" si="30"/>
        <v>23</v>
      </c>
      <c r="BE67" s="207">
        <f t="shared" si="31"/>
        <v>4.6759351890000005</v>
      </c>
      <c r="BF67" s="207">
        <f>'Inputs-Imperial'!$E$15*BE67</f>
        <v>3.5069513917500004</v>
      </c>
      <c r="BG67" s="207">
        <f>'Inputs-Imperial'!$E$12*BE67</f>
        <v>1.1689837972500001</v>
      </c>
      <c r="BH67">
        <f>'Inputs-Imperial'!$E$11*BE67</f>
        <v>0.84166833402000008</v>
      </c>
      <c r="BI67">
        <f t="shared" si="32"/>
        <v>0.89272407974328927</v>
      </c>
      <c r="BJ67">
        <f>'Weight '!U69+'Weight '!V69 /12</f>
        <v>2.5590551181102369E-2</v>
      </c>
      <c r="BK67">
        <f>('Weight '!AK69+'Weight '!AL69)/12</f>
        <v>1.0498687664041996E-2</v>
      </c>
      <c r="BL67">
        <f>'Weight '!AG69/12</f>
        <v>0.1256047464217239</v>
      </c>
      <c r="BM67">
        <f>'Weight '!AI69/12</f>
        <v>0.1256047464217239</v>
      </c>
      <c r="BN67" s="554">
        <f t="shared" si="33"/>
        <v>2.625366596727631</v>
      </c>
      <c r="BO67" s="554">
        <f t="shared" si="34"/>
        <v>4.9104679945992302</v>
      </c>
      <c r="BP67">
        <f t="shared" si="35"/>
        <v>0.1256047464217239</v>
      </c>
      <c r="BQ67">
        <f t="shared" si="35"/>
        <v>0.1256047464217239</v>
      </c>
      <c r="BR67">
        <f t="shared" si="36"/>
        <v>0.59045884117655223</v>
      </c>
      <c r="BS67">
        <f t="shared" si="37"/>
        <v>0.73792248384583592</v>
      </c>
      <c r="BT67">
        <f t="shared" si="38"/>
        <v>1.720954926025744</v>
      </c>
      <c r="BU67">
        <f t="shared" si="39"/>
        <v>1.8900634643383869</v>
      </c>
      <c r="BV67">
        <f t="shared" si="40"/>
        <v>144.2154492202304</v>
      </c>
      <c r="BW67" s="207">
        <f t="shared" si="41"/>
        <v>86.924226310891754</v>
      </c>
      <c r="BX67">
        <f t="shared" si="42"/>
        <v>1.6671299899486596</v>
      </c>
      <c r="BY67" s="575">
        <f t="shared" si="43"/>
        <v>-56.96467127548803</v>
      </c>
      <c r="BZ67">
        <f t="shared" si="44"/>
        <v>163.20367297872642</v>
      </c>
      <c r="CA67" s="207">
        <f t="shared" si="45"/>
        <v>75.479289806864102</v>
      </c>
      <c r="CB67">
        <f t="shared" si="46"/>
        <v>1.7345461041373558</v>
      </c>
      <c r="CC67">
        <f t="shared" si="47"/>
        <v>164.73521312028669</v>
      </c>
      <c r="CD67">
        <f t="shared" si="48"/>
        <v>108.29193527196418</v>
      </c>
      <c r="CE67" s="207">
        <f t="shared" si="49"/>
        <v>108.57671689498329</v>
      </c>
      <c r="CF67">
        <f t="shared" si="50"/>
        <v>1.5395865320034725</v>
      </c>
      <c r="CG67">
        <f t="shared" si="51"/>
        <v>-46.879784817139864</v>
      </c>
      <c r="CH67">
        <f t="shared" si="52"/>
        <v>123.9185302110108</v>
      </c>
      <c r="CI67" s="207">
        <f t="shared" ref="CI67" si="135" xml:space="preserve"> ($BQ$38-CH67*($BP67+$BR67+$BQ67+$BN67))/($BP67+$BR67+$BQ67+$BO67)</f>
        <v>99.157964033935585</v>
      </c>
      <c r="CJ67">
        <f t="shared" si="54"/>
        <v>1.5950674617728988</v>
      </c>
      <c r="CK67">
        <f t="shared" si="55"/>
        <v>8.9817366997205959</v>
      </c>
      <c r="CL67">
        <f t="shared" si="56"/>
        <v>120.92461797777061</v>
      </c>
      <c r="CM67" s="207">
        <f t="shared" ref="CM67" si="136" xml:space="preserve"> ($BQ$38-CL67*($BP67+$BR67+$BQ67+$BN67))/($BP67+$BR67+$BQ67+$BO67)</f>
        <v>100.96251067525765</v>
      </c>
      <c r="CN67">
        <f t="shared" si="58"/>
        <v>1.5844378246065081</v>
      </c>
      <c r="CO67">
        <f t="shared" si="59"/>
        <v>-1.989380021163349</v>
      </c>
      <c r="CP67">
        <f t="shared" si="60"/>
        <v>121.58774465149173</v>
      </c>
      <c r="CQ67" s="207">
        <f t="shared" ref="CQ67" si="137" xml:space="preserve"> ($BQ$38-CP67*($BP67+$BR67+$BQ67+$BN67))/($BP67+$BR67+$BQ67+$BO67)</f>
        <v>100.56281859392384</v>
      </c>
      <c r="CR67">
        <f t="shared" si="62"/>
        <v>1.5867922008833912</v>
      </c>
      <c r="CS67">
        <f t="shared" si="63"/>
        <v>0.42965604614442832</v>
      </c>
      <c r="CT67">
        <f t="shared" si="64"/>
        <v>121.44452596944359</v>
      </c>
      <c r="CU67" s="636">
        <f t="shared" si="65"/>
        <v>100.64914203012718</v>
      </c>
      <c r="CV67" s="575">
        <f t="shared" si="66"/>
        <v>1.58628371482668</v>
      </c>
      <c r="CW67">
        <f t="shared" si="67"/>
        <v>-9.332363085460571E-2</v>
      </c>
      <c r="CX67" s="576">
        <f t="shared" si="68"/>
        <v>0.33924416201455604</v>
      </c>
    </row>
    <row r="68" spans="1:102" x14ac:dyDescent="0.25">
      <c r="A68" s="186">
        <v>24</v>
      </c>
      <c r="B68" s="187">
        <f>A68/100*'Inputs-Imperial'!$E$5</f>
        <v>5.7795277439999992</v>
      </c>
      <c r="C68" s="188">
        <f>'Inputs-Imperial'!$E$10+('Inputs-Imperial'!$E$9-'Inputs-Imperial'!$E$10)*(100-A68)/100</f>
        <v>4.6581366320000006</v>
      </c>
      <c r="D68" s="187">
        <f t="shared" si="69"/>
        <v>0.24081365599999938</v>
      </c>
      <c r="E68" s="188">
        <f t="shared" si="70"/>
        <v>1.123885980290791</v>
      </c>
      <c r="F68" s="423">
        <f>Sizing!F84</f>
        <v>688.56482725433045</v>
      </c>
      <c r="G68" s="423">
        <f>Sizing!G84</f>
        <v>6885.6482725433034</v>
      </c>
      <c r="H68" s="423">
        <f>Sizing!H84</f>
        <v>56855.056216402088</v>
      </c>
      <c r="I68" s="423">
        <f>Sizing!I84</f>
        <v>-15338.763174585181</v>
      </c>
      <c r="J68" s="189">
        <f>Sizing!J84</f>
        <v>5685.5056216402108</v>
      </c>
      <c r="K68" s="128">
        <v>24</v>
      </c>
      <c r="L68" s="12">
        <f t="shared" si="11"/>
        <v>69.354332927999991</v>
      </c>
      <c r="M68" s="11">
        <f t="shared" si="11"/>
        <v>55.897639584000004</v>
      </c>
      <c r="N68" s="11">
        <f t="shared" si="11"/>
        <v>2.8897638719999925</v>
      </c>
      <c r="O68" s="152">
        <f t="shared" si="71"/>
        <v>161.83958116187389</v>
      </c>
      <c r="P68" s="170">
        <f t="shared" si="0"/>
        <v>10.061575125120001</v>
      </c>
      <c r="Q68" s="8">
        <f t="shared" si="1"/>
        <v>5.0307875625600005</v>
      </c>
      <c r="R68" s="170">
        <f>Sizing!X84</f>
        <v>13.974409896000001</v>
      </c>
      <c r="S68" s="8">
        <f>Sizing!Y84</f>
        <v>41.923229688000006</v>
      </c>
      <c r="T68" s="8">
        <f>Sizing!Z84</f>
        <v>27.948819792000005</v>
      </c>
      <c r="U68" s="17">
        <f>Sizing!CN84</f>
        <v>2</v>
      </c>
      <c r="V68" s="17">
        <f>Sizing!CO84</f>
        <v>2.3622047244094495E-2</v>
      </c>
      <c r="W68" s="17">
        <f>Sizing!CP84</f>
        <v>2.3622047244094495E-2</v>
      </c>
      <c r="X68" s="170">
        <f>Sizing!DU84</f>
        <v>2.271823534607841</v>
      </c>
      <c r="Y68" s="170">
        <f>Sizing!DV84</f>
        <v>1.5072569570606869</v>
      </c>
      <c r="Z68" s="170">
        <f>Sizing!DW84</f>
        <v>2.271823534607841</v>
      </c>
      <c r="AA68" s="272">
        <f>Sizing!DX84</f>
        <v>1.5072569570606869</v>
      </c>
      <c r="AB68" s="272">
        <f t="shared" si="12"/>
        <v>4.4598299790829365</v>
      </c>
      <c r="AC68" s="216">
        <f>Sizing!GJ84</f>
        <v>0.75</v>
      </c>
      <c r="AD68" s="216">
        <f>Sizing!GK84</f>
        <v>6.2992125984251982E-2</v>
      </c>
      <c r="AE68" s="17">
        <f>Sizing!GL84</f>
        <v>6.2992125984251982E-2</v>
      </c>
      <c r="AF68" s="170">
        <f>Sizing!JC84</f>
        <v>3.485943317074526E-2</v>
      </c>
      <c r="AG68" s="272">
        <f>Sizing!JD84</f>
        <v>0.18670681072404741</v>
      </c>
      <c r="AH68" s="170">
        <f>Sizing!JC84</f>
        <v>3.485943317074526E-2</v>
      </c>
      <c r="AI68" s="272">
        <f>Sizing!JD84</f>
        <v>0.18670681072404741</v>
      </c>
      <c r="AJ68" s="216">
        <f>Sizing!IT84</f>
        <v>0.5</v>
      </c>
      <c r="AK68" s="216">
        <f>Sizing!IU84</f>
        <v>1.5748031496062995E-2</v>
      </c>
      <c r="AL68" s="17">
        <f>Sizing!IV84</f>
        <v>1.5748031496062995E-2</v>
      </c>
      <c r="AM68" s="170">
        <f t="shared" si="13"/>
        <v>0</v>
      </c>
      <c r="AN68" s="11">
        <f t="shared" si="14"/>
        <v>11.296689917398</v>
      </c>
      <c r="AO68" s="11">
        <f t="shared" si="15"/>
        <v>11.296689917398</v>
      </c>
      <c r="AP68" s="11">
        <f t="shared" si="16"/>
        <v>22.593379834796</v>
      </c>
      <c r="AQ68" s="555">
        <f t="shared" si="17"/>
        <v>360458848.69270563</v>
      </c>
      <c r="AR68" s="311">
        <f t="shared" si="18"/>
        <v>14.396782640477621</v>
      </c>
      <c r="AS68" s="11">
        <f t="shared" si="19"/>
        <v>0.81058089069565631</v>
      </c>
      <c r="AT68" s="11">
        <f t="shared" si="20"/>
        <v>52.826353634780602</v>
      </c>
      <c r="AU68" s="11">
        <f t="shared" si="21"/>
        <v>53.636934525476256</v>
      </c>
      <c r="AV68" s="555">
        <f t="shared" si="22"/>
        <v>855733308.06766284</v>
      </c>
      <c r="AW68" s="138">
        <f t="shared" si="23"/>
        <v>4.724409448818899E-2</v>
      </c>
      <c r="AX68" s="138">
        <f t="shared" si="24"/>
        <v>0.12598425196850396</v>
      </c>
      <c r="AY68" s="554">
        <f t="shared" si="25"/>
        <v>3.1496062992125991E-2</v>
      </c>
      <c r="AZ68" s="12">
        <f t="shared" si="26"/>
        <v>1325.1668996228409</v>
      </c>
      <c r="BA68" s="11">
        <f t="shared" si="27"/>
        <v>179.03048696239662</v>
      </c>
      <c r="BB68">
        <f t="shared" si="28"/>
        <v>1853.6241824862182</v>
      </c>
      <c r="BC68" s="555">
        <f t="shared" si="29"/>
        <v>6989994548.6653395</v>
      </c>
      <c r="BD68">
        <f t="shared" si="30"/>
        <v>24</v>
      </c>
      <c r="BE68" s="207">
        <f t="shared" si="31"/>
        <v>4.6581366320000006</v>
      </c>
      <c r="BF68" s="207">
        <f>'Inputs-Imperial'!$E$15*BE68</f>
        <v>3.4936024740000002</v>
      </c>
      <c r="BG68" s="207">
        <f>'Inputs-Imperial'!$E$12*BE68</f>
        <v>1.1645341580000002</v>
      </c>
      <c r="BH68">
        <f>'Inputs-Imperial'!$E$11*BE68</f>
        <v>0.83846459376000004</v>
      </c>
      <c r="BI68">
        <f t="shared" si="32"/>
        <v>0.88932600004877971</v>
      </c>
      <c r="BJ68">
        <f>'Weight '!U70+'Weight '!V70 /12</f>
        <v>2.5590551181102369E-2</v>
      </c>
      <c r="BK68">
        <f>('Weight '!AK70+'Weight '!AL70)/12</f>
        <v>1.0498687664041996E-2</v>
      </c>
      <c r="BL68">
        <f>'Weight '!AG70/12</f>
        <v>0.1256047464217239</v>
      </c>
      <c r="BM68">
        <f>'Weight '!AI70/12</f>
        <v>0.1256047464217239</v>
      </c>
      <c r="BN68" s="554">
        <f t="shared" si="33"/>
        <v>2.6130338411621281</v>
      </c>
      <c r="BO68" s="554">
        <f t="shared" si="34"/>
        <v>4.8941162248035095</v>
      </c>
      <c r="BP68">
        <f t="shared" si="35"/>
        <v>0.1256047464217239</v>
      </c>
      <c r="BQ68">
        <f t="shared" si="35"/>
        <v>0.1256047464217239</v>
      </c>
      <c r="BR68">
        <f t="shared" si="36"/>
        <v>0.5872551009165522</v>
      </c>
      <c r="BS68">
        <f t="shared" si="37"/>
        <v>0.73231549478033542</v>
      </c>
      <c r="BT68">
        <f t="shared" si="38"/>
        <v>1.70787851805108</v>
      </c>
      <c r="BU68">
        <f t="shared" si="39"/>
        <v>1.8614498811110936</v>
      </c>
      <c r="BV68">
        <f t="shared" si="40"/>
        <v>144.8646173328718</v>
      </c>
      <c r="BW68" s="207">
        <f t="shared" si="41"/>
        <v>87.220750273746987</v>
      </c>
      <c r="BX68">
        <f t="shared" si="42"/>
        <v>1.6610495533949114</v>
      </c>
      <c r="BY68" s="575">
        <f t="shared" si="43"/>
        <v>-56.819374853791643</v>
      </c>
      <c r="BZ68">
        <f t="shared" si="44"/>
        <v>163.80440895080235</v>
      </c>
      <c r="CA68" s="207">
        <f t="shared" si="45"/>
        <v>75.817394054964637</v>
      </c>
      <c r="CB68">
        <f t="shared" si="46"/>
        <v>1.727740453373839</v>
      </c>
      <c r="CC68">
        <f t="shared" si="47"/>
        <v>164.52865971905146</v>
      </c>
      <c r="CD68">
        <f t="shared" si="48"/>
        <v>108.9615223777852</v>
      </c>
      <c r="CE68" s="207">
        <f t="shared" si="49"/>
        <v>108.83744962233013</v>
      </c>
      <c r="CF68">
        <f t="shared" si="50"/>
        <v>1.5346273750053243</v>
      </c>
      <c r="CG68">
        <f t="shared" si="51"/>
        <v>-45.996762420420268</v>
      </c>
      <c r="CH68">
        <f t="shared" si="52"/>
        <v>124.29377651792529</v>
      </c>
      <c r="CI68" s="207">
        <f t="shared" ref="CI68" si="138" xml:space="preserve"> ($BQ$38-CH68*($BP68+$BR68+$BQ68+$BN68))/($BP68+$BR68+$BQ68+$BO68)</f>
        <v>99.606136040643435</v>
      </c>
      <c r="CJ68">
        <f t="shared" si="54"/>
        <v>1.5886153938779053</v>
      </c>
      <c r="CK68">
        <f t="shared" si="55"/>
        <v>8.5929693603957471</v>
      </c>
      <c r="CL68">
        <f t="shared" si="56"/>
        <v>121.42945339779338</v>
      </c>
      <c r="CM68" s="207">
        <f t="shared" ref="CM68" si="139" xml:space="preserve"> ($BQ$38-CL68*($BP68+$BR68+$BQ68+$BN68))/($BP68+$BR68+$BQ68+$BO68)</f>
        <v>101.33070078367028</v>
      </c>
      <c r="CN68">
        <f t="shared" si="58"/>
        <v>1.5785295233168373</v>
      </c>
      <c r="CO68">
        <f t="shared" si="59"/>
        <v>-1.8568111758159862</v>
      </c>
      <c r="CP68">
        <f t="shared" si="60"/>
        <v>122.04839045639871</v>
      </c>
      <c r="CQ68" s="207">
        <f t="shared" ref="CQ68" si="140" xml:space="preserve"> ($BQ$38-CP68*($BP68+$BR68+$BQ68+$BN68))/($BP68+$BR68+$BQ68+$BO68)</f>
        <v>100.95804833328111</v>
      </c>
      <c r="CR68">
        <f t="shared" si="62"/>
        <v>1.5807089279428956</v>
      </c>
      <c r="CS68">
        <f t="shared" si="63"/>
        <v>0.39144170191514327</v>
      </c>
      <c r="CT68">
        <f t="shared" si="64"/>
        <v>121.91790988909366</v>
      </c>
      <c r="CU68" s="636">
        <f t="shared" si="65"/>
        <v>101.03660866903475</v>
      </c>
      <c r="CV68" s="575">
        <f t="shared" si="66"/>
        <v>1.5802494790408761</v>
      </c>
      <c r="CW68">
        <f t="shared" si="67"/>
        <v>-8.2970213718457586E-2</v>
      </c>
      <c r="CX68" s="576">
        <f t="shared" si="68"/>
        <v>0.33924498224999167</v>
      </c>
    </row>
    <row r="69" spans="1:102" x14ac:dyDescent="0.25">
      <c r="A69" s="186">
        <v>25</v>
      </c>
      <c r="B69" s="187">
        <f>A69/100*'Inputs-Imperial'!$E$5</f>
        <v>6.0203413999999995</v>
      </c>
      <c r="C69" s="188">
        <f>'Inputs-Imperial'!$E$10+('Inputs-Imperial'!$E$9-'Inputs-Imperial'!$E$10)*(100-A69)/100</f>
        <v>4.6403380750000007</v>
      </c>
      <c r="D69" s="187">
        <f t="shared" si="69"/>
        <v>0.24081365600000026</v>
      </c>
      <c r="E69" s="188">
        <f t="shared" si="70"/>
        <v>1.1195998447081006</v>
      </c>
      <c r="F69" s="423">
        <f>Sizing!F85</f>
        <v>677.19199006612291</v>
      </c>
      <c r="G69" s="423">
        <f>Sizing!G85</f>
        <v>6771.919900661228</v>
      </c>
      <c r="H69" s="423">
        <f>Sizing!H85</f>
        <v>55196.898081960848</v>
      </c>
      <c r="I69" s="423">
        <f>Sizing!I85</f>
        <v>-15031.876378535813</v>
      </c>
      <c r="J69" s="189">
        <f>Sizing!J85</f>
        <v>5519.6898081960871</v>
      </c>
      <c r="K69" s="128">
        <v>25</v>
      </c>
      <c r="L69" s="12">
        <f t="shared" si="11"/>
        <v>72.244096799999994</v>
      </c>
      <c r="M69" s="11">
        <f t="shared" si="11"/>
        <v>55.684056900000009</v>
      </c>
      <c r="N69" s="11">
        <f t="shared" si="11"/>
        <v>2.8897638720000032</v>
      </c>
      <c r="O69" s="152">
        <f t="shared" si="71"/>
        <v>161.22237763796647</v>
      </c>
      <c r="P69" s="170">
        <f t="shared" si="0"/>
        <v>10.023130242000001</v>
      </c>
      <c r="Q69" s="8">
        <f t="shared" si="1"/>
        <v>5.0115651210000003</v>
      </c>
      <c r="R69" s="170">
        <f>Sizing!X85</f>
        <v>13.921014225000002</v>
      </c>
      <c r="S69" s="8">
        <f>Sizing!Y85</f>
        <v>41.763042675000008</v>
      </c>
      <c r="T69" s="8">
        <f>Sizing!Z85</f>
        <v>27.842028450000008</v>
      </c>
      <c r="U69" s="17">
        <f>Sizing!CN85</f>
        <v>2.5</v>
      </c>
      <c r="V69" s="17">
        <f>Sizing!CO85</f>
        <v>2.3622047244094495E-2</v>
      </c>
      <c r="W69" s="17">
        <f>Sizing!CP85</f>
        <v>1.5748031496062995E-2</v>
      </c>
      <c r="X69" s="170">
        <f>Sizing!DU85</f>
        <v>2.271823534607841</v>
      </c>
      <c r="Y69" s="170">
        <f>Sizing!DV85</f>
        <v>1.5072569570606869</v>
      </c>
      <c r="Z69" s="170">
        <f>Sizing!DW85</f>
        <v>2.271823534607841</v>
      </c>
      <c r="AA69" s="272">
        <f>Sizing!DX85</f>
        <v>1.5072569570606869</v>
      </c>
      <c r="AB69" s="272">
        <f>P69-2*(U69+V69+W69)-Y69/2-AA69/2</f>
        <v>3.4371331274589991</v>
      </c>
      <c r="AC69" s="216">
        <f>Sizing!GJ85</f>
        <v>0.5</v>
      </c>
      <c r="AD69" s="216">
        <f>Sizing!GK85</f>
        <v>5.5118110236220486E-2</v>
      </c>
      <c r="AE69" s="17">
        <f>Sizing!GL85</f>
        <v>5.5118110236220486E-2</v>
      </c>
      <c r="AF69" s="170">
        <f>Sizing!JC85</f>
        <v>3.485943317074526E-2</v>
      </c>
      <c r="AG69" s="272">
        <f>Sizing!JD85</f>
        <v>0.18670681072404741</v>
      </c>
      <c r="AH69" s="170">
        <f>Sizing!JC85</f>
        <v>3.485943317074526E-2</v>
      </c>
      <c r="AI69" s="272">
        <f>Sizing!JD85</f>
        <v>0.18670681072404741</v>
      </c>
      <c r="AJ69" s="216">
        <f>Sizing!IT85</f>
        <v>0.5</v>
      </c>
      <c r="AK69" s="216">
        <f>Sizing!IU85</f>
        <v>1.5748031496062995E-2</v>
      </c>
      <c r="AL69" s="17">
        <f>Sizing!IV85</f>
        <v>1.5748031496062995E-2</v>
      </c>
      <c r="AM69" s="170">
        <f t="shared" si="13"/>
        <v>0</v>
      </c>
      <c r="AN69" s="11">
        <f>X69*((AB69/2-AM69)^2)</f>
        <v>6.7097650037533736</v>
      </c>
      <c r="AO69" s="11">
        <f>Z69*((AB69/2+AM69)^2)</f>
        <v>6.7097650037533736</v>
      </c>
      <c r="AP69" s="11">
        <f>AN69+AO69</f>
        <v>13.419530007506747</v>
      </c>
      <c r="AQ69" s="555">
        <f>AP69*$E$23</f>
        <v>214097597.255164</v>
      </c>
      <c r="AR69" s="311">
        <f t="shared" si="18"/>
        <v>14.341773099820777</v>
      </c>
      <c r="AS69" s="11">
        <f t="shared" si="19"/>
        <v>0.80439832951353751</v>
      </c>
      <c r="AT69" s="11">
        <f t="shared" si="20"/>
        <v>52.423430043656545</v>
      </c>
      <c r="AU69" s="11">
        <f t="shared" si="21"/>
        <v>53.227828373170084</v>
      </c>
      <c r="AV69" s="555">
        <f t="shared" si="22"/>
        <v>849206354.87466264</v>
      </c>
      <c r="AW69" s="138">
        <f t="shared" si="23"/>
        <v>3.9370078740157494E-2</v>
      </c>
      <c r="AX69" s="138">
        <f t="shared" si="24"/>
        <v>0.11023622047244097</v>
      </c>
      <c r="AY69" s="554">
        <f t="shared" si="25"/>
        <v>3.1496062992125991E-2</v>
      </c>
      <c r="AZ69" s="12">
        <f t="shared" si="26"/>
        <v>1315.0594254305802</v>
      </c>
      <c r="BA69" s="11">
        <f t="shared" si="27"/>
        <v>178.34641850784598</v>
      </c>
      <c r="BB69">
        <f t="shared" si="28"/>
        <v>1527.047825770421</v>
      </c>
      <c r="BC69" s="555">
        <f t="shared" si="29"/>
        <v>5758479026.4063492</v>
      </c>
      <c r="BD69">
        <f t="shared" si="30"/>
        <v>25</v>
      </c>
      <c r="BE69" s="207">
        <f t="shared" si="31"/>
        <v>4.6403380750000007</v>
      </c>
      <c r="BF69" s="207">
        <f>'Inputs-Imperial'!$E$15*BE69</f>
        <v>3.4802535562500005</v>
      </c>
      <c r="BG69" s="207">
        <f>'Inputs-Imperial'!$E$12*BE69</f>
        <v>1.1600845187500002</v>
      </c>
      <c r="BH69">
        <f>'Inputs-Imperial'!$E$11*BE69</f>
        <v>0.83526085350000012</v>
      </c>
      <c r="BI69">
        <f t="shared" si="32"/>
        <v>0.88592792035427026</v>
      </c>
      <c r="BJ69">
        <f>'Weight '!U71+'Weight '!V71 /12</f>
        <v>2.4934383202099744E-2</v>
      </c>
      <c r="BK69">
        <f>('Weight '!AK71+'Weight '!AL71)/12</f>
        <v>9.186351706036747E-3</v>
      </c>
      <c r="BL69">
        <f>'Weight '!AG71/12</f>
        <v>0.1256047464217239</v>
      </c>
      <c r="BM69">
        <f>'Weight '!AI71/12</f>
        <v>0.1256047464217239</v>
      </c>
      <c r="BN69" s="554">
        <f t="shared" si="33"/>
        <v>2.600698446377991</v>
      </c>
      <c r="BO69" s="554">
        <f t="shared" si="34"/>
        <v>4.8777670942264253</v>
      </c>
      <c r="BP69">
        <f t="shared" si="35"/>
        <v>0.1256047464217239</v>
      </c>
      <c r="BQ69">
        <f t="shared" si="35"/>
        <v>0.1256047464217239</v>
      </c>
      <c r="BR69">
        <f t="shared" si="36"/>
        <v>0.58405136065655228</v>
      </c>
      <c r="BS69">
        <f t="shared" si="37"/>
        <v>0.7267298889474465</v>
      </c>
      <c r="BT69">
        <f t="shared" si="38"/>
        <v>1.6948519792433041</v>
      </c>
      <c r="BU69">
        <f t="shared" si="39"/>
        <v>1.8331624189035567</v>
      </c>
      <c r="BV69">
        <f t="shared" si="40"/>
        <v>145.51976794886792</v>
      </c>
      <c r="BW69" s="207">
        <f t="shared" si="41"/>
        <v>87.519263790575636</v>
      </c>
      <c r="BX69">
        <f t="shared" si="42"/>
        <v>1.6549695128125304</v>
      </c>
      <c r="BY69" s="575">
        <f t="shared" si="43"/>
        <v>-56.672751713357641</v>
      </c>
      <c r="BZ69">
        <f t="shared" si="44"/>
        <v>164.41068518665381</v>
      </c>
      <c r="CA69" s="207">
        <f t="shared" si="45"/>
        <v>76.15778904193084</v>
      </c>
      <c r="CB69">
        <f t="shared" si="46"/>
        <v>1.7209387371149203</v>
      </c>
      <c r="CC69">
        <f t="shared" si="47"/>
        <v>164.32525964752745</v>
      </c>
      <c r="CD69">
        <f t="shared" si="48"/>
        <v>109.63559863747798</v>
      </c>
      <c r="CE69" s="207">
        <f t="shared" si="49"/>
        <v>109.10090952940561</v>
      </c>
      <c r="CF69">
        <f t="shared" si="50"/>
        <v>1.5296579260636871</v>
      </c>
      <c r="CG69">
        <f t="shared" si="51"/>
        <v>-45.115949586204714</v>
      </c>
      <c r="CH69">
        <f t="shared" si="52"/>
        <v>124.67424849954622</v>
      </c>
      <c r="CI69" s="207">
        <f t="shared" ref="CI69" si="141" xml:space="preserve"> ($BQ$38-CH69*($BP69+$BR69+$BQ69+$BN69))/($BP69+$BR69+$BQ69+$BO69)</f>
        <v>100.0562856759995</v>
      </c>
      <c r="CJ69">
        <f t="shared" si="54"/>
        <v>1.582174596030961</v>
      </c>
      <c r="CK69">
        <f t="shared" si="55"/>
        <v>8.2130567217236639</v>
      </c>
      <c r="CL69">
        <f t="shared" si="56"/>
        <v>121.93656292563834</v>
      </c>
      <c r="CM69" s="207">
        <f t="shared" ref="CM69" si="142" xml:space="preserve"> ($BQ$38-CL69*($BP69+$BR69+$BQ69+$BN69))/($BP69+$BR69+$BQ69+$BO69)</f>
        <v>101.70279892499457</v>
      </c>
      <c r="CN69">
        <f t="shared" si="58"/>
        <v>1.5726142876869436</v>
      </c>
      <c r="CO69">
        <f t="shared" si="59"/>
        <v>-1.73033404028115</v>
      </c>
      <c r="CP69">
        <f t="shared" si="60"/>
        <v>122.51334093906539</v>
      </c>
      <c r="CQ69" s="207">
        <f t="shared" ref="CQ69" si="143" xml:space="preserve"> ($BQ$38-CP69*($BP69+$BR69+$BQ69+$BN69))/($BP69+$BR69+$BQ69+$BO69)</f>
        <v>101.35591006022216</v>
      </c>
      <c r="CR69">
        <f t="shared" si="62"/>
        <v>1.574628461888308</v>
      </c>
      <c r="CS69">
        <f t="shared" si="63"/>
        <v>0.35584341455442114</v>
      </c>
      <c r="CT69">
        <f t="shared" si="64"/>
        <v>122.39472646754724</v>
      </c>
      <c r="CU69" s="636">
        <f t="shared" si="65"/>
        <v>101.42724779920086</v>
      </c>
      <c r="CV69" s="575">
        <f t="shared" si="66"/>
        <v>1.5742142467086744</v>
      </c>
      <c r="CW69">
        <f t="shared" si="67"/>
        <v>-7.3558799863240765E-2</v>
      </c>
      <c r="CX69" s="576">
        <f t="shared" si="68"/>
        <v>0.33924559402036114</v>
      </c>
    </row>
    <row r="70" spans="1:102" x14ac:dyDescent="0.25">
      <c r="A70" s="186">
        <v>26</v>
      </c>
      <c r="B70" s="187">
        <f>A70/100*'Inputs-Imperial'!$E$5</f>
        <v>6.2611550559999998</v>
      </c>
      <c r="C70" s="188">
        <f>'Inputs-Imperial'!$E$10+('Inputs-Imperial'!$E$9-'Inputs-Imperial'!$E$10)*(100-A70)/100</f>
        <v>4.622539518</v>
      </c>
      <c r="D70" s="187">
        <f t="shared" si="69"/>
        <v>0.24081365600000026</v>
      </c>
      <c r="E70" s="188">
        <f t="shared" si="70"/>
        <v>1.1153137091254064</v>
      </c>
      <c r="F70" s="423">
        <f>Sizing!F86</f>
        <v>665.85570996797981</v>
      </c>
      <c r="G70" s="423">
        <f>Sizing!G86</f>
        <v>6658.5570996797978</v>
      </c>
      <c r="H70" s="423">
        <f>Sizing!H86</f>
        <v>53566.12729254346</v>
      </c>
      <c r="I70" s="423">
        <f>Sizing!I86</f>
        <v>-14726.970079644552</v>
      </c>
      <c r="J70" s="189">
        <f>Sizing!J86</f>
        <v>5356.6127292543479</v>
      </c>
      <c r="K70" s="128">
        <v>26</v>
      </c>
      <c r="L70" s="12">
        <f t="shared" si="11"/>
        <v>75.133860671999997</v>
      </c>
      <c r="M70" s="11">
        <f t="shared" si="11"/>
        <v>55.470474216</v>
      </c>
      <c r="N70" s="11">
        <f t="shared" si="11"/>
        <v>2.8897638720000032</v>
      </c>
      <c r="O70" s="152">
        <f t="shared" si="71"/>
        <v>160.60517411405851</v>
      </c>
      <c r="P70" s="170">
        <f t="shared" si="0"/>
        <v>9.9846853588800002</v>
      </c>
      <c r="Q70" s="8">
        <f t="shared" si="1"/>
        <v>4.9923426794400001</v>
      </c>
      <c r="R70" s="170">
        <f>Sizing!X86</f>
        <v>13.867618554</v>
      </c>
      <c r="S70" s="8">
        <f>Sizing!Y86</f>
        <v>41.602855661999996</v>
      </c>
      <c r="T70" s="8">
        <f>Sizing!Z86</f>
        <v>27.735237107999996</v>
      </c>
      <c r="U70" s="17">
        <f>Sizing!CN86</f>
        <v>2.5</v>
      </c>
      <c r="V70" s="17">
        <f>Sizing!CO86</f>
        <v>2.3622047244094495E-2</v>
      </c>
      <c r="W70" s="17">
        <f>Sizing!CP86</f>
        <v>1.5748031496062995E-2</v>
      </c>
      <c r="X70" s="170">
        <f>Sizing!DU86</f>
        <v>2.271823534607841</v>
      </c>
      <c r="Y70" s="170">
        <f>Sizing!DV86</f>
        <v>1.5072569570606869</v>
      </c>
      <c r="Z70" s="170">
        <f>Sizing!DW86</f>
        <v>2.271823534607841</v>
      </c>
      <c r="AA70" s="272">
        <f>Sizing!DX86</f>
        <v>1.5072569570606869</v>
      </c>
      <c r="AB70" s="272">
        <f t="shared" si="12"/>
        <v>3.3986882443389987</v>
      </c>
      <c r="AC70" s="216">
        <f>Sizing!GJ86</f>
        <v>0.5</v>
      </c>
      <c r="AD70" s="216">
        <f>Sizing!GK86</f>
        <v>5.5118110236220486E-2</v>
      </c>
      <c r="AE70" s="17">
        <f>Sizing!GL86</f>
        <v>5.5118110236220486E-2</v>
      </c>
      <c r="AF70" s="170">
        <f>Sizing!JC86</f>
        <v>3.485943317074526E-2</v>
      </c>
      <c r="AG70" s="272">
        <f>Sizing!JD86</f>
        <v>0.18670681072404741</v>
      </c>
      <c r="AH70" s="170">
        <f>Sizing!JC86</f>
        <v>3.485943317074526E-2</v>
      </c>
      <c r="AI70" s="272">
        <f>Sizing!JD86</f>
        <v>0.18670681072404741</v>
      </c>
      <c r="AJ70" s="216">
        <f>Sizing!IT86</f>
        <v>0.5</v>
      </c>
      <c r="AK70" s="216">
        <f>Sizing!IU86</f>
        <v>1.5748031496062995E-2</v>
      </c>
      <c r="AL70" s="17">
        <f>Sizing!IV86</f>
        <v>1.5748031496062995E-2</v>
      </c>
      <c r="AM70" s="170">
        <f t="shared" si="13"/>
        <v>0</v>
      </c>
      <c r="AN70" s="11">
        <f t="shared" si="14"/>
        <v>6.5605048607500649</v>
      </c>
      <c r="AO70" s="11">
        <f t="shared" si="15"/>
        <v>6.5605048607500649</v>
      </c>
      <c r="AP70" s="11">
        <f t="shared" si="16"/>
        <v>13.12100972150013</v>
      </c>
      <c r="AQ70" s="555">
        <f t="shared" si="17"/>
        <v>209334950.87856293</v>
      </c>
      <c r="AR70" s="311">
        <f t="shared" si="18"/>
        <v>14.286763559163926</v>
      </c>
      <c r="AS70" s="11">
        <f t="shared" si="19"/>
        <v>0.7982394368729826</v>
      </c>
      <c r="AT70" s="11">
        <f t="shared" si="20"/>
        <v>52.022048954658715</v>
      </c>
      <c r="AU70" s="11">
        <f t="shared" si="21"/>
        <v>52.820288391531697</v>
      </c>
      <c r="AV70" s="555">
        <f t="shared" si="22"/>
        <v>842704388.6504072</v>
      </c>
      <c r="AW70" s="138">
        <f t="shared" si="23"/>
        <v>3.9370078740157494E-2</v>
      </c>
      <c r="AX70" s="138">
        <f t="shared" si="24"/>
        <v>0.11023622047244097</v>
      </c>
      <c r="AY70" s="554">
        <f t="shared" si="25"/>
        <v>3.1496062992125991E-2</v>
      </c>
      <c r="AZ70" s="12">
        <f t="shared" si="26"/>
        <v>1304.9906454244533</v>
      </c>
      <c r="BA70" s="11">
        <f t="shared" si="27"/>
        <v>177.66235005329531</v>
      </c>
      <c r="BB70">
        <f t="shared" si="28"/>
        <v>1509.5436279416101</v>
      </c>
      <c r="BC70" s="555">
        <f t="shared" si="29"/>
        <v>5692470906.4442768</v>
      </c>
      <c r="BD70">
        <f t="shared" si="30"/>
        <v>26</v>
      </c>
      <c r="BE70" s="207">
        <f t="shared" si="31"/>
        <v>4.622539518</v>
      </c>
      <c r="BF70" s="207">
        <f>'Inputs-Imperial'!$E$15*BE70</f>
        <v>3.4669046385</v>
      </c>
      <c r="BG70" s="207">
        <f>'Inputs-Imperial'!$E$12*BE70</f>
        <v>1.1556348795</v>
      </c>
      <c r="BH70">
        <f>'Inputs-Imperial'!$E$11*BE70</f>
        <v>0.83205711323999998</v>
      </c>
      <c r="BI70">
        <f t="shared" si="32"/>
        <v>0.88252984065976059</v>
      </c>
      <c r="BJ70">
        <f>'Weight '!U72+'Weight '!V72 /12</f>
        <v>2.4934383202099744E-2</v>
      </c>
      <c r="BK70">
        <f>('Weight '!AK72+'Weight '!AL72)/12</f>
        <v>9.186351706036747E-3</v>
      </c>
      <c r="BL70">
        <f>'Weight '!AG72/12</f>
        <v>0.1256047464217239</v>
      </c>
      <c r="BM70">
        <f>'Weight '!AI72/12</f>
        <v>0.1256047464217239</v>
      </c>
      <c r="BN70" s="554">
        <f t="shared" si="33"/>
        <v>2.5883604266338875</v>
      </c>
      <c r="BO70" s="554">
        <f t="shared" si="34"/>
        <v>4.861420588609306</v>
      </c>
      <c r="BP70">
        <f t="shared" si="35"/>
        <v>0.1256047464217239</v>
      </c>
      <c r="BQ70">
        <f t="shared" si="35"/>
        <v>0.1256047464217239</v>
      </c>
      <c r="BR70">
        <f t="shared" si="36"/>
        <v>0.58084762039655213</v>
      </c>
      <c r="BS70">
        <f t="shared" si="37"/>
        <v>0.72116566634716894</v>
      </c>
      <c r="BT70">
        <f t="shared" si="38"/>
        <v>1.6818753096024155</v>
      </c>
      <c r="BU70">
        <f t="shared" si="39"/>
        <v>1.8051985902919097</v>
      </c>
      <c r="BV70">
        <f t="shared" si="40"/>
        <v>146.18098351186541</v>
      </c>
      <c r="BW70" s="207">
        <f t="shared" si="41"/>
        <v>87.819787164107851</v>
      </c>
      <c r="BX70">
        <f t="shared" si="42"/>
        <v>1.6488898685615336</v>
      </c>
      <c r="BY70" s="575">
        <f t="shared" si="43"/>
        <v>-56.524786417898326</v>
      </c>
      <c r="BZ70">
        <f t="shared" si="44"/>
        <v>165.02257898449818</v>
      </c>
      <c r="CA70" s="207">
        <f t="shared" si="45"/>
        <v>76.50049744196339</v>
      </c>
      <c r="CB70">
        <f t="shared" si="46"/>
        <v>1.7141409598814858</v>
      </c>
      <c r="CC70">
        <f t="shared" si="47"/>
        <v>164.12505440744997</v>
      </c>
      <c r="CD70">
        <f t="shared" si="48"/>
        <v>110.31422751534819</v>
      </c>
      <c r="CE70" s="207">
        <f t="shared" si="49"/>
        <v>109.36712391208823</v>
      </c>
      <c r="CF70">
        <f t="shared" si="50"/>
        <v>1.5246782552574203</v>
      </c>
      <c r="CG70">
        <f t="shared" si="51"/>
        <v>-44.237322591783702</v>
      </c>
      <c r="CH70">
        <f t="shared" si="52"/>
        <v>125.06000171260942</v>
      </c>
      <c r="CI70" s="207">
        <f t="shared" ref="CI70" si="144" xml:space="preserve"> ($BQ$38-CH70*($BP70+$BR70+$BQ70+$BN70))/($BP70+$BR70+$BQ70+$BO70)</f>
        <v>100.50844256747708</v>
      </c>
      <c r="CJ70">
        <f t="shared" si="54"/>
        <v>1.5757449422652399</v>
      </c>
      <c r="CK70">
        <f t="shared" si="55"/>
        <v>7.8419604854264158</v>
      </c>
      <c r="CL70">
        <f t="shared" si="56"/>
        <v>122.44601488413394</v>
      </c>
      <c r="CM70" s="207">
        <f t="shared" ref="CM70" si="145" xml:space="preserve"> ($BQ$38-CL70*($BP70+$BR70+$BQ70+$BN70))/($BP70+$BR70+$BQ70+$BO70)</f>
        <v>102.07882307396656</v>
      </c>
      <c r="CN70">
        <f t="shared" si="58"/>
        <v>1.5666923387581884</v>
      </c>
      <c r="CO70">
        <f t="shared" si="59"/>
        <v>-1.6097946845962259</v>
      </c>
      <c r="CP70">
        <f t="shared" si="60"/>
        <v>122.98261311233269</v>
      </c>
      <c r="CQ70" s="207">
        <f t="shared" ref="CQ70" si="146" xml:space="preserve"> ($BQ$38-CP70*($BP70+$BR70+$BQ70+$BN70))/($BP70+$BR70+$BQ70+$BO70)</f>
        <v>101.75645595711633</v>
      </c>
      <c r="CR70">
        <f t="shared" si="62"/>
        <v>1.5685506537847038</v>
      </c>
      <c r="CS70">
        <f t="shared" si="63"/>
        <v>0.32273715953187576</v>
      </c>
      <c r="CT70">
        <f t="shared" si="64"/>
        <v>122.8750340591554</v>
      </c>
      <c r="CU70" s="636">
        <f t="shared" si="65"/>
        <v>101.82108522233524</v>
      </c>
      <c r="CV70" s="575">
        <f t="shared" si="66"/>
        <v>1.5681780924146658</v>
      </c>
      <c r="CW70">
        <f t="shared" si="67"/>
        <v>-6.502312458817272E-2</v>
      </c>
      <c r="CX70" s="576">
        <f t="shared" si="68"/>
        <v>0.33924601105263408</v>
      </c>
    </row>
    <row r="71" spans="1:102" x14ac:dyDescent="0.25">
      <c r="A71" s="186">
        <v>27</v>
      </c>
      <c r="B71" s="187">
        <f>A71/100*'Inputs-Imperial'!$E$5</f>
        <v>6.501968712</v>
      </c>
      <c r="C71" s="188">
        <f>'Inputs-Imperial'!$E$10+('Inputs-Imperial'!$E$9-'Inputs-Imperial'!$E$10)*(100-A71)/100</f>
        <v>4.604740961000001</v>
      </c>
      <c r="D71" s="187">
        <f t="shared" si="69"/>
        <v>0.24081365600000026</v>
      </c>
      <c r="E71" s="188">
        <f t="shared" si="70"/>
        <v>1.111027573542712</v>
      </c>
      <c r="F71" s="423">
        <f>Sizing!F87</f>
        <v>654.55667074563019</v>
      </c>
      <c r="G71" s="423">
        <f>Sizing!G87</f>
        <v>6545.5667074563016</v>
      </c>
      <c r="H71" s="423">
        <f>Sizing!H87</f>
        <v>51962.655813684811</v>
      </c>
      <c r="I71" s="423">
        <f>Sizing!I87</f>
        <v>-14424.074634337911</v>
      </c>
      <c r="J71" s="189">
        <f>Sizing!J87</f>
        <v>5196.2655813684833</v>
      </c>
      <c r="K71" s="128">
        <v>27</v>
      </c>
      <c r="L71" s="12">
        <f t="shared" si="11"/>
        <v>78.023624544</v>
      </c>
      <c r="M71" s="11">
        <f t="shared" si="11"/>
        <v>55.256891532000012</v>
      </c>
      <c r="N71" s="11">
        <f t="shared" si="11"/>
        <v>2.8897638720000032</v>
      </c>
      <c r="O71" s="152">
        <f t="shared" si="71"/>
        <v>159.98797059015052</v>
      </c>
      <c r="P71" s="170">
        <f t="shared" si="0"/>
        <v>9.9462404757600016</v>
      </c>
      <c r="Q71" s="8">
        <f t="shared" si="1"/>
        <v>4.9731202378800008</v>
      </c>
      <c r="R71" s="170">
        <f>Sizing!X87</f>
        <v>13.814222883000003</v>
      </c>
      <c r="S71" s="8">
        <f>Sizing!Y87</f>
        <v>41.442668649000012</v>
      </c>
      <c r="T71" s="8">
        <f>Sizing!Z87</f>
        <v>27.628445766000009</v>
      </c>
      <c r="U71" s="17">
        <f>Sizing!CN87</f>
        <v>2.5</v>
      </c>
      <c r="V71" s="17">
        <f>Sizing!CO87</f>
        <v>2.3622047244094495E-2</v>
      </c>
      <c r="W71" s="17">
        <f>Sizing!CP87</f>
        <v>1.5748031496062995E-2</v>
      </c>
      <c r="X71" s="170">
        <f>Sizing!DU87</f>
        <v>2.271823534607841</v>
      </c>
      <c r="Y71" s="170">
        <f>Sizing!DV87</f>
        <v>1.5072569570606869</v>
      </c>
      <c r="Z71" s="170">
        <f>Sizing!DW87</f>
        <v>2.271823534607841</v>
      </c>
      <c r="AA71" s="272">
        <f>Sizing!DX87</f>
        <v>1.5072569570606869</v>
      </c>
      <c r="AB71" s="272">
        <f t="shared" si="12"/>
        <v>3.3602433612190001</v>
      </c>
      <c r="AC71" s="216">
        <f>Sizing!GJ87</f>
        <v>0.5</v>
      </c>
      <c r="AD71" s="216">
        <f>Sizing!GK87</f>
        <v>5.5118110236220486E-2</v>
      </c>
      <c r="AE71" s="17">
        <f>Sizing!GL87</f>
        <v>5.5118110236220486E-2</v>
      </c>
      <c r="AF71" s="170">
        <f>Sizing!JC87</f>
        <v>3.485943317074526E-2</v>
      </c>
      <c r="AG71" s="272">
        <f>Sizing!JD87</f>
        <v>0.18670681072404741</v>
      </c>
      <c r="AH71" s="170">
        <f>Sizing!JC87</f>
        <v>3.485943317074526E-2</v>
      </c>
      <c r="AI71" s="272">
        <f>Sizing!JD87</f>
        <v>0.18670681072404741</v>
      </c>
      <c r="AJ71" s="216">
        <f>Sizing!IT87</f>
        <v>0.5</v>
      </c>
      <c r="AK71" s="216">
        <f>Sizing!IU87</f>
        <v>1.5748031496062995E-2</v>
      </c>
      <c r="AL71" s="17">
        <f>Sizing!IV87</f>
        <v>1.5748031496062995E-2</v>
      </c>
      <c r="AM71" s="170">
        <f t="shared" si="13"/>
        <v>0</v>
      </c>
      <c r="AN71" s="11">
        <f t="shared" si="14"/>
        <v>6.4129236056053331</v>
      </c>
      <c r="AO71" s="11">
        <f t="shared" si="15"/>
        <v>6.4129236056053331</v>
      </c>
      <c r="AP71" s="11">
        <f t="shared" si="16"/>
        <v>12.825847211210666</v>
      </c>
      <c r="AQ71" s="555">
        <f t="shared" si="17"/>
        <v>204625875.06015298</v>
      </c>
      <c r="AR71" s="311">
        <f t="shared" si="18"/>
        <v>14.231754018507083</v>
      </c>
      <c r="AS71" s="11">
        <f t="shared" si="19"/>
        <v>0.79210421277401244</v>
      </c>
      <c r="AT71" s="11">
        <f t="shared" si="20"/>
        <v>51.622210367787225</v>
      </c>
      <c r="AU71" s="11">
        <f t="shared" si="21"/>
        <v>52.414314580561239</v>
      </c>
      <c r="AV71" s="555">
        <f t="shared" si="22"/>
        <v>836227409.39489853</v>
      </c>
      <c r="AW71" s="138">
        <f t="shared" si="23"/>
        <v>3.9370078740157494E-2</v>
      </c>
      <c r="AX71" s="138">
        <f t="shared" si="24"/>
        <v>0.11023622047244097</v>
      </c>
      <c r="AY71" s="554">
        <f t="shared" si="25"/>
        <v>3.1496062992125991E-2</v>
      </c>
      <c r="AZ71" s="12">
        <f t="shared" si="26"/>
        <v>1294.9605596044612</v>
      </c>
      <c r="BA71" s="11">
        <f t="shared" si="27"/>
        <v>176.97828159874473</v>
      </c>
      <c r="BB71">
        <f t="shared" si="28"/>
        <v>1492.1737082296324</v>
      </c>
      <c r="BC71" s="555">
        <f t="shared" si="29"/>
        <v>5626969147.6494455</v>
      </c>
      <c r="BD71">
        <f t="shared" si="30"/>
        <v>27</v>
      </c>
      <c r="BE71" s="207">
        <f t="shared" si="31"/>
        <v>4.604740961000001</v>
      </c>
      <c r="BF71" s="207">
        <f>'Inputs-Imperial'!$E$15*BE71</f>
        <v>3.4535557207500007</v>
      </c>
      <c r="BG71" s="207">
        <f>'Inputs-Imperial'!$E$12*BE71</f>
        <v>1.1511852402500002</v>
      </c>
      <c r="BH71">
        <f>'Inputs-Imperial'!$E$11*BE71</f>
        <v>0.82885337298000017</v>
      </c>
      <c r="BI71">
        <f t="shared" si="32"/>
        <v>0.87913176096525125</v>
      </c>
      <c r="BJ71">
        <f>'Weight '!U73+'Weight '!V73 /12</f>
        <v>2.4934383202099744E-2</v>
      </c>
      <c r="BK71">
        <f>('Weight '!AK73+'Weight '!AL73)/12</f>
        <v>9.186351706036747E-3</v>
      </c>
      <c r="BL71">
        <f>'Weight '!AG73/12</f>
        <v>0.1256047464217239</v>
      </c>
      <c r="BM71">
        <f>'Weight '!AI73/12</f>
        <v>0.1256047464217239</v>
      </c>
      <c r="BN71" s="554">
        <f t="shared" si="33"/>
        <v>2.5760197968976901</v>
      </c>
      <c r="BO71" s="554">
        <f t="shared" si="34"/>
        <v>4.8450766929842803</v>
      </c>
      <c r="BP71">
        <f t="shared" si="35"/>
        <v>0.1256047464217239</v>
      </c>
      <c r="BQ71">
        <f t="shared" si="35"/>
        <v>0.1256047464217239</v>
      </c>
      <c r="BR71">
        <f t="shared" si="36"/>
        <v>0.57764388013655232</v>
      </c>
      <c r="BS71">
        <f t="shared" si="37"/>
        <v>0.71562282697950341</v>
      </c>
      <c r="BT71">
        <f t="shared" si="38"/>
        <v>1.6689485091284157</v>
      </c>
      <c r="BU71">
        <f t="shared" si="39"/>
        <v>1.7775559173748336</v>
      </c>
      <c r="BV71">
        <f t="shared" si="40"/>
        <v>146.84834795710202</v>
      </c>
      <c r="BW71" s="207">
        <f t="shared" si="41"/>
        <v>88.122340985361674</v>
      </c>
      <c r="BX71">
        <f t="shared" si="42"/>
        <v>1.6428106209628122</v>
      </c>
      <c r="BY71" s="575">
        <f t="shared" si="43"/>
        <v>-56.37546331550196</v>
      </c>
      <c r="BZ71">
        <f t="shared" si="44"/>
        <v>165.64016906226934</v>
      </c>
      <c r="CA71" s="207">
        <f t="shared" si="45"/>
        <v>76.845542232070812</v>
      </c>
      <c r="CB71">
        <f t="shared" si="46"/>
        <v>1.7073471261836499</v>
      </c>
      <c r="CC71">
        <f t="shared" si="47"/>
        <v>163.92808617446673</v>
      </c>
      <c r="CD71">
        <f t="shared" si="48"/>
        <v>110.99747367078044</v>
      </c>
      <c r="CE71" s="207">
        <f t="shared" si="49"/>
        <v>109.63612042131054</v>
      </c>
      <c r="CF71">
        <f t="shared" si="50"/>
        <v>1.5196884327191948</v>
      </c>
      <c r="CG71">
        <f t="shared" si="51"/>
        <v>-43.360856974850989</v>
      </c>
      <c r="CH71">
        <f t="shared" si="52"/>
        <v>125.45109266239743</v>
      </c>
      <c r="CI71" s="207">
        <f t="shared" ref="CI71" si="147" xml:space="preserve"> ($BQ$38-CH71*($BP71+$BR71+$BQ71+$BN71))/($BP71+$BR71+$BQ71+$BO71)</f>
        <v>100.96263679707633</v>
      </c>
      <c r="CJ71">
        <f t="shared" si="54"/>
        <v>1.5693263072121568</v>
      </c>
      <c r="CK71">
        <f t="shared" si="55"/>
        <v>7.4796428097781078</v>
      </c>
      <c r="CL71">
        <f t="shared" si="56"/>
        <v>122.95787839247139</v>
      </c>
      <c r="CM71" s="207">
        <f t="shared" ref="CM71" si="148" xml:space="preserve"> ($BQ$38-CL71*($BP71+$BR71+$BQ71+$BN71))/($BP71+$BR71+$BQ71+$BO71)</f>
        <v>102.45879171540183</v>
      </c>
      <c r="CN71">
        <f t="shared" si="58"/>
        <v>1.5607638940832076</v>
      </c>
      <c r="CO71">
        <f t="shared" si="59"/>
        <v>-1.4950401221030347</v>
      </c>
      <c r="CP71">
        <f t="shared" si="60"/>
        <v>123.45622509983906</v>
      </c>
      <c r="CQ71" s="207">
        <f t="shared" ref="CQ71" si="149" xml:space="preserve"> ($BQ$38-CP71*($BP71+$BR71+$BQ71+$BN71))/($BP71+$BR71+$BQ71+$BO71)</f>
        <v>102.15973844659409</v>
      </c>
      <c r="CR71">
        <f t="shared" si="62"/>
        <v>1.5624753596565457</v>
      </c>
      <c r="CS71">
        <f t="shared" si="63"/>
        <v>0.29200214766653865</v>
      </c>
      <c r="CT71">
        <f t="shared" si="64"/>
        <v>123.35889105061688</v>
      </c>
      <c r="CU71" s="636">
        <f t="shared" si="65"/>
        <v>102.21814771298605</v>
      </c>
      <c r="CV71" s="575">
        <f t="shared" si="66"/>
        <v>1.5621410866054859</v>
      </c>
      <c r="CW71">
        <f t="shared" si="67"/>
        <v>-5.7300179726963663E-2</v>
      </c>
      <c r="CX71" s="576">
        <f t="shared" si="68"/>
        <v>0.33924624638738404</v>
      </c>
    </row>
    <row r="72" spans="1:102" x14ac:dyDescent="0.25">
      <c r="A72" s="186">
        <v>28</v>
      </c>
      <c r="B72" s="187">
        <f>A72/100*'Inputs-Imperial'!$E$5</f>
        <v>6.7427823680000003</v>
      </c>
      <c r="C72" s="188">
        <f>'Inputs-Imperial'!$E$10+('Inputs-Imperial'!$E$9-'Inputs-Imperial'!$E$10)*(100-A72)/100</f>
        <v>4.5869424040000002</v>
      </c>
      <c r="D72" s="187">
        <f t="shared" si="69"/>
        <v>0.24081365600000026</v>
      </c>
      <c r="E72" s="188">
        <f t="shared" si="70"/>
        <v>1.1067414379600176</v>
      </c>
      <c r="F72" s="423">
        <f>Sizing!F88</f>
        <v>643.29556193091526</v>
      </c>
      <c r="G72" s="423">
        <f>Sizing!G88</f>
        <v>6432.9556193091521</v>
      </c>
      <c r="H72" s="423">
        <f>Sizing!H88</f>
        <v>50386.393964270377</v>
      </c>
      <c r="I72" s="423">
        <f>Sizing!I88</f>
        <v>-14123.220344847368</v>
      </c>
      <c r="J72" s="189">
        <f>Sizing!J88</f>
        <v>5038.6393964270401</v>
      </c>
      <c r="K72" s="128">
        <v>28</v>
      </c>
      <c r="L72" s="12">
        <f t="shared" si="11"/>
        <v>80.913388416000004</v>
      </c>
      <c r="M72" s="11">
        <f t="shared" si="11"/>
        <v>55.043308848000002</v>
      </c>
      <c r="N72" s="11">
        <f t="shared" si="11"/>
        <v>2.8897638720000032</v>
      </c>
      <c r="O72" s="152">
        <f t="shared" si="71"/>
        <v>159.37076706624254</v>
      </c>
      <c r="P72" s="170">
        <f t="shared" si="0"/>
        <v>9.9077955926399994</v>
      </c>
      <c r="Q72" s="8">
        <f t="shared" si="1"/>
        <v>4.9538977963199997</v>
      </c>
      <c r="R72" s="170">
        <f>Sizing!X88</f>
        <v>13.760827212000001</v>
      </c>
      <c r="S72" s="8">
        <f>Sizing!Y88</f>
        <v>41.282481636</v>
      </c>
      <c r="T72" s="8">
        <f>Sizing!Z88</f>
        <v>27.521654423999998</v>
      </c>
      <c r="U72" s="17">
        <f>Sizing!CN88</f>
        <v>2.5</v>
      </c>
      <c r="V72" s="17">
        <f>Sizing!CO88</f>
        <v>2.3622047244094495E-2</v>
      </c>
      <c r="W72" s="17">
        <f>Sizing!CP88</f>
        <v>1.5748031496062995E-2</v>
      </c>
      <c r="X72" s="170">
        <f>Sizing!DU88</f>
        <v>2.271823534607841</v>
      </c>
      <c r="Y72" s="170">
        <f>Sizing!DV88</f>
        <v>1.5072569570606869</v>
      </c>
      <c r="Z72" s="170">
        <f>Sizing!DW88</f>
        <v>2.271823534607841</v>
      </c>
      <c r="AA72" s="272">
        <f>Sizing!DX88</f>
        <v>1.5072569570606869</v>
      </c>
      <c r="AB72" s="272">
        <f t="shared" si="12"/>
        <v>3.321798478098998</v>
      </c>
      <c r="AC72" s="216">
        <f>Sizing!GJ88</f>
        <v>0.5</v>
      </c>
      <c r="AD72" s="216">
        <f>Sizing!GK88</f>
        <v>5.5118110236220486E-2</v>
      </c>
      <c r="AE72" s="17">
        <f>Sizing!GL88</f>
        <v>5.5118110236220486E-2</v>
      </c>
      <c r="AF72" s="170">
        <f>Sizing!JC88</f>
        <v>3.485943317074526E-2</v>
      </c>
      <c r="AG72" s="272">
        <f>Sizing!JD88</f>
        <v>0.18670681072404741</v>
      </c>
      <c r="AH72" s="170">
        <f>Sizing!JC88</f>
        <v>3.485943317074526E-2</v>
      </c>
      <c r="AI72" s="272">
        <f>Sizing!JD88</f>
        <v>0.18670681072404741</v>
      </c>
      <c r="AJ72" s="216">
        <f>Sizing!IT88</f>
        <v>0.5</v>
      </c>
      <c r="AK72" s="216">
        <f>Sizing!IU88</f>
        <v>1.5748031496062995E-2</v>
      </c>
      <c r="AL72" s="17">
        <f>Sizing!IV88</f>
        <v>1.5748031496062995E-2</v>
      </c>
      <c r="AM72" s="170">
        <f t="shared" si="13"/>
        <v>0</v>
      </c>
      <c r="AN72" s="11">
        <f t="shared" si="14"/>
        <v>6.2670212383191588</v>
      </c>
      <c r="AO72" s="11">
        <f t="shared" si="15"/>
        <v>6.2670212383191588</v>
      </c>
      <c r="AP72" s="11">
        <f t="shared" si="16"/>
        <v>12.534042476638318</v>
      </c>
      <c r="AQ72" s="555">
        <f t="shared" si="17"/>
        <v>199970369.79993352</v>
      </c>
      <c r="AR72" s="311">
        <f t="shared" si="18"/>
        <v>14.176744477850233</v>
      </c>
      <c r="AS72" s="11">
        <f t="shared" si="19"/>
        <v>0.78599265721661993</v>
      </c>
      <c r="AT72" s="11">
        <f t="shared" si="20"/>
        <v>51.223914283041907</v>
      </c>
      <c r="AU72" s="11">
        <f t="shared" si="21"/>
        <v>52.009906940258524</v>
      </c>
      <c r="AV72" s="555">
        <f t="shared" si="22"/>
        <v>829775417.10813379</v>
      </c>
      <c r="AW72" s="138">
        <f t="shared" si="23"/>
        <v>3.9370078740157494E-2</v>
      </c>
      <c r="AX72" s="138">
        <f t="shared" si="24"/>
        <v>0.11023622047244097</v>
      </c>
      <c r="AY72" s="554">
        <f t="shared" si="25"/>
        <v>3.1496062992125991E-2</v>
      </c>
      <c r="AZ72" s="12">
        <f t="shared" si="26"/>
        <v>1284.9691679706018</v>
      </c>
      <c r="BA72" s="11">
        <f t="shared" si="27"/>
        <v>176.29421314419398</v>
      </c>
      <c r="BB72">
        <f t="shared" si="28"/>
        <v>1474.9375496120331</v>
      </c>
      <c r="BC72" s="555">
        <f t="shared" si="29"/>
        <v>5561971800.3363819</v>
      </c>
      <c r="BD72">
        <f t="shared" si="30"/>
        <v>28</v>
      </c>
      <c r="BE72" s="207">
        <f t="shared" si="31"/>
        <v>4.5869424040000002</v>
      </c>
      <c r="BF72" s="207">
        <f>'Inputs-Imperial'!$E$15*BE72</f>
        <v>3.4402068030000001</v>
      </c>
      <c r="BG72" s="207">
        <f>'Inputs-Imperial'!$E$12*BE72</f>
        <v>1.146735601</v>
      </c>
      <c r="BH72">
        <f>'Inputs-Imperial'!$E$11*BE72</f>
        <v>0.82564963272000003</v>
      </c>
      <c r="BI72">
        <f t="shared" si="32"/>
        <v>0.87573368127074158</v>
      </c>
      <c r="BJ72">
        <f>'Weight '!U74+'Weight '!V74 /12</f>
        <v>2.4934383202099744E-2</v>
      </c>
      <c r="BK72">
        <f>('Weight '!AK74+'Weight '!AL74)/12</f>
        <v>9.186351706036747E-3</v>
      </c>
      <c r="BL72">
        <f>'Weight '!AG74/12</f>
        <v>0.1256047464217239</v>
      </c>
      <c r="BM72">
        <f>'Weight '!AI74/12</f>
        <v>0.1256047464217239</v>
      </c>
      <c r="BN72" s="554">
        <f t="shared" si="33"/>
        <v>2.5636765728648712</v>
      </c>
      <c r="BO72" s="554">
        <f t="shared" si="34"/>
        <v>4.8287353916558775</v>
      </c>
      <c r="BP72">
        <f t="shared" si="35"/>
        <v>0.1256047464217239</v>
      </c>
      <c r="BQ72">
        <f t="shared" si="35"/>
        <v>0.1256047464217239</v>
      </c>
      <c r="BR72">
        <f t="shared" si="36"/>
        <v>0.57444013987655218</v>
      </c>
      <c r="BS72">
        <f t="shared" si="37"/>
        <v>0.7101013708444488</v>
      </c>
      <c r="BT72">
        <f t="shared" si="38"/>
        <v>1.6560715778213027</v>
      </c>
      <c r="BU72">
        <f t="shared" si="39"/>
        <v>1.7502319317735435</v>
      </c>
      <c r="BV72">
        <f t="shared" si="40"/>
        <v>147.52194674449126</v>
      </c>
      <c r="BW72" s="207">
        <f t="shared" si="41"/>
        <v>88.426946139061187</v>
      </c>
      <c r="BX72">
        <f t="shared" si="42"/>
        <v>1.6367317702969413</v>
      </c>
      <c r="BY72" s="575">
        <f t="shared" si="43"/>
        <v>-56.224766535128822</v>
      </c>
      <c r="BZ72">
        <f t="shared" si="44"/>
        <v>166.2635355895342</v>
      </c>
      <c r="CA72" s="207">
        <f t="shared" si="45"/>
        <v>77.192946697395556</v>
      </c>
      <c r="CB72">
        <f t="shared" si="46"/>
        <v>1.7005572405194831</v>
      </c>
      <c r="CC72">
        <f t="shared" si="47"/>
        <v>163.73439781077167</v>
      </c>
      <c r="CD72">
        <f t="shared" si="48"/>
        <v>111.68540298594365</v>
      </c>
      <c r="CE72" s="207">
        <f t="shared" si="49"/>
        <v>109.90792706887346</v>
      </c>
      <c r="CF72">
        <f t="shared" si="50"/>
        <v>1.5146885286352307</v>
      </c>
      <c r="CG72">
        <f t="shared" si="51"/>
        <v>-42.486527520375454</v>
      </c>
      <c r="CH72">
        <f t="shared" si="52"/>
        <v>125.8475788260688</v>
      </c>
      <c r="CI72" s="207">
        <f t="shared" ref="CI72" si="150" xml:space="preserve"> ($BQ$38-CH72*($BP72+$BR72+$BQ72+$BN72))/($BP72+$BR72+$BQ72+$BO72)</f>
        <v>101.41889890823184</v>
      </c>
      <c r="CJ72">
        <f t="shared" si="54"/>
        <v>1.5629185661119833</v>
      </c>
      <c r="CK72">
        <f t="shared" si="55"/>
        <v>7.1260663218501605</v>
      </c>
      <c r="CL72">
        <f t="shared" si="56"/>
        <v>123.47222338545208</v>
      </c>
      <c r="CM72" s="207">
        <f t="shared" ref="CM72" si="151" xml:space="preserve"> ($BQ$38-CL72*($BP72+$BR72+$BQ72+$BN72))/($BP72+$BR72+$BQ72+$BO72)</f>
        <v>102.84272385254565</v>
      </c>
      <c r="CN72">
        <f t="shared" si="58"/>
        <v>1.5548291677585917</v>
      </c>
      <c r="CO72">
        <f t="shared" si="59"/>
        <v>-1.385918308096052</v>
      </c>
      <c r="CP72">
        <f t="shared" si="60"/>
        <v>123.93419615481743</v>
      </c>
      <c r="CQ72" s="207">
        <f t="shared" ref="CQ72" si="152" xml:space="preserve"> ($BQ$38-CP72*($BP72+$BR72+$BQ72+$BN72))/($BP72+$BR72+$BQ72+$BO72)</f>
        <v>102.56581019938504</v>
      </c>
      <c r="CR72">
        <f t="shared" si="62"/>
        <v>1.5564024404132497</v>
      </c>
      <c r="CS72">
        <f t="shared" si="63"/>
        <v>0.26352080755631135</v>
      </c>
      <c r="CT72">
        <f t="shared" si="64"/>
        <v>123.84635588563199</v>
      </c>
      <c r="CU72" s="636">
        <f t="shared" si="65"/>
        <v>102.6184630210398</v>
      </c>
      <c r="CV72" s="575">
        <f t="shared" si="66"/>
        <v>1.5561032957392529</v>
      </c>
      <c r="CW72">
        <f t="shared" si="67"/>
        <v>-5.033012325064945E-2</v>
      </c>
      <c r="CX72" s="576">
        <f t="shared" si="68"/>
        <v>0.33924631239805136</v>
      </c>
    </row>
    <row r="73" spans="1:102" x14ac:dyDescent="0.25">
      <c r="A73" s="186">
        <v>29</v>
      </c>
      <c r="B73" s="187">
        <f>A73/100*'Inputs-Imperial'!$E$5</f>
        <v>6.9835960239999988</v>
      </c>
      <c r="C73" s="188">
        <f>'Inputs-Imperial'!$E$10+('Inputs-Imperial'!$E$9-'Inputs-Imperial'!$E$10)*(100-A73)/100</f>
        <v>4.5691438470000003</v>
      </c>
      <c r="D73" s="187">
        <f t="shared" si="69"/>
        <v>0.24081365599999849</v>
      </c>
      <c r="E73" s="188">
        <f t="shared" si="70"/>
        <v>1.1024553023773151</v>
      </c>
      <c r="F73" s="423">
        <f>Sizing!F89</f>
        <v>632.07307910849147</v>
      </c>
      <c r="G73" s="423">
        <f>Sizing!G89</f>
        <v>6320.730791084914</v>
      </c>
      <c r="H73" s="423">
        <f>Sizing!H89</f>
        <v>48837.250402698803</v>
      </c>
      <c r="I73" s="423">
        <f>Sizing!I89</f>
        <v>-13824.437464716792</v>
      </c>
      <c r="J73" s="189">
        <f>Sizing!J89</f>
        <v>4883.7250402698828</v>
      </c>
      <c r="K73" s="128">
        <v>29</v>
      </c>
      <c r="L73" s="12">
        <f t="shared" si="11"/>
        <v>83.803152287999978</v>
      </c>
      <c r="M73" s="11">
        <f t="shared" si="11"/>
        <v>54.829726164000007</v>
      </c>
      <c r="N73" s="11">
        <f t="shared" si="11"/>
        <v>2.8897638719999819</v>
      </c>
      <c r="O73" s="152">
        <f t="shared" si="71"/>
        <v>158.75356354233338</v>
      </c>
      <c r="P73" s="170">
        <f t="shared" si="0"/>
        <v>9.8693507095200008</v>
      </c>
      <c r="Q73" s="8">
        <f t="shared" si="1"/>
        <v>4.9346753547600004</v>
      </c>
      <c r="R73" s="170">
        <f>Sizing!X89</f>
        <v>13.707431541000002</v>
      </c>
      <c r="S73" s="8">
        <f>Sizing!Y89</f>
        <v>41.122294623000002</v>
      </c>
      <c r="T73" s="8">
        <f>Sizing!Z89</f>
        <v>27.414863082</v>
      </c>
      <c r="U73" s="17">
        <f>Sizing!CN89</f>
        <v>2.5</v>
      </c>
      <c r="V73" s="17">
        <f>Sizing!CO89</f>
        <v>2.3622047244094495E-2</v>
      </c>
      <c r="W73" s="17">
        <f>Sizing!CP89</f>
        <v>1.5748031496062995E-2</v>
      </c>
      <c r="X73" s="170">
        <f>Sizing!DU89</f>
        <v>2.271823534607841</v>
      </c>
      <c r="Y73" s="170">
        <f>Sizing!DV89</f>
        <v>1.5072569570606869</v>
      </c>
      <c r="Z73" s="170">
        <f>Sizing!DW89</f>
        <v>2.271823534607841</v>
      </c>
      <c r="AA73" s="272">
        <f>Sizing!DX89</f>
        <v>1.5072569570606869</v>
      </c>
      <c r="AB73" s="272">
        <f t="shared" si="12"/>
        <v>3.2833535949789994</v>
      </c>
      <c r="AC73" s="216">
        <f>Sizing!GJ89</f>
        <v>0.5</v>
      </c>
      <c r="AD73" s="216">
        <f>Sizing!GK89</f>
        <v>5.5118110236220486E-2</v>
      </c>
      <c r="AE73" s="17">
        <f>Sizing!GL89</f>
        <v>5.5118110236220486E-2</v>
      </c>
      <c r="AF73" s="170">
        <f>Sizing!JC89</f>
        <v>3.485943317074526E-2</v>
      </c>
      <c r="AG73" s="272">
        <f>Sizing!JD89</f>
        <v>0.18670681072404741</v>
      </c>
      <c r="AH73" s="170">
        <f>Sizing!JC89</f>
        <v>3.485943317074526E-2</v>
      </c>
      <c r="AI73" s="272">
        <f>Sizing!JD89</f>
        <v>0.18670681072404741</v>
      </c>
      <c r="AJ73" s="216">
        <f>Sizing!IT89</f>
        <v>0.5</v>
      </c>
      <c r="AK73" s="216">
        <f>Sizing!IU89</f>
        <v>1.5748031496062995E-2</v>
      </c>
      <c r="AL73" s="17">
        <f>Sizing!IV89</f>
        <v>1.5748031496062995E-2</v>
      </c>
      <c r="AM73" s="170">
        <f t="shared" si="13"/>
        <v>0</v>
      </c>
      <c r="AN73" s="11">
        <f t="shared" si="14"/>
        <v>6.1227977588915703</v>
      </c>
      <c r="AO73" s="11">
        <f t="shared" si="15"/>
        <v>6.1227977588915703</v>
      </c>
      <c r="AP73" s="11">
        <f t="shared" si="16"/>
        <v>12.245595517783141</v>
      </c>
      <c r="AQ73" s="555">
        <f t="shared" si="17"/>
        <v>195368435.09790543</v>
      </c>
      <c r="AR73" s="311">
        <f t="shared" si="18"/>
        <v>14.121734937193388</v>
      </c>
      <c r="AS73" s="11">
        <f t="shared" si="19"/>
        <v>0.77990477020080518</v>
      </c>
      <c r="AT73" s="11">
        <f t="shared" si="20"/>
        <v>50.827160700422901</v>
      </c>
      <c r="AU73" s="11">
        <f t="shared" si="21"/>
        <v>51.607065470623709</v>
      </c>
      <c r="AV73" s="555">
        <f t="shared" si="22"/>
        <v>823348411.79011536</v>
      </c>
      <c r="AW73" s="138">
        <f t="shared" si="23"/>
        <v>3.9370078740157494E-2</v>
      </c>
      <c r="AX73" s="138">
        <f t="shared" si="24"/>
        <v>0.11023622047244097</v>
      </c>
      <c r="AY73" s="554">
        <f t="shared" si="25"/>
        <v>3.1496062992125991E-2</v>
      </c>
      <c r="AZ73" s="12">
        <f t="shared" si="26"/>
        <v>1275.0164705228772</v>
      </c>
      <c r="BA73" s="11">
        <f t="shared" si="27"/>
        <v>175.61014468964339</v>
      </c>
      <c r="BB73">
        <f t="shared" si="28"/>
        <v>1457.8346350663617</v>
      </c>
      <c r="BC73" s="555">
        <f t="shared" si="29"/>
        <v>5497476914.8196297</v>
      </c>
      <c r="BD73">
        <f t="shared" si="30"/>
        <v>29</v>
      </c>
      <c r="BE73" s="207">
        <f t="shared" si="31"/>
        <v>4.5691438470000003</v>
      </c>
      <c r="BF73" s="207">
        <f>'Inputs-Imperial'!$E$15*BE73</f>
        <v>3.4268578852500005</v>
      </c>
      <c r="BG73" s="207">
        <f>'Inputs-Imperial'!$E$12*BE73</f>
        <v>1.1422859617500001</v>
      </c>
      <c r="BH73">
        <f>'Inputs-Imperial'!$E$11*BE73</f>
        <v>0.82244589245999999</v>
      </c>
      <c r="BI73">
        <f t="shared" si="32"/>
        <v>0.87233560157623202</v>
      </c>
      <c r="BJ73">
        <f>'Weight '!U75+'Weight '!V75 /12</f>
        <v>2.4934383202099744E-2</v>
      </c>
      <c r="BK73">
        <f>('Weight '!AK75+'Weight '!AL75)/12</f>
        <v>9.186351706036747E-3</v>
      </c>
      <c r="BL73">
        <f>'Weight '!AG75/12</f>
        <v>0.1256047464217239</v>
      </c>
      <c r="BM73">
        <f>'Weight '!AI75/12</f>
        <v>0.1256047464217239</v>
      </c>
      <c r="BN73" s="554">
        <f t="shared" si="33"/>
        <v>2.5513307709773176</v>
      </c>
      <c r="BO73" s="554">
        <f t="shared" si="34"/>
        <v>4.8123966681822079</v>
      </c>
      <c r="BP73">
        <f t="shared" si="35"/>
        <v>0.1256047464217239</v>
      </c>
      <c r="BQ73">
        <f t="shared" si="35"/>
        <v>0.1256047464217239</v>
      </c>
      <c r="BR73">
        <f t="shared" si="36"/>
        <v>0.57123639961655215</v>
      </c>
      <c r="BS73">
        <f t="shared" si="37"/>
        <v>0.7046012979420061</v>
      </c>
      <c r="BT73">
        <f t="shared" si="38"/>
        <v>1.643244515681078</v>
      </c>
      <c r="BU73">
        <f t="shared" si="39"/>
        <v>1.7232241746318031</v>
      </c>
      <c r="BV73">
        <f t="shared" si="40"/>
        <v>148.2018668925711</v>
      </c>
      <c r="BW73" s="207">
        <f t="shared" si="41"/>
        <v>88.733623809183143</v>
      </c>
      <c r="BX73">
        <f t="shared" si="42"/>
        <v>1.630653316802972</v>
      </c>
      <c r="BY73" s="575">
        <f t="shared" si="43"/>
        <v>-56.072679983041766</v>
      </c>
      <c r="BZ73">
        <f t="shared" si="44"/>
        <v>166.89276022025169</v>
      </c>
      <c r="CA73" s="207">
        <f t="shared" si="45"/>
        <v>77.542734436661249</v>
      </c>
      <c r="CB73">
        <f t="shared" si="46"/>
        <v>1.6937713073737113</v>
      </c>
      <c r="CC73">
        <f t="shared" si="47"/>
        <v>163.54403287801213</v>
      </c>
      <c r="CD73">
        <f t="shared" si="48"/>
        <v>112.37808259424764</v>
      </c>
      <c r="CE73" s="207">
        <f t="shared" si="49"/>
        <v>110.1825722333821</v>
      </c>
      <c r="CF73">
        <f t="shared" si="50"/>
        <v>1.5096786132450033</v>
      </c>
      <c r="CG73">
        <f t="shared" si="51"/>
        <v>-41.614308247185285</v>
      </c>
      <c r="CH73">
        <f t="shared" si="52"/>
        <v>126.24951867664274</v>
      </c>
      <c r="CI73" s="207">
        <f t="shared" ref="CI73" si="153" xml:space="preserve"> ($BQ$38-CH73*($BP73+$BR73+$BQ73+$BN73))/($BP73+$BR73+$BQ73+$BO73)</f>
        <v>101.8772599128524</v>
      </c>
      <c r="CJ73">
        <f t="shared" si="54"/>
        <v>1.5565215948244113</v>
      </c>
      <c r="CK73">
        <f t="shared" si="55"/>
        <v>6.7811941300543452</v>
      </c>
      <c r="CL73">
        <f t="shared" si="56"/>
        <v>123.98912063329129</v>
      </c>
      <c r="CM73" s="207">
        <f t="shared" ref="CM73" si="154" xml:space="preserve"> ($BQ$38-CL73*($BP73+$BR73+$BQ73+$BN73))/($BP73+$BR73+$BQ73+$BO73)</f>
        <v>103.23063901558091</v>
      </c>
      <c r="CN73">
        <f t="shared" si="58"/>
        <v>1.5488883704575973</v>
      </c>
      <c r="CO73">
        <f t="shared" si="59"/>
        <v>-1.2822781378097652</v>
      </c>
      <c r="CP73">
        <f t="shared" si="60"/>
        <v>124.41654667922788</v>
      </c>
      <c r="CQ73" s="207">
        <f t="shared" ref="CQ73" si="155" xml:space="preserve"> ($BQ$38-CP73*($BP73+$BR73+$BQ73+$BN73))/($BP73+$BR73+$BQ73+$BO73)</f>
        <v>102.97472414243106</v>
      </c>
      <c r="CR73">
        <f t="shared" si="62"/>
        <v>1.550331761774649</v>
      </c>
      <c r="CS73">
        <f t="shared" si="63"/>
        <v>0.23717876782659175</v>
      </c>
      <c r="CT73">
        <f t="shared" si="64"/>
        <v>124.33748708995235</v>
      </c>
      <c r="CU73" s="636">
        <f t="shared" si="65"/>
        <v>103.02205987443213</v>
      </c>
      <c r="CV73" s="575">
        <f t="shared" si="66"/>
        <v>1.5500647824321994</v>
      </c>
      <c r="CW73">
        <f t="shared" si="67"/>
        <v>-4.4056189545493396E-2</v>
      </c>
      <c r="CX73" s="576">
        <f t="shared" si="68"/>
        <v>0.33924622081004036</v>
      </c>
    </row>
    <row r="74" spans="1:102" x14ac:dyDescent="0.25">
      <c r="A74" s="186">
        <v>30</v>
      </c>
      <c r="B74" s="187">
        <f>A74/100*'Inputs-Imperial'!$E$5</f>
        <v>7.2244096799999991</v>
      </c>
      <c r="C74" s="188">
        <f>'Inputs-Imperial'!$E$10+('Inputs-Imperial'!$E$9-'Inputs-Imperial'!$E$10)*(100-A74)/100</f>
        <v>4.5513452900000004</v>
      </c>
      <c r="D74" s="187">
        <f t="shared" si="69"/>
        <v>0.24081365600000026</v>
      </c>
      <c r="E74" s="188">
        <f t="shared" si="70"/>
        <v>1.0981691667946287</v>
      </c>
      <c r="F74" s="423">
        <f>Sizing!F90</f>
        <v>620.88992423413617</v>
      </c>
      <c r="G74" s="423">
        <f>Sizing!G90</f>
        <v>6208.8992423413611</v>
      </c>
      <c r="H74" s="423">
        <f>Sizing!H90</f>
        <v>47315.132112305873</v>
      </c>
      <c r="I74" s="423">
        <f>Sizing!I90</f>
        <v>-13527.756204454248</v>
      </c>
      <c r="J74" s="189">
        <f>Sizing!J90</f>
        <v>4731.5132112305891</v>
      </c>
      <c r="K74" s="128">
        <v>30</v>
      </c>
      <c r="L74" s="12">
        <f t="shared" si="11"/>
        <v>86.692916159999982</v>
      </c>
      <c r="M74" s="11">
        <f t="shared" si="11"/>
        <v>54.616143480000005</v>
      </c>
      <c r="N74" s="11">
        <f t="shared" si="11"/>
        <v>2.8897638720000032</v>
      </c>
      <c r="O74" s="152">
        <f t="shared" si="71"/>
        <v>158.13636001842653</v>
      </c>
      <c r="P74" s="170">
        <f t="shared" si="0"/>
        <v>9.8309058264000004</v>
      </c>
      <c r="Q74" s="8">
        <f t="shared" si="1"/>
        <v>4.9154529132000002</v>
      </c>
      <c r="R74" s="170">
        <f>Sizing!X90</f>
        <v>13.654035870000001</v>
      </c>
      <c r="S74" s="8">
        <f>Sizing!Y90</f>
        <v>40.962107610000004</v>
      </c>
      <c r="T74" s="8">
        <f>Sizing!Z90</f>
        <v>27.308071740000003</v>
      </c>
      <c r="U74" s="17">
        <f>Sizing!CN90</f>
        <v>2.5</v>
      </c>
      <c r="V74" s="17">
        <f>Sizing!CO90</f>
        <v>2.3622047244094495E-2</v>
      </c>
      <c r="W74" s="17">
        <f>Sizing!CP90</f>
        <v>1.5748031496062995E-2</v>
      </c>
      <c r="X74" s="170">
        <f>Sizing!DU90</f>
        <v>1.7233950944186762</v>
      </c>
      <c r="Y74" s="170">
        <f>Sizing!DV90</f>
        <v>1.3127814343669995</v>
      </c>
      <c r="Z74" s="170">
        <f>Sizing!DW90</f>
        <v>1.7233950944186762</v>
      </c>
      <c r="AA74" s="272">
        <f>Sizing!DX90</f>
        <v>1.3127814343669995</v>
      </c>
      <c r="AB74" s="272">
        <f t="shared" si="12"/>
        <v>3.4393842345526857</v>
      </c>
      <c r="AC74" s="216">
        <f>Sizing!GJ90</f>
        <v>0.5</v>
      </c>
      <c r="AD74" s="216">
        <f>Sizing!GK90</f>
        <v>5.5118110236220486E-2</v>
      </c>
      <c r="AE74" s="17">
        <f>Sizing!GL90</f>
        <v>5.5118110236220486E-2</v>
      </c>
      <c r="AF74" s="170">
        <f>Sizing!JC90</f>
        <v>2.6878791448952534E-2</v>
      </c>
      <c r="AG74" s="272">
        <f>Sizing!JD90</f>
        <v>0.16394752651062636</v>
      </c>
      <c r="AH74" s="170">
        <f>Sizing!JC90</f>
        <v>2.6878791448952534E-2</v>
      </c>
      <c r="AI74" s="272">
        <f>Sizing!JD90</f>
        <v>0.16394752651062636</v>
      </c>
      <c r="AJ74" s="216">
        <f>Sizing!IT90</f>
        <v>0.5</v>
      </c>
      <c r="AK74" s="216">
        <f>Sizing!IU90</f>
        <v>1.5748031496062995E-2</v>
      </c>
      <c r="AL74" s="17">
        <f>Sizing!IV90</f>
        <v>1.5748031496062995E-2</v>
      </c>
      <c r="AM74" s="170">
        <f t="shared" si="13"/>
        <v>0</v>
      </c>
      <c r="AN74" s="11">
        <f t="shared" si="14"/>
        <v>5.0966669343917976</v>
      </c>
      <c r="AO74" s="11">
        <f t="shared" si="15"/>
        <v>5.0966669343917976</v>
      </c>
      <c r="AP74" s="11">
        <f t="shared" si="16"/>
        <v>10.193333868783595</v>
      </c>
      <c r="AQ74" s="555">
        <f t="shared" si="17"/>
        <v>162626283.34266987</v>
      </c>
      <c r="AR74" s="311">
        <f t="shared" si="18"/>
        <v>14.073403359339329</v>
      </c>
      <c r="AS74" s="11">
        <f t="shared" si="19"/>
        <v>0.60618385777413508</v>
      </c>
      <c r="AT74" s="11">
        <f t="shared" si="20"/>
        <v>38.866862328530743</v>
      </c>
      <c r="AU74" s="11">
        <f t="shared" si="21"/>
        <v>39.473046186304877</v>
      </c>
      <c r="AV74" s="555">
        <f t="shared" si="22"/>
        <v>629760084.00462151</v>
      </c>
      <c r="AW74" s="138">
        <f t="shared" si="23"/>
        <v>3.9370078740157494E-2</v>
      </c>
      <c r="AX74" s="138">
        <f t="shared" si="24"/>
        <v>0.11023622047244097</v>
      </c>
      <c r="AY74" s="554">
        <f t="shared" si="25"/>
        <v>3.1496062992125991E-2</v>
      </c>
      <c r="AZ74" s="12">
        <f t="shared" si="26"/>
        <v>1265.1024672612864</v>
      </c>
      <c r="BA74" s="11">
        <f t="shared" si="27"/>
        <v>174.92607623509272</v>
      </c>
      <c r="BB74">
        <f t="shared" si="28"/>
        <v>1440.8644475701662</v>
      </c>
      <c r="BC74" s="555">
        <f t="shared" si="29"/>
        <v>5433482541.4137268</v>
      </c>
      <c r="BD74">
        <f t="shared" si="30"/>
        <v>30</v>
      </c>
      <c r="BE74" s="207">
        <f t="shared" si="31"/>
        <v>4.5513452900000004</v>
      </c>
      <c r="BF74" s="207">
        <f>'Inputs-Imperial'!$E$15*BE74</f>
        <v>3.4135089675000003</v>
      </c>
      <c r="BG74" s="207">
        <f>'Inputs-Imperial'!$E$12*BE74</f>
        <v>1.1378363225000001</v>
      </c>
      <c r="BH74">
        <f>'Inputs-Imperial'!$E$11*BE74</f>
        <v>0.81924215220000007</v>
      </c>
      <c r="BI74">
        <f t="shared" si="32"/>
        <v>0.86893752188172257</v>
      </c>
      <c r="BJ74">
        <f>'Weight '!U76+'Weight '!V76 /12</f>
        <v>2.4934383202099744E-2</v>
      </c>
      <c r="BK74">
        <f>('Weight '!AK76+'Weight '!AL76)/12</f>
        <v>9.186351706036747E-3</v>
      </c>
      <c r="BL74">
        <f>'Weight '!AG76/12</f>
        <v>0.10939845286391663</v>
      </c>
      <c r="BM74">
        <f>'Weight '!AI76/12</f>
        <v>0.10939845286391663</v>
      </c>
      <c r="BN74" s="554">
        <f t="shared" si="33"/>
        <v>2.5389824084425938</v>
      </c>
      <c r="BO74" s="554">
        <f t="shared" si="34"/>
        <v>4.7960605053557099</v>
      </c>
      <c r="BP74">
        <f t="shared" si="35"/>
        <v>0.10939845286391663</v>
      </c>
      <c r="BQ74">
        <f t="shared" si="35"/>
        <v>0.10939845286391663</v>
      </c>
      <c r="BR74">
        <f t="shared" si="36"/>
        <v>0.6004452464721669</v>
      </c>
      <c r="BS74">
        <f t="shared" si="37"/>
        <v>0.69912260827217509</v>
      </c>
      <c r="BT74">
        <f t="shared" si="38"/>
        <v>1.6304673227077411</v>
      </c>
      <c r="BU74">
        <f t="shared" si="39"/>
        <v>1.6965301966159116</v>
      </c>
      <c r="BV74">
        <f t="shared" si="40"/>
        <v>148.88819701334248</v>
      </c>
      <c r="BW74" s="207">
        <f t="shared" si="41"/>
        <v>89.042395484635449</v>
      </c>
      <c r="BX74">
        <f t="shared" si="42"/>
        <v>1.6245752606771842</v>
      </c>
      <c r="BY74" s="575">
        <f t="shared" si="43"/>
        <v>-55.919187339168971</v>
      </c>
      <c r="BZ74">
        <f t="shared" si="44"/>
        <v>167.5279261263988</v>
      </c>
      <c r="CA74" s="207">
        <f t="shared" si="45"/>
        <v>77.894929367744396</v>
      </c>
      <c r="CB74">
        <f t="shared" si="46"/>
        <v>1.6869893312163629</v>
      </c>
      <c r="CC74">
        <f t="shared" si="47"/>
        <v>163.35703565047186</v>
      </c>
      <c r="CD74">
        <f t="shared" si="48"/>
        <v>113.07558090957485</v>
      </c>
      <c r="CE74" s="207">
        <f t="shared" si="49"/>
        <v>110.46008466630602</v>
      </c>
      <c r="CF74">
        <f t="shared" si="50"/>
        <v>1.504658756840902</v>
      </c>
      <c r="CG74">
        <f t="shared" si="51"/>
        <v>-40.744172394255529</v>
      </c>
      <c r="CH74">
        <f t="shared" si="52"/>
        <v>126.65697170766003</v>
      </c>
      <c r="CI74" s="207">
        <f t="shared" ref="CI74" si="156" xml:space="preserve"> ($BQ$38-CH74*($BP74+$BR74+$BQ74+$BN74))/($BP74+$BR74+$BQ74+$BO74)</f>
        <v>102.33775129849636</v>
      </c>
      <c r="CJ74">
        <f t="shared" si="54"/>
        <v>1.5501352698390489</v>
      </c>
      <c r="CK74">
        <f t="shared" si="55"/>
        <v>6.4449898369922991</v>
      </c>
      <c r="CL74">
        <f t="shared" si="56"/>
        <v>124.50864176199593</v>
      </c>
      <c r="CM74" s="207">
        <f t="shared" ref="CM74" si="157" xml:space="preserve"> ($BQ$38-CL74*($BP74+$BR74+$BQ74+$BN74))/($BP74+$BR74+$BQ74+$BO74)</f>
        <v>103.62255727029657</v>
      </c>
      <c r="CN74">
        <f t="shared" si="58"/>
        <v>1.542941709462885</v>
      </c>
      <c r="CO74">
        <f t="shared" si="59"/>
        <v>-1.183969443740418</v>
      </c>
      <c r="CP74">
        <f t="shared" si="60"/>
        <v>124.90329824324274</v>
      </c>
      <c r="CQ74" s="207">
        <f t="shared" ref="CQ74" si="158" xml:space="preserve"> ($BQ$38-CP74*($BP74+$BR74+$BQ74+$BN74))/($BP74+$BR74+$BQ74+$BO74)</f>
        <v>103.38653346727742</v>
      </c>
      <c r="CR74">
        <f t="shared" si="62"/>
        <v>1.5442631941963745</v>
      </c>
      <c r="CS74">
        <f t="shared" si="63"/>
        <v>0.21286483921198673</v>
      </c>
      <c r="CT74">
        <f t="shared" si="64"/>
        <v>124.83234329683874</v>
      </c>
      <c r="CU74" s="636">
        <f t="shared" si="65"/>
        <v>103.42896798207467</v>
      </c>
      <c r="CV74" s="575">
        <f t="shared" si="66"/>
        <v>1.5440256056025112</v>
      </c>
      <c r="CW74">
        <f t="shared" si="67"/>
        <v>-3.8424600369490136E-2</v>
      </c>
      <c r="CX74" s="576">
        <f t="shared" si="68"/>
        <v>0.33924598271965234</v>
      </c>
    </row>
    <row r="75" spans="1:102" x14ac:dyDescent="0.25">
      <c r="A75" s="186">
        <v>31</v>
      </c>
      <c r="B75" s="187">
        <f>A75/100*'Inputs-Imperial'!$E$5</f>
        <v>7.4652233359999993</v>
      </c>
      <c r="C75" s="188">
        <f>'Inputs-Imperial'!$E$10+('Inputs-Imperial'!$E$9-'Inputs-Imperial'!$E$10)*(100-A75)/100</f>
        <v>4.5335467330000006</v>
      </c>
      <c r="D75" s="187">
        <f t="shared" si="69"/>
        <v>0.24081365600000026</v>
      </c>
      <c r="E75" s="188">
        <f t="shared" si="70"/>
        <v>1.0938830312119345</v>
      </c>
      <c r="F75" s="423">
        <f>Sizing!F91</f>
        <v>609.74680596549661</v>
      </c>
      <c r="G75" s="423">
        <f>Sizing!G91</f>
        <v>6097.4680596549661</v>
      </c>
      <c r="H75" s="423">
        <f>Sizing!H91</f>
        <v>45819.94438602202</v>
      </c>
      <c r="I75" s="423">
        <f>Sizing!I91</f>
        <v>-13233.20673734266</v>
      </c>
      <c r="J75" s="189">
        <f>Sizing!J91</f>
        <v>4581.9944386022034</v>
      </c>
      <c r="K75" s="128">
        <v>31</v>
      </c>
      <c r="L75" s="12">
        <f t="shared" si="11"/>
        <v>89.582680031999985</v>
      </c>
      <c r="M75" s="11">
        <f t="shared" si="11"/>
        <v>54.402560796000003</v>
      </c>
      <c r="N75" s="11">
        <f t="shared" si="11"/>
        <v>2.8897638720000032</v>
      </c>
      <c r="O75" s="152">
        <f t="shared" si="71"/>
        <v>157.5191564945186</v>
      </c>
      <c r="P75" s="170">
        <f t="shared" si="0"/>
        <v>9.7924609432800001</v>
      </c>
      <c r="Q75" s="8">
        <f t="shared" si="1"/>
        <v>4.89623047164</v>
      </c>
      <c r="R75" s="170">
        <f>Sizing!X91</f>
        <v>13.600640199000001</v>
      </c>
      <c r="S75" s="8">
        <f>Sizing!Y91</f>
        <v>40.801920597000006</v>
      </c>
      <c r="T75" s="8">
        <f>Sizing!Z91</f>
        <v>27.201280398000005</v>
      </c>
      <c r="U75" s="17">
        <f>Sizing!CN91</f>
        <v>2.5</v>
      </c>
      <c r="V75" s="17">
        <f>Sizing!CO91</f>
        <v>2.3622047244094495E-2</v>
      </c>
      <c r="W75" s="17">
        <f>Sizing!CP91</f>
        <v>1.5748031496062995E-2</v>
      </c>
      <c r="X75" s="170">
        <f>Sizing!DU91</f>
        <v>1.7233950944186762</v>
      </c>
      <c r="Y75" s="170">
        <f>Sizing!DV91</f>
        <v>1.3127814343669995</v>
      </c>
      <c r="Z75" s="170">
        <f>Sizing!DW91</f>
        <v>1.7233950944186762</v>
      </c>
      <c r="AA75" s="272">
        <f>Sizing!DX91</f>
        <v>1.3127814343669995</v>
      </c>
      <c r="AB75" s="272">
        <f t="shared" si="12"/>
        <v>3.4009393514326853</v>
      </c>
      <c r="AC75" s="216">
        <f>Sizing!GJ91</f>
        <v>0.5</v>
      </c>
      <c r="AD75" s="216">
        <f>Sizing!GK91</f>
        <v>5.5118110236220486E-2</v>
      </c>
      <c r="AE75" s="17">
        <f>Sizing!GL91</f>
        <v>5.5118110236220486E-2</v>
      </c>
      <c r="AF75" s="170">
        <f>Sizing!JC91</f>
        <v>2.6878791448952534E-2</v>
      </c>
      <c r="AG75" s="272">
        <f>Sizing!JD91</f>
        <v>0.16394752651062636</v>
      </c>
      <c r="AH75" s="170">
        <f>Sizing!JC91</f>
        <v>2.6878791448952534E-2</v>
      </c>
      <c r="AI75" s="272">
        <f>Sizing!JD91</f>
        <v>0.16394752651062636</v>
      </c>
      <c r="AJ75" s="216">
        <f>Sizing!IT91</f>
        <v>0.5</v>
      </c>
      <c r="AK75" s="216">
        <f>Sizing!IU91</f>
        <v>1.5748031496062995E-2</v>
      </c>
      <c r="AL75" s="17">
        <f>Sizing!IV91</f>
        <v>1.5748031496062995E-2</v>
      </c>
      <c r="AM75" s="170">
        <f t="shared" si="13"/>
        <v>0</v>
      </c>
      <c r="AN75" s="11">
        <f t="shared" si="14"/>
        <v>4.9833642882495379</v>
      </c>
      <c r="AO75" s="11">
        <f t="shared" si="15"/>
        <v>4.9833642882495379</v>
      </c>
      <c r="AP75" s="11">
        <f t="shared" si="16"/>
        <v>9.9667285764990758</v>
      </c>
      <c r="AQ75" s="555">
        <f t="shared" si="17"/>
        <v>159010981.72061002</v>
      </c>
      <c r="AR75" s="311">
        <f t="shared" si="18"/>
        <v>14.018367703744145</v>
      </c>
      <c r="AS75" s="11">
        <f t="shared" si="19"/>
        <v>0.60145202528863162</v>
      </c>
      <c r="AT75" s="11">
        <f t="shared" si="20"/>
        <v>38.56347008306436</v>
      </c>
      <c r="AU75" s="11">
        <f t="shared" si="21"/>
        <v>39.164922108352989</v>
      </c>
      <c r="AV75" s="555">
        <f t="shared" si="22"/>
        <v>624844217.00264311</v>
      </c>
      <c r="AW75" s="138">
        <f t="shared" si="23"/>
        <v>3.9370078740157494E-2</v>
      </c>
      <c r="AX75" s="138">
        <f t="shared" si="24"/>
        <v>0.11023622047244097</v>
      </c>
      <c r="AY75" s="554">
        <f t="shared" si="25"/>
        <v>3.1496062992125991E-2</v>
      </c>
      <c r="AZ75" s="12">
        <f t="shared" si="26"/>
        <v>1255.2271581858292</v>
      </c>
      <c r="BA75" s="11">
        <f t="shared" si="27"/>
        <v>174.24200778054205</v>
      </c>
      <c r="BB75">
        <f t="shared" si="28"/>
        <v>1424.0264701009935</v>
      </c>
      <c r="BC75" s="555">
        <f t="shared" si="29"/>
        <v>5369986730.4332056</v>
      </c>
      <c r="BD75">
        <f t="shared" si="30"/>
        <v>31</v>
      </c>
      <c r="BE75" s="207">
        <f t="shared" si="31"/>
        <v>4.5335467330000006</v>
      </c>
      <c r="BF75" s="207">
        <f>'Inputs-Imperial'!$E$15*BE75</f>
        <v>3.4001600497500002</v>
      </c>
      <c r="BG75" s="207">
        <f>'Inputs-Imperial'!$E$12*BE75</f>
        <v>1.1333866832500001</v>
      </c>
      <c r="BH75">
        <f>'Inputs-Imperial'!$E$11*BE75</f>
        <v>0.81603841194000004</v>
      </c>
      <c r="BI75">
        <f t="shared" si="32"/>
        <v>0.86553944218721302</v>
      </c>
      <c r="BJ75">
        <f>'Weight '!U77+'Weight '!V77 /12</f>
        <v>2.4934383202099744E-2</v>
      </c>
      <c r="BK75">
        <f>('Weight '!AK77+'Weight '!AL77)/12</f>
        <v>9.186351706036747E-3</v>
      </c>
      <c r="BL75">
        <f>'Weight '!AG77/12</f>
        <v>0.10939845286391663</v>
      </c>
      <c r="BM75">
        <f>'Weight '!AI77/12</f>
        <v>0.10939845286391663</v>
      </c>
      <c r="BN75" s="554">
        <f t="shared" si="33"/>
        <v>2.5266315032536517</v>
      </c>
      <c r="BO75" s="554">
        <f t="shared" si="34"/>
        <v>4.7797268851834289</v>
      </c>
      <c r="BP75">
        <f t="shared" si="35"/>
        <v>0.10939845286391663</v>
      </c>
      <c r="BQ75">
        <f t="shared" si="35"/>
        <v>0.10939845286391663</v>
      </c>
      <c r="BR75">
        <f t="shared" si="36"/>
        <v>0.59724150621216687</v>
      </c>
      <c r="BS75">
        <f t="shared" si="37"/>
        <v>0.69366530183495545</v>
      </c>
      <c r="BT75">
        <f t="shared" si="38"/>
        <v>1.6177399989012922</v>
      </c>
      <c r="BU75">
        <f t="shared" si="39"/>
        <v>1.6701475579147134</v>
      </c>
      <c r="BV75">
        <f t="shared" si="40"/>
        <v>149.58102734802438</v>
      </c>
      <c r="BW75" s="207">
        <f t="shared" si="41"/>
        <v>89.353282965072012</v>
      </c>
      <c r="BX75">
        <f t="shared" si="42"/>
        <v>1.6184976020718154</v>
      </c>
      <c r="BY75" s="575">
        <f t="shared" si="43"/>
        <v>-55.764272053399537</v>
      </c>
      <c r="BZ75">
        <f t="shared" si="44"/>
        <v>168.1691180324909</v>
      </c>
      <c r="CA75" s="207">
        <f t="shared" si="45"/>
        <v>78.249555733374436</v>
      </c>
      <c r="CB75">
        <f t="shared" si="46"/>
        <v>1.6802113165013806</v>
      </c>
      <c r="CC75">
        <f t="shared" si="47"/>
        <v>163.17345112853951</v>
      </c>
      <c r="CD75">
        <f t="shared" si="48"/>
        <v>113.77796765631106</v>
      </c>
      <c r="CE75" s="207">
        <f t="shared" si="49"/>
        <v>110.74049349816826</v>
      </c>
      <c r="CF75">
        <f t="shared" si="50"/>
        <v>1.4996290297678552</v>
      </c>
      <c r="CG75">
        <f t="shared" si="51"/>
        <v>-39.876092406693793</v>
      </c>
      <c r="CH75">
        <f t="shared" si="52"/>
        <v>127.06999845854233</v>
      </c>
      <c r="CI75" s="207">
        <f t="shared" ref="CI75" si="159" xml:space="preserve"> ($BQ$38-CH75*($BP75+$BR75+$BQ75+$BN75))/($BP75+$BR75+$BQ75+$BO75)</f>
        <v>102.80040503568645</v>
      </c>
      <c r="CJ75">
        <f t="shared" si="54"/>
        <v>1.5437594682858566</v>
      </c>
      <c r="CK75">
        <f t="shared" si="55"/>
        <v>6.1174175526191679</v>
      </c>
      <c r="CL75">
        <f t="shared" si="56"/>
        <v>125.03085927433594</v>
      </c>
      <c r="CM75" s="207">
        <f t="shared" ref="CM75" si="160" xml:space="preserve"> ($BQ$38-CL75*($BP75+$BR75+$BQ75+$BN75))/($BP75+$BR75+$BQ75+$BO75)</f>
        <v>104.01849922692124</v>
      </c>
      <c r="CN75">
        <f t="shared" si="58"/>
        <v>1.5369893886992849</v>
      </c>
      <c r="CO75">
        <f t="shared" si="59"/>
        <v>-1.0908429923052552</v>
      </c>
      <c r="CP75">
        <f t="shared" si="60"/>
        <v>125.39447360510435</v>
      </c>
      <c r="CQ75" s="207">
        <f t="shared" ref="CQ75" si="161" xml:space="preserve"> ($BQ$38-CP75*($BP75+$BR75+$BQ75+$BN75))/($BP75+$BR75+$BQ75+$BO75)</f>
        <v>103.8012916387442</v>
      </c>
      <c r="CR75">
        <f t="shared" si="62"/>
        <v>1.5381966127952107</v>
      </c>
      <c r="CS75">
        <f t="shared" si="63"/>
        <v>0.19047099649096388</v>
      </c>
      <c r="CT75">
        <f t="shared" si="64"/>
        <v>125.3309832729407</v>
      </c>
      <c r="CU75" s="636">
        <f t="shared" si="65"/>
        <v>103.83921803700436</v>
      </c>
      <c r="CV75" s="575">
        <f t="shared" si="66"/>
        <v>1.5379858206114034</v>
      </c>
      <c r="CW75">
        <f t="shared" si="67"/>
        <v>-3.338447649369769E-2</v>
      </c>
      <c r="CX75" s="576">
        <f t="shared" si="68"/>
        <v>0.33924560861285452</v>
      </c>
    </row>
    <row r="76" spans="1:102" x14ac:dyDescent="0.25">
      <c r="A76" s="186">
        <v>32</v>
      </c>
      <c r="B76" s="187">
        <f>A76/100*'Inputs-Imperial'!$E$5</f>
        <v>7.7060369919999996</v>
      </c>
      <c r="C76" s="188">
        <f>'Inputs-Imperial'!$E$10+('Inputs-Imperial'!$E$9-'Inputs-Imperial'!$E$10)*(100-A76)/100</f>
        <v>4.5157481760000007</v>
      </c>
      <c r="D76" s="187">
        <f t="shared" si="69"/>
        <v>0.24081365600000026</v>
      </c>
      <c r="E76" s="188">
        <f t="shared" si="70"/>
        <v>1.0895968956292399</v>
      </c>
      <c r="F76" s="423">
        <f>Sizing!F92</f>
        <v>598.64444000618118</v>
      </c>
      <c r="G76" s="423">
        <f>Sizing!G92</f>
        <v>5986.4444000618123</v>
      </c>
      <c r="H76" s="423">
        <f>Sizing!H92</f>
        <v>44351.590810233283</v>
      </c>
      <c r="I76" s="423">
        <f>Sizing!I92</f>
        <v>-12940.819205424586</v>
      </c>
      <c r="J76" s="189">
        <f>Sizing!J92</f>
        <v>4435.1590810233292</v>
      </c>
      <c r="K76" s="128">
        <v>32</v>
      </c>
      <c r="L76" s="12">
        <f t="shared" si="11"/>
        <v>92.472443903999988</v>
      </c>
      <c r="M76" s="11">
        <f t="shared" si="11"/>
        <v>54.188978112000008</v>
      </c>
      <c r="N76" s="11">
        <f t="shared" si="11"/>
        <v>2.8897638720000032</v>
      </c>
      <c r="O76" s="152">
        <f t="shared" si="71"/>
        <v>156.90195297061055</v>
      </c>
      <c r="P76" s="170">
        <f t="shared" ref="P76:P107" si="162">M76*$E$17</f>
        <v>9.7540160601600014</v>
      </c>
      <c r="Q76" s="8">
        <f t="shared" ref="Q76:Q107" si="163">M76*$E$19</f>
        <v>4.8770080300800007</v>
      </c>
      <c r="R76" s="170">
        <f>Sizing!X92</f>
        <v>13.547244528000002</v>
      </c>
      <c r="S76" s="8">
        <f>Sizing!Y92</f>
        <v>40.641733584000008</v>
      </c>
      <c r="T76" s="8">
        <f>Sizing!Z92</f>
        <v>27.094489056000008</v>
      </c>
      <c r="U76" s="17">
        <f>Sizing!CN92</f>
        <v>2.5</v>
      </c>
      <c r="V76" s="17">
        <f>Sizing!CO92</f>
        <v>2.3622047244094495E-2</v>
      </c>
      <c r="W76" s="17">
        <f>Sizing!CP92</f>
        <v>1.5748031496062995E-2</v>
      </c>
      <c r="X76" s="170">
        <f>Sizing!DU92</f>
        <v>1.7233950944186762</v>
      </c>
      <c r="Y76" s="170">
        <f>Sizing!DV92</f>
        <v>1.3127814343669995</v>
      </c>
      <c r="Z76" s="170">
        <f>Sizing!DW92</f>
        <v>1.7233950944186762</v>
      </c>
      <c r="AA76" s="272">
        <f>Sizing!DX92</f>
        <v>1.3127814343669995</v>
      </c>
      <c r="AB76" s="272">
        <f t="shared" si="12"/>
        <v>3.3624944683126867</v>
      </c>
      <c r="AC76" s="216">
        <f>Sizing!GJ92</f>
        <v>0.5</v>
      </c>
      <c r="AD76" s="216">
        <f>Sizing!GK92</f>
        <v>5.5118110236220486E-2</v>
      </c>
      <c r="AE76" s="17">
        <f>Sizing!GL92</f>
        <v>5.5118110236220486E-2</v>
      </c>
      <c r="AF76" s="170">
        <f>Sizing!JC92</f>
        <v>2.6878791448952534E-2</v>
      </c>
      <c r="AG76" s="272">
        <f>Sizing!JD92</f>
        <v>0.16394752651062636</v>
      </c>
      <c r="AH76" s="170">
        <f>Sizing!JC92</f>
        <v>2.6878791448952534E-2</v>
      </c>
      <c r="AI76" s="272">
        <f>Sizing!JD92</f>
        <v>0.16394752651062636</v>
      </c>
      <c r="AJ76" s="216">
        <f>Sizing!IT92</f>
        <v>0.5</v>
      </c>
      <c r="AK76" s="216">
        <f>Sizing!IU92</f>
        <v>1.5748031496062995E-2</v>
      </c>
      <c r="AL76" s="17">
        <f>Sizing!IV92</f>
        <v>1.5748031496062995E-2</v>
      </c>
      <c r="AM76" s="170">
        <f t="shared" si="13"/>
        <v>0</v>
      </c>
      <c r="AN76" s="11">
        <f t="shared" si="14"/>
        <v>4.8713352388701754</v>
      </c>
      <c r="AO76" s="11">
        <f t="shared" si="15"/>
        <v>4.8713352388701754</v>
      </c>
      <c r="AP76" s="11">
        <f t="shared" si="16"/>
        <v>9.7426704777403508</v>
      </c>
      <c r="AQ76" s="555">
        <f t="shared" si="17"/>
        <v>155436318.48255554</v>
      </c>
      <c r="AR76" s="311">
        <f t="shared" si="18"/>
        <v>13.963332048148965</v>
      </c>
      <c r="AS76" s="11">
        <f t="shared" si="19"/>
        <v>0.59673873342860118</v>
      </c>
      <c r="AT76" s="11">
        <f t="shared" si="20"/>
        <v>38.261266612139408</v>
      </c>
      <c r="AU76" s="11">
        <f t="shared" si="21"/>
        <v>38.85800534556801</v>
      </c>
      <c r="AV76" s="555">
        <f t="shared" si="22"/>
        <v>619947611.72415423</v>
      </c>
      <c r="AW76" s="138">
        <f t="shared" si="23"/>
        <v>3.9370078740157494E-2</v>
      </c>
      <c r="AX76" s="138">
        <f t="shared" si="24"/>
        <v>0.11023622047244097</v>
      </c>
      <c r="AY76" s="554">
        <f t="shared" si="25"/>
        <v>3.1496062992125991E-2</v>
      </c>
      <c r="AZ76" s="12">
        <f t="shared" si="26"/>
        <v>1245.3905432965064</v>
      </c>
      <c r="BA76" s="11">
        <f t="shared" si="27"/>
        <v>173.5579393259915</v>
      </c>
      <c r="BB76">
        <f t="shared" si="28"/>
        <v>1407.3201856363924</v>
      </c>
      <c r="BC76" s="555">
        <f t="shared" si="29"/>
        <v>5306987532.1926088</v>
      </c>
      <c r="BD76">
        <f t="shared" si="30"/>
        <v>32</v>
      </c>
      <c r="BE76" s="207">
        <f t="shared" si="31"/>
        <v>4.5157481760000007</v>
      </c>
      <c r="BF76" s="207">
        <f>'Inputs-Imperial'!$E$15*BE76</f>
        <v>3.3868111320000005</v>
      </c>
      <c r="BG76" s="207">
        <f>'Inputs-Imperial'!$E$12*BE76</f>
        <v>1.1289370440000002</v>
      </c>
      <c r="BH76">
        <f>'Inputs-Imperial'!$E$11*BE76</f>
        <v>0.81283467168000012</v>
      </c>
      <c r="BI76">
        <f t="shared" si="32"/>
        <v>0.86214136249270357</v>
      </c>
      <c r="BJ76">
        <f>'Weight '!U78+'Weight '!V78 /12</f>
        <v>2.4934383202099744E-2</v>
      </c>
      <c r="BK76">
        <f>('Weight '!AK78+'Weight '!AL78)/12</f>
        <v>9.186351706036747E-3</v>
      </c>
      <c r="BL76">
        <f>'Weight '!AG78/12</f>
        <v>0.10939845286391663</v>
      </c>
      <c r="BM76">
        <f>'Weight '!AI78/12</f>
        <v>0.10939845286391663</v>
      </c>
      <c r="BN76" s="554">
        <f t="shared" si="33"/>
        <v>2.5142780742089976</v>
      </c>
      <c r="BO76" s="554">
        <f t="shared" si="34"/>
        <v>4.7633957888668608</v>
      </c>
      <c r="BP76">
        <f t="shared" si="35"/>
        <v>0.10939845286391663</v>
      </c>
      <c r="BQ76">
        <f t="shared" si="35"/>
        <v>0.10939845286391663</v>
      </c>
      <c r="BR76">
        <f t="shared" si="36"/>
        <v>0.59403776595216695</v>
      </c>
      <c r="BS76">
        <f t="shared" si="37"/>
        <v>0.6882293786303475</v>
      </c>
      <c r="BT76">
        <f t="shared" si="38"/>
        <v>1.6050625442617312</v>
      </c>
      <c r="BU76">
        <f t="shared" si="39"/>
        <v>1.6440738282395939</v>
      </c>
      <c r="BV76">
        <f t="shared" si="40"/>
        <v>150.2804498037535</v>
      </c>
      <c r="BW76" s="207">
        <f t="shared" si="41"/>
        <v>89.666308366846977</v>
      </c>
      <c r="BX76">
        <f t="shared" si="42"/>
        <v>1.6124203410937563</v>
      </c>
      <c r="BY76" s="575">
        <f t="shared" si="43"/>
        <v>-55.607917341807948</v>
      </c>
      <c r="BZ76">
        <f t="shared" si="44"/>
        <v>168.8164222510228</v>
      </c>
      <c r="CA76" s="207">
        <f t="shared" si="45"/>
        <v>78.606638106965207</v>
      </c>
      <c r="CB76">
        <f t="shared" si="46"/>
        <v>1.6734372676651863</v>
      </c>
      <c r="CC76">
        <f t="shared" si="47"/>
        <v>162.99332505246872</v>
      </c>
      <c r="CD76">
        <f t="shared" si="48"/>
        <v>114.48531390019988</v>
      </c>
      <c r="CE76" s="207">
        <f t="shared" si="49"/>
        <v>111.02382824486553</v>
      </c>
      <c r="CF76">
        <f t="shared" si="50"/>
        <v>1.4945895024229072</v>
      </c>
      <c r="CG76">
        <f t="shared" si="51"/>
        <v>-39.010039921415249</v>
      </c>
      <c r="CH76">
        <f t="shared" si="52"/>
        <v>127.48866054067163</v>
      </c>
      <c r="CI76" s="207">
        <f t="shared" ref="CI76" si="164" xml:space="preserve"> ($BQ$38-CH76*($BP76+$BR76+$BQ76+$BN76))/($BP76+$BR76+$BQ76+$BO76)</f>
        <v>103.26525358536632</v>
      </c>
      <c r="CJ76">
        <f t="shared" si="54"/>
        <v>1.5373940679455218</v>
      </c>
      <c r="CK76">
        <f t="shared" si="55"/>
        <v>5.7984419077342508</v>
      </c>
      <c r="CL76">
        <f t="shared" si="56"/>
        <v>125.55584657142688</v>
      </c>
      <c r="CM76" s="207">
        <f t="shared" ref="CM76" si="165" xml:space="preserve"> ($BQ$38-CL76*($BP76+$BR76+$BQ76+$BN76))/($BP76+$BR76+$BQ76+$BO76)</f>
        <v>104.41848604912572</v>
      </c>
      <c r="CN76">
        <f t="shared" si="58"/>
        <v>1.5310316087665854</v>
      </c>
      <c r="CO76">
        <f t="shared" si="59"/>
        <v>-1.0027504798398201</v>
      </c>
      <c r="CP76">
        <f t="shared" si="60"/>
        <v>125.89009673137349</v>
      </c>
      <c r="CQ76" s="207">
        <f t="shared" ref="CQ76" si="166" xml:space="preserve"> ($BQ$38-CP76*($BP76+$BR76+$BQ76+$BN76))/($BP76+$BR76+$BQ76+$BO76)</f>
        <v>104.21905240388058</v>
      </c>
      <c r="CR76">
        <f t="shared" si="62"/>
        <v>1.5321318972744566</v>
      </c>
      <c r="CS76">
        <f t="shared" si="63"/>
        <v>0.16989236029036547</v>
      </c>
      <c r="CT76">
        <f t="shared" si="64"/>
        <v>125.83346594461004</v>
      </c>
      <c r="CU76" s="636">
        <f t="shared" si="65"/>
        <v>104.25284171976044</v>
      </c>
      <c r="CV76" s="575">
        <f t="shared" si="66"/>
        <v>1.5319454794014558</v>
      </c>
      <c r="CW76">
        <f t="shared" si="67"/>
        <v>-2.8887750029307213E-2</v>
      </c>
      <c r="CX76" s="576">
        <f t="shared" si="68"/>
        <v>0.339245108383886</v>
      </c>
    </row>
    <row r="77" spans="1:102" x14ac:dyDescent="0.25">
      <c r="A77" s="186">
        <v>33</v>
      </c>
      <c r="B77" s="187">
        <f>A77/100*'Inputs-Imperial'!$E$5</f>
        <v>7.9468506479999999</v>
      </c>
      <c r="C77" s="188">
        <f>'Inputs-Imperial'!$E$10+('Inputs-Imperial'!$E$9-'Inputs-Imperial'!$E$10)*(100-A77)/100</f>
        <v>4.4979496189999999</v>
      </c>
      <c r="D77" s="187">
        <f t="shared" si="69"/>
        <v>0.24081365600000026</v>
      </c>
      <c r="E77" s="188">
        <f t="shared" si="70"/>
        <v>1.0853107600465455</v>
      </c>
      <c r="F77" s="423">
        <f>Sizing!F93</f>
        <v>587.58354946416318</v>
      </c>
      <c r="G77" s="423">
        <f>Sizing!G93</f>
        <v>5875.8354946416321</v>
      </c>
      <c r="H77" s="423">
        <f>Sizing!H93</f>
        <v>42909.973247813672</v>
      </c>
      <c r="I77" s="423">
        <f>Sizing!I93</f>
        <v>-12650.623725677677</v>
      </c>
      <c r="J77" s="189">
        <f>Sizing!J93</f>
        <v>4290.9973247813678</v>
      </c>
      <c r="K77" s="128">
        <v>33</v>
      </c>
      <c r="L77" s="12">
        <f t="shared" si="11"/>
        <v>95.362207775999991</v>
      </c>
      <c r="M77" s="11">
        <f t="shared" si="11"/>
        <v>53.975395427999999</v>
      </c>
      <c r="N77" s="11">
        <f t="shared" si="11"/>
        <v>2.8897638720000032</v>
      </c>
      <c r="O77" s="152">
        <f t="shared" si="71"/>
        <v>156.28474944670256</v>
      </c>
      <c r="P77" s="170">
        <f t="shared" si="162"/>
        <v>9.7155711770399993</v>
      </c>
      <c r="Q77" s="8">
        <f t="shared" si="163"/>
        <v>4.8577855885199996</v>
      </c>
      <c r="R77" s="170">
        <f>Sizing!X93</f>
        <v>13.493848857</v>
      </c>
      <c r="S77" s="8">
        <f>Sizing!Y93</f>
        <v>40.481546570999996</v>
      </c>
      <c r="T77" s="8">
        <f>Sizing!Z93</f>
        <v>26.987697713999996</v>
      </c>
      <c r="U77" s="17">
        <f>Sizing!CN93</f>
        <v>2.5</v>
      </c>
      <c r="V77" s="17">
        <f>Sizing!CO93</f>
        <v>2.3622047244094495E-2</v>
      </c>
      <c r="W77" s="17">
        <f>Sizing!CP93</f>
        <v>1.5748031496062995E-2</v>
      </c>
      <c r="X77" s="170">
        <f>Sizing!DU93</f>
        <v>1.7233950944186762</v>
      </c>
      <c r="Y77" s="170">
        <f>Sizing!DV93</f>
        <v>1.3127814343669995</v>
      </c>
      <c r="Z77" s="170">
        <f>Sizing!DW93</f>
        <v>1.7233950944186762</v>
      </c>
      <c r="AA77" s="272">
        <f>Sizing!DX93</f>
        <v>1.3127814343669995</v>
      </c>
      <c r="AB77" s="272">
        <f t="shared" si="12"/>
        <v>3.324049585192685</v>
      </c>
      <c r="AC77" s="216">
        <f>Sizing!GJ93</f>
        <v>0.5</v>
      </c>
      <c r="AD77" s="216">
        <f>Sizing!GK93</f>
        <v>5.5118110236220486E-2</v>
      </c>
      <c r="AE77" s="17">
        <f>Sizing!GL93</f>
        <v>5.5118110236220486E-2</v>
      </c>
      <c r="AF77" s="170">
        <f>Sizing!JC93</f>
        <v>2.6878791448952534E-2</v>
      </c>
      <c r="AG77" s="272">
        <f>Sizing!JD93</f>
        <v>0.16394752651062636</v>
      </c>
      <c r="AH77" s="170">
        <f>Sizing!JC93</f>
        <v>2.6878791448952534E-2</v>
      </c>
      <c r="AI77" s="272">
        <f>Sizing!JD93</f>
        <v>0.16394752651062636</v>
      </c>
      <c r="AJ77" s="216">
        <f>Sizing!IT93</f>
        <v>0.5</v>
      </c>
      <c r="AK77" s="216">
        <f>Sizing!IU93</f>
        <v>1.5748031496062995E-2</v>
      </c>
      <c r="AL77" s="17">
        <f>Sizing!IV93</f>
        <v>1.5748031496062995E-2</v>
      </c>
      <c r="AM77" s="170">
        <f t="shared" si="13"/>
        <v>0</v>
      </c>
      <c r="AN77" s="11">
        <f t="shared" si="14"/>
        <v>4.7605797862536976</v>
      </c>
      <c r="AO77" s="11">
        <f t="shared" si="15"/>
        <v>4.7605797862536976</v>
      </c>
      <c r="AP77" s="11">
        <f t="shared" si="16"/>
        <v>9.5211595725073952</v>
      </c>
      <c r="AQ77" s="555">
        <f t="shared" si="17"/>
        <v>151902293.62850603</v>
      </c>
      <c r="AR77" s="311">
        <f t="shared" si="18"/>
        <v>13.90829639255378</v>
      </c>
      <c r="AS77" s="11">
        <f t="shared" si="19"/>
        <v>0.59204398219403376</v>
      </c>
      <c r="AT77" s="11">
        <f t="shared" si="20"/>
        <v>37.96025191575584</v>
      </c>
      <c r="AU77" s="11">
        <f t="shared" si="21"/>
        <v>38.552295897949875</v>
      </c>
      <c r="AV77" s="555">
        <f t="shared" si="22"/>
        <v>615070268.16915393</v>
      </c>
      <c r="AW77" s="138">
        <f t="shared" si="23"/>
        <v>3.9370078740157494E-2</v>
      </c>
      <c r="AX77" s="138">
        <f t="shared" si="24"/>
        <v>0.11023622047244097</v>
      </c>
      <c r="AY77" s="554">
        <f t="shared" si="25"/>
        <v>3.1496062992125991E-2</v>
      </c>
      <c r="AZ77" s="12">
        <f t="shared" si="26"/>
        <v>1235.5926225933163</v>
      </c>
      <c r="BA77" s="11">
        <f t="shared" si="27"/>
        <v>172.87387087144077</v>
      </c>
      <c r="BB77">
        <f t="shared" si="28"/>
        <v>1390.7450771539091</v>
      </c>
      <c r="BC77" s="555">
        <f t="shared" si="29"/>
        <v>5244482997.0064659</v>
      </c>
      <c r="BD77">
        <f t="shared" si="30"/>
        <v>33</v>
      </c>
      <c r="BE77" s="207">
        <f t="shared" si="31"/>
        <v>4.4979496189999999</v>
      </c>
      <c r="BF77" s="207">
        <f>'Inputs-Imperial'!$E$15*BE77</f>
        <v>3.3734622142499999</v>
      </c>
      <c r="BG77" s="207">
        <f>'Inputs-Imperial'!$E$12*BE77</f>
        <v>1.12448740475</v>
      </c>
      <c r="BH77">
        <f>'Inputs-Imperial'!$E$11*BE77</f>
        <v>0.80963093141999998</v>
      </c>
      <c r="BI77">
        <f t="shared" si="32"/>
        <v>0.8587432827981939</v>
      </c>
      <c r="BJ77">
        <f>'Weight '!U79+'Weight '!V79 /12</f>
        <v>2.4934383202099744E-2</v>
      </c>
      <c r="BK77">
        <f>('Weight '!AK79+'Weight '!AL79)/12</f>
        <v>9.186351706036747E-3</v>
      </c>
      <c r="BL77">
        <f>'Weight '!AG79/12</f>
        <v>0.10939845286391663</v>
      </c>
      <c r="BM77">
        <f>'Weight '!AI79/12</f>
        <v>0.10939845286391663</v>
      </c>
      <c r="BN77" s="554">
        <f t="shared" si="33"/>
        <v>2.5019221409333414</v>
      </c>
      <c r="BO77" s="554">
        <f t="shared" si="34"/>
        <v>4.7470671967812947</v>
      </c>
      <c r="BP77">
        <f t="shared" si="35"/>
        <v>0.10939845286391663</v>
      </c>
      <c r="BQ77">
        <f t="shared" si="35"/>
        <v>0.10939845286391663</v>
      </c>
      <c r="BR77">
        <f t="shared" si="36"/>
        <v>0.59083402569216681</v>
      </c>
      <c r="BS77">
        <f t="shared" si="37"/>
        <v>0.68281483865835069</v>
      </c>
      <c r="BT77">
        <f t="shared" si="38"/>
        <v>1.5924349587890574</v>
      </c>
      <c r="BU77">
        <f t="shared" si="39"/>
        <v>1.6183065868244761</v>
      </c>
      <c r="BV77">
        <f t="shared" si="40"/>
        <v>150.98655799125606</v>
      </c>
      <c r="BW77" s="207">
        <f t="shared" si="41"/>
        <v>89.981494129113358</v>
      </c>
      <c r="BX77">
        <f t="shared" si="42"/>
        <v>1.6063434778032135</v>
      </c>
      <c r="BY77" s="575">
        <f t="shared" si="43"/>
        <v>-55.450106182808113</v>
      </c>
      <c r="BZ77">
        <f t="shared" si="44"/>
        <v>169.46992671885877</v>
      </c>
      <c r="CA77" s="207">
        <f t="shared" si="45"/>
        <v>78.966201398582086</v>
      </c>
      <c r="CB77">
        <f t="shared" si="46"/>
        <v>1.6666671891252012</v>
      </c>
      <c r="CC77">
        <f t="shared" si="47"/>
        <v>162.8167039164365</v>
      </c>
      <c r="CD77">
        <f t="shared" si="48"/>
        <v>115.19769208004661</v>
      </c>
      <c r="CE77" s="207">
        <f t="shared" si="49"/>
        <v>111.31011881412415</v>
      </c>
      <c r="CF77">
        <f t="shared" si="50"/>
        <v>1.489540245254753</v>
      </c>
      <c r="CG77">
        <f t="shared" si="51"/>
        <v>-38.145985752501055</v>
      </c>
      <c r="CH77">
        <f t="shared" si="52"/>
        <v>127.91302066421363</v>
      </c>
      <c r="CI77" s="207">
        <f t="shared" ref="CI77" si="167" xml:space="preserve"> ($BQ$38-CH77*($BP77+$BR77+$BQ77+$BN77))/($BP77+$BR77+$BQ77+$BO77)</f>
        <v>103.73232990650345</v>
      </c>
      <c r="CJ77">
        <f t="shared" si="54"/>
        <v>1.5310389472597632</v>
      </c>
      <c r="CK77">
        <f t="shared" si="55"/>
        <v>5.4880280678035547</v>
      </c>
      <c r="CL77">
        <f t="shared" si="56"/>
        <v>126.08367797494579</v>
      </c>
      <c r="CM77" s="207">
        <f t="shared" ref="CM77" si="168" xml:space="preserve"> ($BQ$38-CL77*($BP77+$BR77+$BQ77+$BN77))/($BP77+$BR77+$BQ77+$BO77)</f>
        <v>104.82253946319805</v>
      </c>
      <c r="CN77">
        <f t="shared" si="58"/>
        <v>1.5250685669723438</v>
      </c>
      <c r="CO77">
        <f t="shared" si="59"/>
        <v>-0.91954452792932528</v>
      </c>
      <c r="CP77">
        <f t="shared" si="60"/>
        <v>126.3901928175889</v>
      </c>
      <c r="CQ77" s="207">
        <f t="shared" ref="CQ77" si="169" xml:space="preserve"> ($BQ$38-CP77*($BP77+$BR77+$BQ77+$BN77))/($BP77+$BR77+$BQ77+$BO77)</f>
        <v>104.63986980120485</v>
      </c>
      <c r="CR77">
        <f t="shared" si="62"/>
        <v>1.5260689318493317</v>
      </c>
      <c r="CS77">
        <f t="shared" si="63"/>
        <v>0.15102717877651273</v>
      </c>
      <c r="CT77">
        <f t="shared" si="64"/>
        <v>126.3398504246634</v>
      </c>
      <c r="CU77" s="636">
        <f t="shared" si="65"/>
        <v>104.66987170199484</v>
      </c>
      <c r="CV77" s="575">
        <f t="shared" si="66"/>
        <v>1.5259046306322293</v>
      </c>
      <c r="CW77">
        <f t="shared" si="67"/>
        <v>-2.4889077442434626E-2</v>
      </c>
      <c r="CX77" s="576">
        <f t="shared" si="68"/>
        <v>0.33924449135370122</v>
      </c>
    </row>
    <row r="78" spans="1:102" x14ac:dyDescent="0.25">
      <c r="A78" s="186">
        <v>34</v>
      </c>
      <c r="B78" s="187">
        <f>A78/100*'Inputs-Imperial'!$E$5</f>
        <v>8.1876643040000001</v>
      </c>
      <c r="C78" s="188">
        <f>'Inputs-Imperial'!$E$10+('Inputs-Imperial'!$E$9-'Inputs-Imperial'!$E$10)*(100-A78)/100</f>
        <v>4.4801510620000009</v>
      </c>
      <c r="D78" s="187">
        <f t="shared" si="69"/>
        <v>0.24081365600000026</v>
      </c>
      <c r="E78" s="188">
        <f t="shared" si="70"/>
        <v>1.0810246244638511</v>
      </c>
      <c r="F78" s="423">
        <f>Sizing!F94</f>
        <v>576.56486522553928</v>
      </c>
      <c r="G78" s="423">
        <f>Sizing!G94</f>
        <v>5765.6486522553932</v>
      </c>
      <c r="H78" s="423">
        <f>Sizing!H94</f>
        <v>41494.991820294454</v>
      </c>
      <c r="I78" s="423">
        <f>Sizing!I94</f>
        <v>-12362.650396398396</v>
      </c>
      <c r="J78" s="189">
        <f>Sizing!J94</f>
        <v>4149.4991820294454</v>
      </c>
      <c r="K78" s="128">
        <v>34</v>
      </c>
      <c r="L78" s="12">
        <f t="shared" si="11"/>
        <v>98.251971647999994</v>
      </c>
      <c r="M78" s="11">
        <f t="shared" si="11"/>
        <v>53.761812744000011</v>
      </c>
      <c r="N78" s="11">
        <f t="shared" si="11"/>
        <v>2.8897638720000032</v>
      </c>
      <c r="O78" s="152">
        <f t="shared" si="71"/>
        <v>155.66754592279455</v>
      </c>
      <c r="P78" s="170">
        <f t="shared" si="162"/>
        <v>9.6771262939200025</v>
      </c>
      <c r="Q78" s="8">
        <f t="shared" si="163"/>
        <v>4.8385631469600012</v>
      </c>
      <c r="R78" s="170">
        <f>Sizing!X94</f>
        <v>13.440453186000003</v>
      </c>
      <c r="S78" s="8">
        <f>Sizing!Y94</f>
        <v>40.321359558000012</v>
      </c>
      <c r="T78" s="8">
        <f>Sizing!Z94</f>
        <v>26.880906372000009</v>
      </c>
      <c r="U78" s="17">
        <f>Sizing!CN94</f>
        <v>2.5</v>
      </c>
      <c r="V78" s="17">
        <f>Sizing!CO94</f>
        <v>2.3622047244094495E-2</v>
      </c>
      <c r="W78" s="17">
        <f>Sizing!CP94</f>
        <v>1.5748031496062995E-2</v>
      </c>
      <c r="X78" s="170">
        <f>Sizing!DU94</f>
        <v>1.7233950944186762</v>
      </c>
      <c r="Y78" s="170">
        <f>Sizing!DV94</f>
        <v>1.3127814343669995</v>
      </c>
      <c r="Z78" s="170">
        <f>Sizing!DW94</f>
        <v>1.7233950944186762</v>
      </c>
      <c r="AA78" s="272">
        <f>Sizing!DX94</f>
        <v>1.3127814343669995</v>
      </c>
      <c r="AB78" s="272">
        <f t="shared" si="12"/>
        <v>3.2856047020726882</v>
      </c>
      <c r="AC78" s="216">
        <f>Sizing!GJ94</f>
        <v>0.5</v>
      </c>
      <c r="AD78" s="216">
        <f>Sizing!GK94</f>
        <v>5.5118110236220486E-2</v>
      </c>
      <c r="AE78" s="17">
        <f>Sizing!GL94</f>
        <v>5.5118110236220486E-2</v>
      </c>
      <c r="AF78" s="170">
        <f>Sizing!JC94</f>
        <v>2.6878791448952534E-2</v>
      </c>
      <c r="AG78" s="272">
        <f>Sizing!JD94</f>
        <v>0.16394752651062636</v>
      </c>
      <c r="AH78" s="170">
        <f>Sizing!JC94</f>
        <v>2.6878791448952534E-2</v>
      </c>
      <c r="AI78" s="272">
        <f>Sizing!JD94</f>
        <v>0.16394752651062636</v>
      </c>
      <c r="AJ78" s="216">
        <f>Sizing!IT94</f>
        <v>0.5</v>
      </c>
      <c r="AK78" s="216">
        <f>Sizing!IU94</f>
        <v>1.5748031496062995E-2</v>
      </c>
      <c r="AL78" s="17">
        <f>Sizing!IV94</f>
        <v>1.5748031496062995E-2</v>
      </c>
      <c r="AM78" s="170">
        <f t="shared" si="13"/>
        <v>0</v>
      </c>
      <c r="AN78" s="11">
        <f t="shared" si="14"/>
        <v>4.6510979304001268</v>
      </c>
      <c r="AO78" s="11">
        <f t="shared" si="15"/>
        <v>4.6510979304001268</v>
      </c>
      <c r="AP78" s="11">
        <f t="shared" si="16"/>
        <v>9.3021958608002535</v>
      </c>
      <c r="AQ78" s="555">
        <f t="shared" si="17"/>
        <v>148408907.1584622</v>
      </c>
      <c r="AR78" s="311">
        <f t="shared" si="18"/>
        <v>13.853260736958603</v>
      </c>
      <c r="AS78" s="11">
        <f t="shared" si="19"/>
        <v>0.58736777158494435</v>
      </c>
      <c r="AT78" s="11">
        <f t="shared" si="20"/>
        <v>37.660425993913762</v>
      </c>
      <c r="AU78" s="11">
        <f t="shared" si="21"/>
        <v>38.247793765498706</v>
      </c>
      <c r="AV78" s="555">
        <f t="shared" si="22"/>
        <v>610212186.3376441</v>
      </c>
      <c r="AW78" s="138">
        <f t="shared" si="23"/>
        <v>3.9370078740157494E-2</v>
      </c>
      <c r="AX78" s="138">
        <f t="shared" si="24"/>
        <v>0.11023622047244097</v>
      </c>
      <c r="AY78" s="554">
        <f t="shared" si="25"/>
        <v>3.1496062992125991E-2</v>
      </c>
      <c r="AZ78" s="12">
        <f t="shared" si="26"/>
        <v>1225.8333960762618</v>
      </c>
      <c r="BA78" s="11">
        <f t="shared" si="27"/>
        <v>172.18980241689027</v>
      </c>
      <c r="BB78">
        <f t="shared" si="28"/>
        <v>1374.3006276310953</v>
      </c>
      <c r="BC78" s="555">
        <f t="shared" si="29"/>
        <v>5182471175.1893291</v>
      </c>
      <c r="BD78">
        <f t="shared" si="30"/>
        <v>34</v>
      </c>
      <c r="BE78" s="207">
        <f t="shared" si="31"/>
        <v>4.4801510620000009</v>
      </c>
      <c r="BF78" s="207">
        <f>'Inputs-Imperial'!$E$15*BE78</f>
        <v>3.3601132965000007</v>
      </c>
      <c r="BG78" s="207">
        <f>'Inputs-Imperial'!$E$12*BE78</f>
        <v>1.1200377655000002</v>
      </c>
      <c r="BH78">
        <f>'Inputs-Imperial'!$E$11*BE78</f>
        <v>0.80642719116000017</v>
      </c>
      <c r="BI78">
        <f t="shared" si="32"/>
        <v>0.85534520310368456</v>
      </c>
      <c r="BJ78">
        <f>'Weight '!U80+'Weight '!V80 /12</f>
        <v>2.4934383202099744E-2</v>
      </c>
      <c r="BK78">
        <f>('Weight '!AK80+'Weight '!AL80)/12</f>
        <v>9.186351706036747E-3</v>
      </c>
      <c r="BL78">
        <f>'Weight '!AG80/12</f>
        <v>0.10939845286391663</v>
      </c>
      <c r="BM78">
        <f>'Weight '!AI80/12</f>
        <v>0.10939845286391663</v>
      </c>
      <c r="BN78" s="554">
        <f t="shared" si="33"/>
        <v>2.4895637238987125</v>
      </c>
      <c r="BO78" s="554">
        <f t="shared" si="34"/>
        <v>4.7307410884547014</v>
      </c>
      <c r="BP78">
        <f t="shared" si="35"/>
        <v>0.10939845286391663</v>
      </c>
      <c r="BQ78">
        <f t="shared" si="35"/>
        <v>0.10939845286391663</v>
      </c>
      <c r="BR78">
        <f t="shared" si="36"/>
        <v>0.587630285432167</v>
      </c>
      <c r="BS78">
        <f t="shared" si="37"/>
        <v>0.67742168191896612</v>
      </c>
      <c r="BT78">
        <f t="shared" si="38"/>
        <v>1.5798572424832726</v>
      </c>
      <c r="BU78">
        <f t="shared" si="39"/>
        <v>1.5928434224258325</v>
      </c>
      <c r="BV78">
        <f t="shared" si="40"/>
        <v>151.69944726352298</v>
      </c>
      <c r="BW78" s="207">
        <f t="shared" si="41"/>
        <v>90.298863020069163</v>
      </c>
      <c r="BX78">
        <f t="shared" si="42"/>
        <v>1.6002670122123444</v>
      </c>
      <c r="BY78" s="575">
        <f t="shared" si="43"/>
        <v>-55.290821313233849</v>
      </c>
      <c r="BZ78">
        <f t="shared" si="44"/>
        <v>170.12972103460095</v>
      </c>
      <c r="CA78" s="207">
        <f t="shared" si="45"/>
        <v>79.328270861048694</v>
      </c>
      <c r="CB78">
        <f t="shared" si="46"/>
        <v>1.6599010852783229</v>
      </c>
      <c r="CC78">
        <f t="shared" si="47"/>
        <v>162.64363498290817</v>
      </c>
      <c r="CD78">
        <f t="shared" si="48"/>
        <v>115.91517604029823</v>
      </c>
      <c r="CE78" s="207">
        <f t="shared" si="49"/>
        <v>111.59939551209462</v>
      </c>
      <c r="CF78">
        <f t="shared" si="50"/>
        <v>1.4844813287632284</v>
      </c>
      <c r="CG78">
        <f t="shared" si="51"/>
        <v>-37.283899876230841</v>
      </c>
      <c r="CH78">
        <f t="shared" si="52"/>
        <v>128.34314266570851</v>
      </c>
      <c r="CI78" s="207">
        <f t="shared" ref="CI78" si="170" xml:space="preserve"> ($BQ$38-CH78*($BP78+$BR78+$BQ78+$BN78))/($BP78+$BR78+$BQ78+$BO78)</f>
        <v>104.20166746384116</v>
      </c>
      <c r="CJ78">
        <f t="shared" si="54"/>
        <v>1.5246939853415744</v>
      </c>
      <c r="CK78">
        <f t="shared" si="55"/>
        <v>5.1861417471276532</v>
      </c>
      <c r="CL78">
        <f t="shared" si="56"/>
        <v>126.61442874999929</v>
      </c>
      <c r="CM78" s="207">
        <f t="shared" ref="CM78" si="171" xml:space="preserve"> ($BQ$38-CL78*($BP78+$BR78+$BQ78+$BN78))/($BP78+$BR78+$BQ78+$BO78)</f>
        <v>105.23068176739591</v>
      </c>
      <c r="CN78">
        <f t="shared" si="58"/>
        <v>1.5191004573647218</v>
      </c>
      <c r="CO78">
        <f t="shared" si="59"/>
        <v>-0.84107867807668235</v>
      </c>
      <c r="CP78">
        <f t="shared" si="60"/>
        <v>126.89478830935819</v>
      </c>
      <c r="CQ78" s="207">
        <f t="shared" ref="CQ78" si="172" xml:space="preserve"> ($BQ$38-CP78*($BP78+$BR78+$BQ78+$BN78))/($BP78+$BR78+$BQ78+$BO78)</f>
        <v>105.06379817023328</v>
      </c>
      <c r="CR78">
        <f t="shared" si="62"/>
        <v>1.5200076051724658</v>
      </c>
      <c r="CS78">
        <f t="shared" si="63"/>
        <v>0.1337768092518079</v>
      </c>
      <c r="CT78">
        <f t="shared" si="64"/>
        <v>126.85019603960758</v>
      </c>
      <c r="CU78" s="636">
        <f t="shared" si="65"/>
        <v>105.09034165032237</v>
      </c>
      <c r="CV78" s="575">
        <f t="shared" si="66"/>
        <v>1.5198633198131968</v>
      </c>
      <c r="CW78">
        <f t="shared" si="67"/>
        <v>-2.1345753257589806E-2</v>
      </c>
      <c r="CX78" s="576">
        <f t="shared" si="68"/>
        <v>0.33924376628825298</v>
      </c>
    </row>
    <row r="79" spans="1:102" x14ac:dyDescent="0.25">
      <c r="A79" s="186">
        <v>35</v>
      </c>
      <c r="B79" s="187">
        <f>A79/100*'Inputs-Imperial'!$E$5</f>
        <v>8.4284779599999986</v>
      </c>
      <c r="C79" s="188">
        <f>'Inputs-Imperial'!$E$10+('Inputs-Imperial'!$E$9-'Inputs-Imperial'!$E$10)*(100-A79)/100</f>
        <v>4.4623525050000001</v>
      </c>
      <c r="D79" s="187">
        <f t="shared" si="69"/>
        <v>0.24081365599999849</v>
      </c>
      <c r="E79" s="188">
        <f t="shared" si="70"/>
        <v>1.0767384888811489</v>
      </c>
      <c r="F79" s="423">
        <f>Sizing!F95</f>
        <v>565.58912634476724</v>
      </c>
      <c r="G79" s="423">
        <f>Sizing!G95</f>
        <v>5655.8912634476728</v>
      </c>
      <c r="H79" s="423">
        <f>Sizing!H95</f>
        <v>40106.544889133365</v>
      </c>
      <c r="I79" s="423">
        <f>Sizing!I95</f>
        <v>-12076.929303813051</v>
      </c>
      <c r="J79" s="189">
        <f>Sizing!J95</f>
        <v>4010.6544889133365</v>
      </c>
      <c r="K79" s="128">
        <v>35</v>
      </c>
      <c r="L79" s="12">
        <f t="shared" si="11"/>
        <v>101.14173551999998</v>
      </c>
      <c r="M79" s="11">
        <f t="shared" si="11"/>
        <v>53.548230060000002</v>
      </c>
      <c r="N79" s="11">
        <f t="shared" si="11"/>
        <v>2.8897638719999819</v>
      </c>
      <c r="O79" s="152">
        <f t="shared" si="71"/>
        <v>155.05034239888545</v>
      </c>
      <c r="P79" s="170">
        <f t="shared" si="162"/>
        <v>9.6386814108000003</v>
      </c>
      <c r="Q79" s="8">
        <f t="shared" si="163"/>
        <v>4.8193407054000001</v>
      </c>
      <c r="R79" s="170">
        <f>Sizing!X95</f>
        <v>13.387057515</v>
      </c>
      <c r="S79" s="8">
        <f>Sizing!Y95</f>
        <v>40.161172544999999</v>
      </c>
      <c r="T79" s="8">
        <f>Sizing!Z95</f>
        <v>26.774115029999997</v>
      </c>
      <c r="U79" s="17">
        <f>Sizing!CN95</f>
        <v>2.5</v>
      </c>
      <c r="V79" s="17">
        <f>Sizing!CO95</f>
        <v>2.3622047244094495E-2</v>
      </c>
      <c r="W79" s="17">
        <f>Sizing!CP95</f>
        <v>1.5748031496062995E-2</v>
      </c>
      <c r="X79" s="170">
        <f>Sizing!DU95</f>
        <v>1.7233950944186762</v>
      </c>
      <c r="Y79" s="170">
        <f>Sizing!DV95</f>
        <v>1.3127814343669995</v>
      </c>
      <c r="Z79" s="170">
        <f>Sizing!DW95</f>
        <v>1.7233950944186762</v>
      </c>
      <c r="AA79" s="272">
        <f>Sizing!DX95</f>
        <v>1.3127814343669995</v>
      </c>
      <c r="AB79" s="272">
        <f t="shared" si="12"/>
        <v>3.247159818952686</v>
      </c>
      <c r="AC79" s="216">
        <f>Sizing!GJ95</f>
        <v>0.5</v>
      </c>
      <c r="AD79" s="216">
        <f>Sizing!GK95</f>
        <v>5.5118110236220486E-2</v>
      </c>
      <c r="AE79" s="17">
        <f>Sizing!GL95</f>
        <v>5.5118110236220486E-2</v>
      </c>
      <c r="AF79" s="170">
        <f>Sizing!JC95</f>
        <v>2.6878791448952534E-2</v>
      </c>
      <c r="AG79" s="272">
        <f>Sizing!JD95</f>
        <v>0.16394752651062636</v>
      </c>
      <c r="AH79" s="170">
        <f>Sizing!JC95</f>
        <v>2.6878791448952534E-2</v>
      </c>
      <c r="AI79" s="272">
        <f>Sizing!JD95</f>
        <v>0.16394752651062636</v>
      </c>
      <c r="AJ79" s="216">
        <f>Sizing!IT95</f>
        <v>0.5</v>
      </c>
      <c r="AK79" s="216">
        <f>Sizing!IU95</f>
        <v>1.5748031496062995E-2</v>
      </c>
      <c r="AL79" s="17">
        <f>Sizing!IV95</f>
        <v>1.5748031496062995E-2</v>
      </c>
      <c r="AM79" s="170">
        <f t="shared" si="13"/>
        <v>0</v>
      </c>
      <c r="AN79" s="11">
        <f t="shared" si="14"/>
        <v>4.5428896713094344</v>
      </c>
      <c r="AO79" s="11">
        <f t="shared" si="15"/>
        <v>4.5428896713094344</v>
      </c>
      <c r="AP79" s="11">
        <f t="shared" si="16"/>
        <v>9.0857793426188689</v>
      </c>
      <c r="AQ79" s="555">
        <f t="shared" si="17"/>
        <v>144956159.0724231</v>
      </c>
      <c r="AR79" s="311">
        <f t="shared" si="18"/>
        <v>13.798225081363418</v>
      </c>
      <c r="AS79" s="11">
        <f t="shared" si="19"/>
        <v>0.58271010160131276</v>
      </c>
      <c r="AT79" s="11">
        <f t="shared" si="20"/>
        <v>37.361788846613052</v>
      </c>
      <c r="AU79" s="11">
        <f t="shared" si="21"/>
        <v>37.944498948214367</v>
      </c>
      <c r="AV79" s="555">
        <f t="shared" si="22"/>
        <v>605373366.22962272</v>
      </c>
      <c r="AW79" s="138">
        <f t="shared" si="23"/>
        <v>3.9370078740157494E-2</v>
      </c>
      <c r="AX79" s="138">
        <f t="shared" si="24"/>
        <v>0.11023622047244097</v>
      </c>
      <c r="AY79" s="554">
        <f t="shared" si="25"/>
        <v>3.1496062992125991E-2</v>
      </c>
      <c r="AZ79" s="12">
        <f t="shared" si="26"/>
        <v>1216.1128637453398</v>
      </c>
      <c r="BA79" s="11">
        <f t="shared" si="27"/>
        <v>171.50573396233952</v>
      </c>
      <c r="BB79">
        <f t="shared" si="28"/>
        <v>1357.9863200454954</v>
      </c>
      <c r="BC79" s="555">
        <f t="shared" si="29"/>
        <v>5120950117.0557232</v>
      </c>
      <c r="BD79">
        <f t="shared" si="30"/>
        <v>35</v>
      </c>
      <c r="BE79" s="207">
        <f t="shared" si="31"/>
        <v>4.4623525050000001</v>
      </c>
      <c r="BF79" s="207">
        <f>'Inputs-Imperial'!$E$15*BE79</f>
        <v>3.3467643787500001</v>
      </c>
      <c r="BG79" s="207">
        <f>'Inputs-Imperial'!$E$12*BE79</f>
        <v>1.11558812625</v>
      </c>
      <c r="BH79">
        <f>'Inputs-Imperial'!$E$11*BE79</f>
        <v>0.80322345090000002</v>
      </c>
      <c r="BI79">
        <f t="shared" si="32"/>
        <v>0.85194712340917489</v>
      </c>
      <c r="BJ79">
        <f>'Weight '!U81+'Weight '!V81 /12</f>
        <v>2.4934383202099744E-2</v>
      </c>
      <c r="BK79">
        <f>('Weight '!AK81+'Weight '!AL81)/12</f>
        <v>9.186351706036747E-3</v>
      </c>
      <c r="BL79">
        <f>'Weight '!AG81/12</f>
        <v>0.10939845286391663</v>
      </c>
      <c r="BM79">
        <f>'Weight '!AI81/12</f>
        <v>0.10939845286391663</v>
      </c>
      <c r="BN79" s="554">
        <f t="shared" si="33"/>
        <v>2.4772028444460759</v>
      </c>
      <c r="BO79" s="554">
        <f t="shared" si="34"/>
        <v>4.7144174425461145</v>
      </c>
      <c r="BP79">
        <f t="shared" si="35"/>
        <v>0.10939845286391663</v>
      </c>
      <c r="BQ79">
        <f t="shared" si="35"/>
        <v>0.10939845286391663</v>
      </c>
      <c r="BR79">
        <f t="shared" si="36"/>
        <v>0.58442654517216686</v>
      </c>
      <c r="BS79">
        <f t="shared" si="37"/>
        <v>0.67204990841219248</v>
      </c>
      <c r="BT79">
        <f t="shared" si="38"/>
        <v>1.5673293953443745</v>
      </c>
      <c r="BU79">
        <f t="shared" si="39"/>
        <v>1.5676819333226668</v>
      </c>
      <c r="BV79">
        <f t="shared" si="40"/>
        <v>152.41921475551743</v>
      </c>
      <c r="BW79" s="207">
        <f t="shared" si="41"/>
        <v>90.618438143356315</v>
      </c>
      <c r="BX79">
        <f t="shared" si="42"/>
        <v>1.5941909442838511</v>
      </c>
      <c r="BY79" s="575">
        <f t="shared" si="43"/>
        <v>-55.130045224344627</v>
      </c>
      <c r="BZ79">
        <f t="shared" si="44"/>
        <v>170.79589649696564</v>
      </c>
      <c r="CA79" s="207">
        <f t="shared" si="45"/>
        <v>79.692872096196965</v>
      </c>
      <c r="CB79">
        <f t="shared" si="46"/>
        <v>1.6531389604993503</v>
      </c>
      <c r="CC79">
        <f t="shared" si="47"/>
        <v>162.4741662973162</v>
      </c>
      <c r="CD79">
        <f t="shared" si="48"/>
        <v>116.6378410645269</v>
      </c>
      <c r="CE79" s="207">
        <f t="shared" si="49"/>
        <v>111.89168905008931</v>
      </c>
      <c r="CF79">
        <f t="shared" si="50"/>
        <v>1.4794128234987478</v>
      </c>
      <c r="CG79">
        <f t="shared" si="51"/>
        <v>-36.42375141578259</v>
      </c>
      <c r="CH79">
        <f t="shared" si="52"/>
        <v>128.77909153645442</v>
      </c>
      <c r="CI79" s="207">
        <f t="shared" ref="CI79" si="173" xml:space="preserve"> ($BQ$38-CH79*($BP79+$BR79+$BQ79+$BN79))/($BP79+$BR79+$BQ79+$BO79)</f>
        <v>104.67330023580413</v>
      </c>
      <c r="CJ79">
        <f t="shared" si="54"/>
        <v>1.5183590619853931</v>
      </c>
      <c r="CK79">
        <f t="shared" si="55"/>
        <v>4.8927492233627436</v>
      </c>
      <c r="CL79">
        <f t="shared" si="56"/>
        <v>127.14817512866684</v>
      </c>
      <c r="CM79" s="207">
        <f t="shared" ref="CM79" si="174" xml:space="preserve"> ($BQ$38-CL79*($BP79+$BR79+$BQ79+$BN79))/($BP79+$BR79+$BQ79+$BO79)</f>
        <v>105.64293584147985</v>
      </c>
      <c r="CN79">
        <f t="shared" si="58"/>
        <v>1.5131274707653335</v>
      </c>
      <c r="CO79">
        <f t="shared" si="59"/>
        <v>-0.76720738570285363</v>
      </c>
      <c r="CP79">
        <f t="shared" si="60"/>
        <v>127.40391092390112</v>
      </c>
      <c r="CQ79" s="207">
        <f t="shared" ref="CQ79" si="175" xml:space="preserve"> ($BQ$38-CP79*($BP79+$BR79+$BQ79+$BN79))/($BP79+$BR79+$BQ79+$BO79)</f>
        <v>105.49089216130047</v>
      </c>
      <c r="CR79">
        <f t="shared" si="62"/>
        <v>1.5139478102595065</v>
      </c>
      <c r="CS79">
        <f t="shared" si="63"/>
        <v>0.11804569967561385</v>
      </c>
      <c r="CT79">
        <f t="shared" si="64"/>
        <v>127.36456235734258</v>
      </c>
      <c r="CU79" s="636">
        <f t="shared" si="65"/>
        <v>105.51428623041723</v>
      </c>
      <c r="CV79" s="575">
        <f t="shared" si="66"/>
        <v>1.5138215894339959</v>
      </c>
      <c r="CW79">
        <f t="shared" si="67"/>
        <v>-1.8217624452422143E-2</v>
      </c>
      <c r="CX79" s="576">
        <f t="shared" si="68"/>
        <v>0.33924294141661404</v>
      </c>
    </row>
    <row r="80" spans="1:102" x14ac:dyDescent="0.25">
      <c r="A80" s="186">
        <v>36</v>
      </c>
      <c r="B80" s="187">
        <f>A80/100*'Inputs-Imperial'!$E$5</f>
        <v>8.6692916159999989</v>
      </c>
      <c r="C80" s="188">
        <f>'Inputs-Imperial'!$E$10+('Inputs-Imperial'!$E$9-'Inputs-Imperial'!$E$10)*(100-A80)/100</f>
        <v>4.4445539480000003</v>
      </c>
      <c r="D80" s="187">
        <f t="shared" si="69"/>
        <v>0.24081365600000026</v>
      </c>
      <c r="E80" s="188">
        <f t="shared" si="70"/>
        <v>1.0724523532984624</v>
      </c>
      <c r="F80" s="423">
        <f>Sizing!F96</f>
        <v>554.65708045259794</v>
      </c>
      <c r="G80" s="423">
        <f>Sizing!G96</f>
        <v>5546.5708045259798</v>
      </c>
      <c r="H80" s="423">
        <f>Sizing!H96</f>
        <v>38744.52903604407</v>
      </c>
      <c r="I80" s="423">
        <f>Sizing!I96</f>
        <v>-11793.490528936545</v>
      </c>
      <c r="J80" s="189">
        <f>Sizing!J96</f>
        <v>3874.4529036044069</v>
      </c>
      <c r="K80" s="128">
        <v>36</v>
      </c>
      <c r="L80" s="12">
        <f t="shared" si="11"/>
        <v>104.03149939199999</v>
      </c>
      <c r="M80" s="11">
        <f t="shared" si="11"/>
        <v>53.334647376000007</v>
      </c>
      <c r="N80" s="11">
        <f t="shared" si="11"/>
        <v>2.8897638720000032</v>
      </c>
      <c r="O80" s="152">
        <f t="shared" si="71"/>
        <v>154.43313887497857</v>
      </c>
      <c r="P80" s="170">
        <f t="shared" si="162"/>
        <v>9.6002365276800017</v>
      </c>
      <c r="Q80" s="8">
        <f t="shared" si="163"/>
        <v>4.8001182638400008</v>
      </c>
      <c r="R80" s="170">
        <f>Sizing!X96</f>
        <v>13.333661844000002</v>
      </c>
      <c r="S80" s="8">
        <f>Sizing!Y96</f>
        <v>40.000985532000001</v>
      </c>
      <c r="T80" s="8">
        <f>Sizing!Z96</f>
        <v>26.667323688</v>
      </c>
      <c r="U80" s="17">
        <f>Sizing!CN96</f>
        <v>2.5</v>
      </c>
      <c r="V80" s="17">
        <f>Sizing!CO96</f>
        <v>2.3622047244094495E-2</v>
      </c>
      <c r="W80" s="17">
        <f>Sizing!CP96</f>
        <v>1.5748031496062995E-2</v>
      </c>
      <c r="X80" s="170">
        <f>Sizing!DU96</f>
        <v>1.7233950944186762</v>
      </c>
      <c r="Y80" s="170">
        <f>Sizing!DV96</f>
        <v>1.3127814343669995</v>
      </c>
      <c r="Z80" s="170">
        <f>Sizing!DW96</f>
        <v>1.7233950944186762</v>
      </c>
      <c r="AA80" s="272">
        <f>Sizing!DX96</f>
        <v>1.3127814343669995</v>
      </c>
      <c r="AB80" s="272">
        <f t="shared" si="12"/>
        <v>3.2087149358326874</v>
      </c>
      <c r="AC80" s="216">
        <f>Sizing!GJ96</f>
        <v>0.5</v>
      </c>
      <c r="AD80" s="216">
        <f>Sizing!GK96</f>
        <v>5.5118110236220486E-2</v>
      </c>
      <c r="AE80" s="17">
        <f>Sizing!GL96</f>
        <v>5.5118110236220486E-2</v>
      </c>
      <c r="AF80" s="170">
        <f>Sizing!JC96</f>
        <v>2.6878791448952534E-2</v>
      </c>
      <c r="AG80" s="272">
        <f>Sizing!JD96</f>
        <v>0.16394752651062636</v>
      </c>
      <c r="AH80" s="170">
        <f>Sizing!JC96</f>
        <v>2.6878791448952534E-2</v>
      </c>
      <c r="AI80" s="272">
        <f>Sizing!JD96</f>
        <v>0.16394752651062636</v>
      </c>
      <c r="AJ80" s="216">
        <f>Sizing!IT96</f>
        <v>0.5</v>
      </c>
      <c r="AK80" s="216">
        <f>Sizing!IU96</f>
        <v>1.5748031496062995E-2</v>
      </c>
      <c r="AL80" s="17">
        <f>Sizing!IV96</f>
        <v>1.5748031496062995E-2</v>
      </c>
      <c r="AM80" s="170">
        <f t="shared" si="13"/>
        <v>0</v>
      </c>
      <c r="AN80" s="11">
        <f t="shared" si="14"/>
        <v>4.4359550089816446</v>
      </c>
      <c r="AO80" s="11">
        <f t="shared" si="15"/>
        <v>4.4359550089816446</v>
      </c>
      <c r="AP80" s="11">
        <f t="shared" si="16"/>
        <v>8.8719100179632893</v>
      </c>
      <c r="AQ80" s="555">
        <f t="shared" si="17"/>
        <v>141544049.37038955</v>
      </c>
      <c r="AR80" s="311">
        <f t="shared" si="18"/>
        <v>13.743189425768238</v>
      </c>
      <c r="AS80" s="11">
        <f t="shared" si="19"/>
        <v>0.57807097224315418</v>
      </c>
      <c r="AT80" s="11">
        <f t="shared" si="20"/>
        <v>37.064340473853825</v>
      </c>
      <c r="AU80" s="11">
        <f t="shared" si="21"/>
        <v>37.642411446096979</v>
      </c>
      <c r="AV80" s="555">
        <f t="shared" si="22"/>
        <v>600553807.84509146</v>
      </c>
      <c r="AW80" s="138">
        <f t="shared" si="23"/>
        <v>3.9370078740157494E-2</v>
      </c>
      <c r="AX80" s="138">
        <f t="shared" si="24"/>
        <v>0.11023622047244097</v>
      </c>
      <c r="AY80" s="554">
        <f t="shared" si="25"/>
        <v>3.1496062992125991E-2</v>
      </c>
      <c r="AZ80" s="12">
        <f t="shared" si="26"/>
        <v>1206.4310256005524</v>
      </c>
      <c r="BA80" s="11">
        <f t="shared" si="27"/>
        <v>170.82166550778894</v>
      </c>
      <c r="BB80">
        <f t="shared" si="28"/>
        <v>1341.8016373746589</v>
      </c>
      <c r="BC80" s="555">
        <f t="shared" si="29"/>
        <v>5059917872.9201908</v>
      </c>
      <c r="BD80">
        <f t="shared" si="30"/>
        <v>36</v>
      </c>
      <c r="BE80" s="207">
        <f t="shared" si="31"/>
        <v>4.4445539480000003</v>
      </c>
      <c r="BF80" s="207">
        <f>'Inputs-Imperial'!$E$15*BE80</f>
        <v>3.3334154610000004</v>
      </c>
      <c r="BG80" s="207">
        <f>'Inputs-Imperial'!$E$12*BE80</f>
        <v>1.1111384870000001</v>
      </c>
      <c r="BH80">
        <f>'Inputs-Imperial'!$E$11*BE80</f>
        <v>0.80001971063999999</v>
      </c>
      <c r="BI80">
        <f t="shared" si="32"/>
        <v>0.84854904371466533</v>
      </c>
      <c r="BJ80">
        <f>'Weight '!U82+'Weight '!V82 /12</f>
        <v>2.4934383202099744E-2</v>
      </c>
      <c r="BK80">
        <f>('Weight '!AK82+'Weight '!AL82)/12</f>
        <v>9.186351706036747E-3</v>
      </c>
      <c r="BL80">
        <f>'Weight '!AG82/12</f>
        <v>0.10939845286391663</v>
      </c>
      <c r="BM80">
        <f>'Weight '!AI82/12</f>
        <v>0.10939845286391663</v>
      </c>
      <c r="BN80" s="554">
        <f t="shared" si="33"/>
        <v>2.4648395248074508</v>
      </c>
      <c r="BO80" s="554">
        <f t="shared" si="34"/>
        <v>4.6980962368235186</v>
      </c>
      <c r="BP80">
        <f t="shared" si="35"/>
        <v>0.10939845286391663</v>
      </c>
      <c r="BQ80">
        <f t="shared" si="35"/>
        <v>0.10939845286391663</v>
      </c>
      <c r="BR80">
        <f t="shared" si="36"/>
        <v>0.58122280491216682</v>
      </c>
      <c r="BS80">
        <f t="shared" si="37"/>
        <v>0.66669951813803063</v>
      </c>
      <c r="BT80">
        <f t="shared" si="38"/>
        <v>1.5548514173723644</v>
      </c>
      <c r="BU80">
        <f t="shared" si="39"/>
        <v>1.5428197273165332</v>
      </c>
      <c r="BV80">
        <f t="shared" si="40"/>
        <v>153.14595942494736</v>
      </c>
      <c r="BW80" s="207">
        <f t="shared" si="41"/>
        <v>90.940242944616003</v>
      </c>
      <c r="BX80">
        <f t="shared" si="42"/>
        <v>1.5881152739295512</v>
      </c>
      <c r="BY80" s="575">
        <f t="shared" si="43"/>
        <v>-54.967760157755492</v>
      </c>
      <c r="BZ80">
        <f t="shared" si="44"/>
        <v>171.46854614419919</v>
      </c>
      <c r="CA80" s="207">
        <f t="shared" si="45"/>
        <v>80.060031061264667</v>
      </c>
      <c r="CB80">
        <f t="shared" si="46"/>
        <v>1.646380819139367</v>
      </c>
      <c r="CC80">
        <f t="shared" si="47"/>
        <v>162.30834670306137</v>
      </c>
      <c r="CD80">
        <f t="shared" si="48"/>
        <v>117.36576390984541</v>
      </c>
      <c r="CE80" s="207">
        <f t="shared" si="49"/>
        <v>112.18703055146672</v>
      </c>
      <c r="CF80">
        <f t="shared" si="50"/>
        <v>1.4743348000617023</v>
      </c>
      <c r="CG80">
        <f t="shared" si="51"/>
        <v>-35.565508625590574</v>
      </c>
      <c r="CH80">
        <f t="shared" si="52"/>
        <v>129.22093345170893</v>
      </c>
      <c r="CI80" s="207">
        <f t="shared" ref="CI80" si="176" xml:space="preserve"> ($BQ$38-CH80*($BP80+$BR80+$BQ80+$BN80))/($BP80+$BR80+$BQ80+$BO80)</f>
        <v>105.14726272256077</v>
      </c>
      <c r="CJ80">
        <f t="shared" si="54"/>
        <v>1.512034057677206</v>
      </c>
      <c r="CK80">
        <f t="shared" si="55"/>
        <v>4.6078173524050925</v>
      </c>
      <c r="CL80">
        <f t="shared" si="56"/>
        <v>127.68499433424057</v>
      </c>
      <c r="CM80" s="207">
        <f t="shared" ref="CM80" si="177" xml:space="preserve"> ($BQ$38-CL80*($BP80+$BR80+$BQ80+$BN80))/($BP80+$BR80+$BQ80+$BO80)</f>
        <v>106.05932515643232</v>
      </c>
      <c r="CN80">
        <f t="shared" si="58"/>
        <v>1.5071497948021204</v>
      </c>
      <c r="CO80">
        <f t="shared" si="59"/>
        <v>-0.69778601347982949</v>
      </c>
      <c r="CP80">
        <f t="shared" si="60"/>
        <v>127.91758967206718</v>
      </c>
      <c r="CQ80" s="207">
        <f t="shared" ref="CQ80" si="178" xml:space="preserve"> ($BQ$38-CP80*($BP80+$BR80+$BQ80+$BN80))/($BP80+$BR80+$BQ80+$BO80)</f>
        <v>105.92120674567461</v>
      </c>
      <c r="CR80">
        <f t="shared" si="62"/>
        <v>1.5078894444148845</v>
      </c>
      <c r="CS80">
        <f t="shared" si="63"/>
        <v>0.10374137012719231</v>
      </c>
      <c r="CT80">
        <f t="shared" si="64"/>
        <v>127.88300921535811</v>
      </c>
      <c r="CU80" s="636">
        <f t="shared" si="65"/>
        <v>105.94174111136121</v>
      </c>
      <c r="CV80" s="575">
        <f t="shared" si="66"/>
        <v>1.5077794790920493</v>
      </c>
      <c r="CW80">
        <f t="shared" si="67"/>
        <v>-1.5467005540010348E-2</v>
      </c>
      <c r="CX80" s="576">
        <f t="shared" si="68"/>
        <v>0.33924202444894008</v>
      </c>
    </row>
    <row r="81" spans="1:102" x14ac:dyDescent="0.25">
      <c r="A81" s="186">
        <v>37</v>
      </c>
      <c r="B81" s="187">
        <f>A81/100*'Inputs-Imperial'!$E$5</f>
        <v>8.9101052719999991</v>
      </c>
      <c r="C81" s="188">
        <f>'Inputs-Imperial'!$E$10+('Inputs-Imperial'!$E$9-'Inputs-Imperial'!$E$10)*(100-A81)/100</f>
        <v>4.4267553910000004</v>
      </c>
      <c r="D81" s="187">
        <f t="shared" si="69"/>
        <v>0.24081365600000026</v>
      </c>
      <c r="E81" s="188">
        <f t="shared" si="70"/>
        <v>1.0681662177157678</v>
      </c>
      <c r="F81" s="423">
        <f>Sizing!F97</f>
        <v>543.76948418301583</v>
      </c>
      <c r="G81" s="423">
        <f>Sizing!G97</f>
        <v>5437.694841830159</v>
      </c>
      <c r="H81" s="423">
        <f>Sizing!H97</f>
        <v>37408.839042343308</v>
      </c>
      <c r="I81" s="423">
        <f>Sizing!I97</f>
        <v>-11512.364154701014</v>
      </c>
      <c r="J81" s="189">
        <f>Sizing!J97</f>
        <v>3740.8839042343307</v>
      </c>
      <c r="K81" s="128">
        <v>37</v>
      </c>
      <c r="L81" s="12">
        <f t="shared" si="11"/>
        <v>106.92126326399999</v>
      </c>
      <c r="M81" s="11">
        <f t="shared" si="11"/>
        <v>53.121064692000004</v>
      </c>
      <c r="N81" s="11">
        <f t="shared" si="11"/>
        <v>2.8897638720000032</v>
      </c>
      <c r="O81" s="152">
        <f t="shared" si="71"/>
        <v>153.81593535107055</v>
      </c>
      <c r="P81" s="170">
        <f t="shared" si="162"/>
        <v>9.5617916445600013</v>
      </c>
      <c r="Q81" s="8">
        <f t="shared" si="163"/>
        <v>4.7808958222800007</v>
      </c>
      <c r="R81" s="170">
        <f>Sizing!X97</f>
        <v>13.280266173000001</v>
      </c>
      <c r="S81" s="8">
        <f>Sizing!Y97</f>
        <v>39.840798519000003</v>
      </c>
      <c r="T81" s="8">
        <f>Sizing!Z97</f>
        <v>26.560532346000002</v>
      </c>
      <c r="U81" s="17">
        <f>Sizing!CN97</f>
        <v>2.5</v>
      </c>
      <c r="V81" s="17">
        <f>Sizing!CO97</f>
        <v>2.3622047244094495E-2</v>
      </c>
      <c r="W81" s="17">
        <f>Sizing!CP97</f>
        <v>1.5748031496062995E-2</v>
      </c>
      <c r="X81" s="170">
        <f>Sizing!DU97</f>
        <v>1.7233950944186762</v>
      </c>
      <c r="Y81" s="170">
        <f>Sizing!DV97</f>
        <v>1.3127814343669995</v>
      </c>
      <c r="Z81" s="170">
        <f>Sizing!DW97</f>
        <v>1.7233950944186762</v>
      </c>
      <c r="AA81" s="272">
        <f>Sizing!DX97</f>
        <v>1.3127814343669995</v>
      </c>
      <c r="AB81" s="272">
        <f t="shared" si="12"/>
        <v>3.170270052712687</v>
      </c>
      <c r="AC81" s="216">
        <f>Sizing!GJ97</f>
        <v>0.5</v>
      </c>
      <c r="AD81" s="216">
        <f>Sizing!GK97</f>
        <v>5.5118110236220486E-2</v>
      </c>
      <c r="AE81" s="17">
        <f>Sizing!GL97</f>
        <v>5.5118110236220486E-2</v>
      </c>
      <c r="AF81" s="170">
        <f>Sizing!JC97</f>
        <v>2.6878791448952534E-2</v>
      </c>
      <c r="AG81" s="272">
        <f>Sizing!JD97</f>
        <v>0.16394752651062636</v>
      </c>
      <c r="AH81" s="170">
        <f>Sizing!JC97</f>
        <v>2.6878791448952534E-2</v>
      </c>
      <c r="AI81" s="272">
        <f>Sizing!JD97</f>
        <v>0.16394752651062636</v>
      </c>
      <c r="AJ81" s="216">
        <f>Sizing!IT97</f>
        <v>0.5</v>
      </c>
      <c r="AK81" s="216">
        <f>Sizing!IU97</f>
        <v>1.5748031496062995E-2</v>
      </c>
      <c r="AL81" s="17">
        <f>Sizing!IV97</f>
        <v>1.5748031496062995E-2</v>
      </c>
      <c r="AM81" s="170">
        <f t="shared" si="13"/>
        <v>0</v>
      </c>
      <c r="AN81" s="11">
        <f t="shared" si="14"/>
        <v>4.3302939434167422</v>
      </c>
      <c r="AO81" s="11">
        <f t="shared" si="15"/>
        <v>4.3302939434167422</v>
      </c>
      <c r="AP81" s="11">
        <f t="shared" si="16"/>
        <v>8.6605878868334845</v>
      </c>
      <c r="AQ81" s="555">
        <f t="shared" si="17"/>
        <v>138172578.05236104</v>
      </c>
      <c r="AR81" s="311">
        <f t="shared" si="18"/>
        <v>13.688153770173054</v>
      </c>
      <c r="AS81" s="11">
        <f t="shared" si="19"/>
        <v>0.57345038351045852</v>
      </c>
      <c r="AT81" s="11">
        <f t="shared" si="20"/>
        <v>36.768080875636016</v>
      </c>
      <c r="AU81" s="11">
        <f t="shared" si="21"/>
        <v>37.341531259146478</v>
      </c>
      <c r="AV81" s="555">
        <f t="shared" si="22"/>
        <v>595753511.18404961</v>
      </c>
      <c r="AW81" s="138">
        <f t="shared" si="23"/>
        <v>3.9370078740157494E-2</v>
      </c>
      <c r="AX81" s="138">
        <f t="shared" si="24"/>
        <v>0.11023622047244097</v>
      </c>
      <c r="AY81" s="554">
        <f t="shared" si="25"/>
        <v>3.1496062992125991E-2</v>
      </c>
      <c r="AZ81" s="12">
        <f t="shared" si="26"/>
        <v>1196.7878816418986</v>
      </c>
      <c r="BA81" s="11">
        <f t="shared" si="27"/>
        <v>170.13759705323827</v>
      </c>
      <c r="BB81">
        <f t="shared" si="28"/>
        <v>1325.7460625961337</v>
      </c>
      <c r="BC81" s="555">
        <f t="shared" si="29"/>
        <v>4999372493.09727</v>
      </c>
      <c r="BD81">
        <f t="shared" si="30"/>
        <v>37</v>
      </c>
      <c r="BE81" s="207">
        <f t="shared" si="31"/>
        <v>4.4267553910000004</v>
      </c>
      <c r="BF81" s="207">
        <f>'Inputs-Imperial'!$E$15*BE81</f>
        <v>3.3200665432500003</v>
      </c>
      <c r="BG81" s="207">
        <f>'Inputs-Imperial'!$E$12*BE81</f>
        <v>1.1066888477500001</v>
      </c>
      <c r="BH81">
        <f>'Inputs-Imperial'!$E$11*BE81</f>
        <v>0.79681597038000007</v>
      </c>
      <c r="BI81">
        <f t="shared" si="32"/>
        <v>0.84515096402015588</v>
      </c>
      <c r="BJ81">
        <f>'Weight '!U83+'Weight '!V83 /12</f>
        <v>2.4934383202099744E-2</v>
      </c>
      <c r="BK81">
        <f>('Weight '!AK83+'Weight '!AL83)/12</f>
        <v>9.186351706036747E-3</v>
      </c>
      <c r="BL81">
        <f>'Weight '!AG83/12</f>
        <v>0.10939845286391663</v>
      </c>
      <c r="BM81">
        <f>'Weight '!AI83/12</f>
        <v>0.10939845286391663</v>
      </c>
      <c r="BN81" s="554">
        <f t="shared" si="33"/>
        <v>2.4524737881285366</v>
      </c>
      <c r="BO81" s="554">
        <f t="shared" si="34"/>
        <v>4.681777448141208</v>
      </c>
      <c r="BP81">
        <f t="shared" si="35"/>
        <v>0.10939845286391663</v>
      </c>
      <c r="BQ81">
        <f t="shared" si="35"/>
        <v>0.10939845286391663</v>
      </c>
      <c r="BR81">
        <f t="shared" si="36"/>
        <v>0.5780190646521669</v>
      </c>
      <c r="BS81">
        <f t="shared" si="37"/>
        <v>0.66137051109648037</v>
      </c>
      <c r="BT81">
        <f t="shared" si="38"/>
        <v>1.5424233085672427</v>
      </c>
      <c r="BU81">
        <f t="shared" si="39"/>
        <v>1.5182544217315221</v>
      </c>
      <c r="BV81">
        <f t="shared" si="40"/>
        <v>153.87978209413558</v>
      </c>
      <c r="BW81" s="207">
        <f t="shared" si="41"/>
        <v>91.264301218205915</v>
      </c>
      <c r="BX81">
        <f t="shared" si="42"/>
        <v>1.5820400010089017</v>
      </c>
      <c r="BY81" s="575">
        <f t="shared" si="43"/>
        <v>-54.803948101288725</v>
      </c>
      <c r="BZ81">
        <f t="shared" si="44"/>
        <v>172.14776479456515</v>
      </c>
      <c r="CA81" s="207">
        <f t="shared" si="45"/>
        <v>80.429774075445451</v>
      </c>
      <c r="CB81">
        <f t="shared" si="46"/>
        <v>1.6396266655240679</v>
      </c>
      <c r="CC81">
        <f t="shared" si="47"/>
        <v>162.14622585684239</v>
      </c>
      <c r="CD81">
        <f t="shared" si="48"/>
        <v>118.09902284228434</v>
      </c>
      <c r="CE81" s="207">
        <f t="shared" si="49"/>
        <v>112.48545155866711</v>
      </c>
      <c r="CF81">
        <f t="shared" si="50"/>
        <v>1.469247329101794</v>
      </c>
      <c r="CG81">
        <f t="shared" si="51"/>
        <v>-34.709138875354995</v>
      </c>
      <c r="CH81">
        <f t="shared" si="52"/>
        <v>129.66873580073602</v>
      </c>
      <c r="CI81" s="207">
        <f t="shared" ref="CI81" si="179" xml:space="preserve"> ($BQ$38-CH81*($BP81+$BR81+$BQ81+$BN81))/($BP81+$BR81+$BQ81+$BO81)</f>
        <v>105.62358995424681</v>
      </c>
      <c r="CJ81">
        <f t="shared" si="54"/>
        <v>1.5057188536045762</v>
      </c>
      <c r="CK81">
        <f t="shared" si="55"/>
        <v>4.331313583650374</v>
      </c>
      <c r="CL81">
        <f t="shared" si="56"/>
        <v>128.22496460618589</v>
      </c>
      <c r="CM81" s="207">
        <f t="shared" ref="CM81" si="180" xml:space="preserve"> ($BQ$38-CL81*($BP81+$BR81+$BQ81+$BN81))/($BP81+$BR81+$BQ81+$BO81)</f>
        <v>106.47987378436675</v>
      </c>
      <c r="CN81">
        <f t="shared" si="58"/>
        <v>1.5011676139422319</v>
      </c>
      <c r="CO81">
        <f t="shared" si="59"/>
        <v>-0.63267082399256935</v>
      </c>
      <c r="CP81">
        <f t="shared" si="60"/>
        <v>128.43585488085009</v>
      </c>
      <c r="CQ81" s="207">
        <f t="shared" ref="CQ81" si="181" xml:space="preserve"> ($BQ$38-CP81*($BP81+$BR81+$BQ81+$BN81))/($BP81+$BR81+$BQ81+$BO81)</f>
        <v>106.35479722597152</v>
      </c>
      <c r="CR81">
        <f t="shared" si="62"/>
        <v>1.5018324091577602</v>
      </c>
      <c r="CS81">
        <f t="shared" si="63"/>
        <v>9.0774394229283573E-2</v>
      </c>
      <c r="CT81">
        <f t="shared" si="64"/>
        <v>128.40559674944032</v>
      </c>
      <c r="CU81" s="636">
        <f t="shared" si="65"/>
        <v>106.37274297025124</v>
      </c>
      <c r="CV81" s="575">
        <f t="shared" si="66"/>
        <v>1.5017370256175562</v>
      </c>
      <c r="CW81">
        <f t="shared" si="67"/>
        <v>-1.3058594339096175E-2</v>
      </c>
      <c r="CX81" s="576">
        <f t="shared" si="68"/>
        <v>0.33924102259427419</v>
      </c>
    </row>
    <row r="82" spans="1:102" x14ac:dyDescent="0.25">
      <c r="A82" s="186">
        <v>38</v>
      </c>
      <c r="B82" s="187">
        <f>A82/100*'Inputs-Imperial'!$E$5</f>
        <v>9.1509189279999994</v>
      </c>
      <c r="C82" s="188">
        <f>'Inputs-Imperial'!$E$10+('Inputs-Imperial'!$E$9-'Inputs-Imperial'!$E$10)*(100-A82)/100</f>
        <v>4.4089568340000005</v>
      </c>
      <c r="D82" s="187">
        <f t="shared" si="69"/>
        <v>0.24081365600000026</v>
      </c>
      <c r="E82" s="188">
        <f t="shared" si="70"/>
        <v>1.0638800821330736</v>
      </c>
      <c r="F82" s="423">
        <f>Sizing!F98</f>
        <v>532.92710362061098</v>
      </c>
      <c r="G82" s="423">
        <f>Sizing!G98</f>
        <v>5329.2710362061107</v>
      </c>
      <c r="H82" s="423">
        <f>Sizing!H98</f>
        <v>36099.367867269844</v>
      </c>
      <c r="I82" s="423">
        <f>Sizing!I98</f>
        <v>-11233.580273378191</v>
      </c>
      <c r="J82" s="189">
        <f>Sizing!J98</f>
        <v>3609.9367867269843</v>
      </c>
      <c r="K82" s="128">
        <v>38</v>
      </c>
      <c r="L82" s="12">
        <f t="shared" si="11"/>
        <v>109.81102713599999</v>
      </c>
      <c r="M82" s="11">
        <f t="shared" si="11"/>
        <v>52.907482008000002</v>
      </c>
      <c r="N82" s="11">
        <f t="shared" si="11"/>
        <v>2.8897638720000032</v>
      </c>
      <c r="O82" s="152">
        <f t="shared" si="71"/>
        <v>153.19873182716259</v>
      </c>
      <c r="P82" s="170">
        <f t="shared" si="162"/>
        <v>9.5233467614400009</v>
      </c>
      <c r="Q82" s="8">
        <f t="shared" si="163"/>
        <v>4.7616733807200005</v>
      </c>
      <c r="R82" s="170">
        <f>Sizing!X98</f>
        <v>13.226870502000001</v>
      </c>
      <c r="S82" s="8">
        <f>Sizing!Y98</f>
        <v>39.680611506000005</v>
      </c>
      <c r="T82" s="8">
        <f>Sizing!Z98</f>
        <v>26.453741004000005</v>
      </c>
      <c r="U82" s="17">
        <f>Sizing!CN98</f>
        <v>2.5</v>
      </c>
      <c r="V82" s="17">
        <f>Sizing!CO98</f>
        <v>2.3622047244094495E-2</v>
      </c>
      <c r="W82" s="17">
        <f>Sizing!CP98</f>
        <v>1.5748031496062995E-2</v>
      </c>
      <c r="X82" s="170">
        <f>Sizing!DU98</f>
        <v>1.7233950944186762</v>
      </c>
      <c r="Y82" s="170">
        <f>Sizing!DV98</f>
        <v>1.3127814343669995</v>
      </c>
      <c r="Z82" s="170">
        <f>Sizing!DW98</f>
        <v>1.7233950944186762</v>
      </c>
      <c r="AA82" s="272">
        <f>Sizing!DX98</f>
        <v>1.3127814343669995</v>
      </c>
      <c r="AB82" s="272">
        <f t="shared" si="12"/>
        <v>3.1318251695926866</v>
      </c>
      <c r="AC82" s="216">
        <f>Sizing!GJ98</f>
        <v>0.5</v>
      </c>
      <c r="AD82" s="216">
        <f>Sizing!GK98</f>
        <v>5.5118110236220486E-2</v>
      </c>
      <c r="AE82" s="17">
        <f>Sizing!GL98</f>
        <v>5.5118110236220486E-2</v>
      </c>
      <c r="AF82" s="170">
        <f>Sizing!JC98</f>
        <v>2.6878791448952534E-2</v>
      </c>
      <c r="AG82" s="272">
        <f>Sizing!JD98</f>
        <v>0.16394752651062636</v>
      </c>
      <c r="AH82" s="170">
        <f>Sizing!JC98</f>
        <v>2.6878791448952534E-2</v>
      </c>
      <c r="AI82" s="272">
        <f>Sizing!JD98</f>
        <v>0.16394752651062636</v>
      </c>
      <c r="AJ82" s="216">
        <f>Sizing!IT98</f>
        <v>0.5</v>
      </c>
      <c r="AK82" s="216">
        <f>Sizing!IU98</f>
        <v>1.5748031496062995E-2</v>
      </c>
      <c r="AL82" s="17">
        <f>Sizing!IV98</f>
        <v>1.5748031496062995E-2</v>
      </c>
      <c r="AM82" s="170">
        <f t="shared" si="13"/>
        <v>0</v>
      </c>
      <c r="AN82" s="11">
        <f t="shared" si="14"/>
        <v>4.2259064746147335</v>
      </c>
      <c r="AO82" s="11">
        <f t="shared" si="15"/>
        <v>4.2259064746147335</v>
      </c>
      <c r="AP82" s="11">
        <f t="shared" si="16"/>
        <v>8.4518129492294669</v>
      </c>
      <c r="AQ82" s="555">
        <f t="shared" si="17"/>
        <v>134841745.11833778</v>
      </c>
      <c r="AR82" s="311">
        <f t="shared" si="18"/>
        <v>13.633118114577874</v>
      </c>
      <c r="AS82" s="11">
        <f t="shared" si="19"/>
        <v>0.56884833540324076</v>
      </c>
      <c r="AT82" s="11">
        <f t="shared" si="20"/>
        <v>36.473010051959619</v>
      </c>
      <c r="AU82" s="11">
        <f t="shared" si="21"/>
        <v>37.041858387362858</v>
      </c>
      <c r="AV82" s="555">
        <f t="shared" si="22"/>
        <v>590972476.2464968</v>
      </c>
      <c r="AW82" s="138">
        <f t="shared" si="23"/>
        <v>3.9370078740157494E-2</v>
      </c>
      <c r="AX82" s="138">
        <f t="shared" si="24"/>
        <v>0.11023622047244097</v>
      </c>
      <c r="AY82" s="554">
        <f t="shared" si="25"/>
        <v>3.1496062992125991E-2</v>
      </c>
      <c r="AZ82" s="12">
        <f t="shared" si="26"/>
        <v>1187.1834318693789</v>
      </c>
      <c r="BA82" s="11">
        <f t="shared" si="27"/>
        <v>169.4535285986876</v>
      </c>
      <c r="BB82">
        <f t="shared" si="28"/>
        <v>1309.8190786874679</v>
      </c>
      <c r="BC82" s="555">
        <f t="shared" si="29"/>
        <v>4939312027.9014978</v>
      </c>
      <c r="BD82">
        <f t="shared" si="30"/>
        <v>38</v>
      </c>
      <c r="BE82" s="207">
        <f t="shared" si="31"/>
        <v>4.4089568340000005</v>
      </c>
      <c r="BF82" s="207">
        <f>'Inputs-Imperial'!$E$15*BE82</f>
        <v>3.3067176255000001</v>
      </c>
      <c r="BG82" s="207">
        <f>'Inputs-Imperial'!$E$12*BE82</f>
        <v>1.1022392085000001</v>
      </c>
      <c r="BH82">
        <f>'Inputs-Imperial'!$E$11*BE82</f>
        <v>0.79361223012000004</v>
      </c>
      <c r="BI82">
        <f t="shared" si="32"/>
        <v>0.84175288432564632</v>
      </c>
      <c r="BJ82">
        <f>'Weight '!U84+'Weight '!V84 /12</f>
        <v>2.4934383202099744E-2</v>
      </c>
      <c r="BK82">
        <f>('Weight '!AK84+'Weight '!AL84)/12</f>
        <v>9.186351706036747E-3</v>
      </c>
      <c r="BL82">
        <f>'Weight '!AG84/12</f>
        <v>0.10939845286391663</v>
      </c>
      <c r="BM82">
        <f>'Weight '!AI84/12</f>
        <v>0.10939845286391663</v>
      </c>
      <c r="BN82" s="554">
        <f t="shared" si="33"/>
        <v>2.4401056584918761</v>
      </c>
      <c r="BO82" s="554">
        <f t="shared" si="34"/>
        <v>4.6654610524166484</v>
      </c>
      <c r="BP82">
        <f t="shared" si="35"/>
        <v>0.10939845286391663</v>
      </c>
      <c r="BQ82">
        <f t="shared" si="35"/>
        <v>0.10939845286391663</v>
      </c>
      <c r="BR82">
        <f t="shared" si="36"/>
        <v>0.57481532439216687</v>
      </c>
      <c r="BS82">
        <f t="shared" si="37"/>
        <v>0.65606288728754159</v>
      </c>
      <c r="BT82">
        <f t="shared" si="38"/>
        <v>1.5300450689290086</v>
      </c>
      <c r="BU82">
        <f t="shared" si="39"/>
        <v>1.4939836434142673</v>
      </c>
      <c r="BV82">
        <f t="shared" si="40"/>
        <v>154.62078549302049</v>
      </c>
      <c r="BW82" s="207">
        <f t="shared" si="41"/>
        <v>91.590637114082995</v>
      </c>
      <c r="BX82">
        <f t="shared" si="42"/>
        <v>1.5759651253274995</v>
      </c>
      <c r="BY82" s="575">
        <f t="shared" si="43"/>
        <v>-54.638590784745801</v>
      </c>
      <c r="BZ82">
        <f t="shared" si="44"/>
        <v>172.83364908793575</v>
      </c>
      <c r="CA82" s="207">
        <f t="shared" si="45"/>
        <v>80.802127826594756</v>
      </c>
      <c r="CB82">
        <f t="shared" si="46"/>
        <v>1.6328765039520403</v>
      </c>
      <c r="CC82">
        <f t="shared" si="47"/>
        <v>161.98785424432441</v>
      </c>
      <c r="CD82">
        <f t="shared" si="48"/>
        <v>118.83769767316096</v>
      </c>
      <c r="CE82" s="207">
        <f t="shared" si="49"/>
        <v>112.78698404040264</v>
      </c>
      <c r="CF82">
        <f t="shared" si="50"/>
        <v>1.4641504813173303</v>
      </c>
      <c r="CG82">
        <f t="shared" si="51"/>
        <v>-33.854608633691555</v>
      </c>
      <c r="CH82">
        <f t="shared" si="52"/>
        <v>130.12256721772482</v>
      </c>
      <c r="CI82" s="207">
        <f t="shared" ref="CI82" si="182" xml:space="preserve"> ($BQ$38-CH82*($BP82+$BR82+$BQ82+$BN82))/($BP82+$BR82+$BQ82+$BO82)</f>
        <v>106.10231749935362</v>
      </c>
      <c r="CJ82">
        <f t="shared" si="54"/>
        <v>1.4994133316666034</v>
      </c>
      <c r="CK82">
        <f t="shared" si="55"/>
        <v>4.063205975637814</v>
      </c>
      <c r="CL82">
        <f t="shared" si="56"/>
        <v>128.76816522584556</v>
      </c>
      <c r="CM82" s="207">
        <f t="shared" ref="CM82" si="183" xml:space="preserve"> ($BQ$38-CL82*($BP82+$BR82+$BQ82+$BN82))/($BP82+$BR82+$BQ82+$BO82)</f>
        <v>106.90460640863098</v>
      </c>
      <c r="CN82">
        <f t="shared" si="58"/>
        <v>1.4951811095249303</v>
      </c>
      <c r="CO82">
        <f t="shared" si="59"/>
        <v>-0.57171897172807462</v>
      </c>
      <c r="CP82">
        <f t="shared" si="60"/>
        <v>128.95873821642158</v>
      </c>
      <c r="CQ82" s="207">
        <f t="shared" ref="CQ82" si="184" xml:space="preserve"> ($BQ$38-CP82*($BP82+$BR82+$BQ82+$BN82))/($BP82+$BR82+$BQ82+$BO82)</f>
        <v>106.79171924686977</v>
      </c>
      <c r="CR82">
        <f t="shared" si="62"/>
        <v>1.4957766101481993</v>
      </c>
      <c r="CS82">
        <f t="shared" si="63"/>
        <v>7.9058380553290064E-2</v>
      </c>
      <c r="CT82">
        <f t="shared" si="64"/>
        <v>128.93238542290382</v>
      </c>
      <c r="CU82" s="636">
        <f t="shared" si="65"/>
        <v>106.80732949707212</v>
      </c>
      <c r="CV82" s="575">
        <f t="shared" si="66"/>
        <v>1.4956942631958987</v>
      </c>
      <c r="CW82">
        <f t="shared" si="67"/>
        <v>-1.0959388430881845E-2</v>
      </c>
      <c r="CX82" s="576">
        <f t="shared" si="68"/>
        <v>0.33923994257819456</v>
      </c>
    </row>
    <row r="83" spans="1:102" x14ac:dyDescent="0.25">
      <c r="A83" s="186">
        <v>39</v>
      </c>
      <c r="B83" s="187">
        <f>A83/100*'Inputs-Imperial'!$E$5</f>
        <v>9.3917325839999997</v>
      </c>
      <c r="C83" s="188">
        <f>'Inputs-Imperial'!$E$10+('Inputs-Imperial'!$E$9-'Inputs-Imperial'!$E$10)*(100-A83)/100</f>
        <v>4.3911582770000006</v>
      </c>
      <c r="D83" s="187">
        <f t="shared" si="69"/>
        <v>0.24081365600000026</v>
      </c>
      <c r="E83" s="188">
        <f t="shared" si="70"/>
        <v>1.0595939465503792</v>
      </c>
      <c r="F83" s="423">
        <f>Sizing!F99</f>
        <v>522.13071476992855</v>
      </c>
      <c r="G83" s="423">
        <f>Sizing!G99</f>
        <v>5221.3071476992864</v>
      </c>
      <c r="H83" s="423">
        <f>Sizing!H99</f>
        <v>34816.006625226139</v>
      </c>
      <c r="I83" s="423">
        <f>Sizing!I99</f>
        <v>-10957.168994321464</v>
      </c>
      <c r="J83" s="189">
        <f>Sizing!J99</f>
        <v>3481.6006625226141</v>
      </c>
      <c r="K83" s="128">
        <v>39</v>
      </c>
      <c r="L83" s="12">
        <f t="shared" si="11"/>
        <v>112.700791008</v>
      </c>
      <c r="M83" s="11">
        <f t="shared" si="11"/>
        <v>52.693899324000007</v>
      </c>
      <c r="N83" s="11">
        <f t="shared" si="11"/>
        <v>2.8897638720000032</v>
      </c>
      <c r="O83" s="152">
        <f t="shared" si="71"/>
        <v>152.58152830325463</v>
      </c>
      <c r="P83" s="170">
        <f t="shared" si="162"/>
        <v>9.4849018783200005</v>
      </c>
      <c r="Q83" s="8">
        <f t="shared" si="163"/>
        <v>4.7424509391600003</v>
      </c>
      <c r="R83" s="170">
        <f>Sizing!X99</f>
        <v>13.173474831000002</v>
      </c>
      <c r="S83" s="8">
        <f>Sizing!Y99</f>
        <v>39.520424493000007</v>
      </c>
      <c r="T83" s="8">
        <f>Sizing!Z99</f>
        <v>26.346949662000007</v>
      </c>
      <c r="U83" s="17">
        <f>Sizing!CN99</f>
        <v>2.5</v>
      </c>
      <c r="V83" s="17">
        <f>Sizing!CO99</f>
        <v>2.3622047244094495E-2</v>
      </c>
      <c r="W83" s="17">
        <f>Sizing!CP99</f>
        <v>1.5748031496062995E-2</v>
      </c>
      <c r="X83" s="170">
        <f>Sizing!DU99</f>
        <v>1.7233950944186762</v>
      </c>
      <c r="Y83" s="170">
        <f>Sizing!DV99</f>
        <v>1.3127814343669995</v>
      </c>
      <c r="Z83" s="170">
        <f>Sizing!DW99</f>
        <v>1.7233950944186762</v>
      </c>
      <c r="AA83" s="272">
        <f>Sizing!DX99</f>
        <v>1.3127814343669995</v>
      </c>
      <c r="AB83" s="272">
        <f t="shared" si="12"/>
        <v>3.0933802864726863</v>
      </c>
      <c r="AC83" s="216">
        <f>Sizing!GJ99</f>
        <v>0.5</v>
      </c>
      <c r="AD83" s="216">
        <f>Sizing!GK99</f>
        <v>5.5118110236220486E-2</v>
      </c>
      <c r="AE83" s="17">
        <f>Sizing!GL99</f>
        <v>5.5118110236220486E-2</v>
      </c>
      <c r="AF83" s="170">
        <f>Sizing!JC99</f>
        <v>2.6878791448952534E-2</v>
      </c>
      <c r="AG83" s="272">
        <f>Sizing!JD99</f>
        <v>0.16394752651062636</v>
      </c>
      <c r="AH83" s="170">
        <f>Sizing!JC99</f>
        <v>2.6878791448952534E-2</v>
      </c>
      <c r="AI83" s="272">
        <f>Sizing!JD99</f>
        <v>0.16394752651062636</v>
      </c>
      <c r="AJ83" s="216">
        <f>Sizing!IT99</f>
        <v>0.5</v>
      </c>
      <c r="AK83" s="216">
        <f>Sizing!IU99</f>
        <v>1.5748031496062995E-2</v>
      </c>
      <c r="AL83" s="17">
        <f>Sizing!IV99</f>
        <v>1.5748031496062995E-2</v>
      </c>
      <c r="AM83" s="170">
        <f t="shared" si="13"/>
        <v>0</v>
      </c>
      <c r="AN83" s="11">
        <f t="shared" si="14"/>
        <v>4.1227926025756174</v>
      </c>
      <c r="AO83" s="11">
        <f t="shared" si="15"/>
        <v>4.1227926025756174</v>
      </c>
      <c r="AP83" s="11">
        <f t="shared" si="16"/>
        <v>8.2455852051512348</v>
      </c>
      <c r="AQ83" s="555">
        <f t="shared" si="17"/>
        <v>131551550.56831972</v>
      </c>
      <c r="AR83" s="311">
        <f t="shared" si="18"/>
        <v>13.578082458982694</v>
      </c>
      <c r="AS83" s="11">
        <f t="shared" si="19"/>
        <v>0.56426482792148602</v>
      </c>
      <c r="AT83" s="11">
        <f t="shared" si="20"/>
        <v>36.179128002824676</v>
      </c>
      <c r="AU83" s="11">
        <f t="shared" si="21"/>
        <v>36.74339283074616</v>
      </c>
      <c r="AV83" s="555">
        <f t="shared" si="22"/>
        <v>586210703.03243375</v>
      </c>
      <c r="AW83" s="138">
        <f t="shared" si="23"/>
        <v>3.9370078740157494E-2</v>
      </c>
      <c r="AX83" s="138">
        <f t="shared" si="24"/>
        <v>0.11023622047244097</v>
      </c>
      <c r="AY83" s="554">
        <f t="shared" si="25"/>
        <v>3.1496062992125991E-2</v>
      </c>
      <c r="AZ83" s="12">
        <f t="shared" si="26"/>
        <v>1177.617676282993</v>
      </c>
      <c r="BA83" s="11">
        <f t="shared" si="27"/>
        <v>168.76946014413707</v>
      </c>
      <c r="BB83">
        <f t="shared" si="28"/>
        <v>1294.020168626208</v>
      </c>
      <c r="BC83" s="555">
        <f t="shared" si="29"/>
        <v>4879734527.6474075</v>
      </c>
      <c r="BD83">
        <f t="shared" si="30"/>
        <v>39</v>
      </c>
      <c r="BE83" s="207">
        <f t="shared" si="31"/>
        <v>4.3911582770000006</v>
      </c>
      <c r="BF83" s="207">
        <f>'Inputs-Imperial'!$E$15*BE83</f>
        <v>3.2933687077500005</v>
      </c>
      <c r="BG83" s="207">
        <f>'Inputs-Imperial'!$E$12*BE83</f>
        <v>1.0977895692500002</v>
      </c>
      <c r="BH83">
        <f>'Inputs-Imperial'!$E$11*BE83</f>
        <v>0.79040848986000012</v>
      </c>
      <c r="BI83">
        <f t="shared" si="32"/>
        <v>0.83835480463113687</v>
      </c>
      <c r="BJ83">
        <f>'Weight '!U85+'Weight '!V85 /12</f>
        <v>2.4934383202099744E-2</v>
      </c>
      <c r="BK83">
        <f>('Weight '!AK85+'Weight '!AL85)/12</f>
        <v>9.186351706036747E-3</v>
      </c>
      <c r="BL83">
        <f>'Weight '!AG85/12</f>
        <v>0.10939845286391663</v>
      </c>
      <c r="BM83">
        <f>'Weight '!AI85/12</f>
        <v>0.10939845286391663</v>
      </c>
      <c r="BN83" s="554">
        <f t="shared" si="33"/>
        <v>2.4277351609405358</v>
      </c>
      <c r="BO83" s="554">
        <f t="shared" si="34"/>
        <v>4.6491470246067665</v>
      </c>
      <c r="BP83">
        <f t="shared" si="35"/>
        <v>0.10939845286391663</v>
      </c>
      <c r="BQ83">
        <f t="shared" si="35"/>
        <v>0.10939845286391663</v>
      </c>
      <c r="BR83">
        <f t="shared" si="36"/>
        <v>0.57161158413216695</v>
      </c>
      <c r="BS83">
        <f t="shared" si="37"/>
        <v>0.65077664671121449</v>
      </c>
      <c r="BT83">
        <f t="shared" si="38"/>
        <v>1.5177166984576629</v>
      </c>
      <c r="BU83">
        <f t="shared" si="39"/>
        <v>1.4700050287339441</v>
      </c>
      <c r="BV83">
        <f t="shared" si="40"/>
        <v>155.36907430332437</v>
      </c>
      <c r="BW83" s="207">
        <f t="shared" si="41"/>
        <v>91.919275144857949</v>
      </c>
      <c r="BX83">
        <f t="shared" si="42"/>
        <v>1.5698906466355356</v>
      </c>
      <c r="BY83" s="575">
        <f t="shared" si="43"/>
        <v>-54.471669675597923</v>
      </c>
      <c r="BZ83">
        <f t="shared" si="44"/>
        <v>173.52629752852368</v>
      </c>
      <c r="CA83" s="207">
        <f t="shared" si="45"/>
        <v>81.177119378097416</v>
      </c>
      <c r="CB83">
        <f t="shared" si="46"/>
        <v>1.6261303386929913</v>
      </c>
      <c r="CC83">
        <f t="shared" si="47"/>
        <v>161.83328319615515</v>
      </c>
      <c r="CD83">
        <f t="shared" si="48"/>
        <v>119.58186979647198</v>
      </c>
      <c r="CE83" s="207">
        <f t="shared" si="49"/>
        <v>113.09166039900811</v>
      </c>
      <c r="CF83">
        <f t="shared" si="50"/>
        <v>1.4590443274544549</v>
      </c>
      <c r="CG83">
        <f t="shared" si="51"/>
        <v>-33.001883451416163</v>
      </c>
      <c r="CH83">
        <f t="shared" si="52"/>
        <v>130.58249761361071</v>
      </c>
      <c r="CI83" s="207">
        <f t="shared" ref="CI83" si="185" xml:space="preserve"> ($BQ$38-CH83*($BP83+$BR83+$BQ83+$BN83))/($BP83+$BR83+$BQ83+$BO83)</f>
        <v>106.58348147328661</v>
      </c>
      <c r="CJ83">
        <f t="shared" si="54"/>
        <v>1.4931173744838018</v>
      </c>
      <c r="CK83">
        <f t="shared" si="55"/>
        <v>3.8034632120891807</v>
      </c>
      <c r="CL83">
        <f t="shared" si="56"/>
        <v>129.31467654291433</v>
      </c>
      <c r="CM83" s="207">
        <f t="shared" ref="CM83" si="186" xml:space="preserve"> ($BQ$38-CL83*($BP83+$BR83+$BQ83+$BN83))/($BP83+$BR83+$BQ83+$BO83)</f>
        <v>107.33354833411039</v>
      </c>
      <c r="CN83">
        <f t="shared" si="58"/>
        <v>1.4891904597945025</v>
      </c>
      <c r="CO83">
        <f t="shared" si="59"/>
        <v>-0.51478849438730734</v>
      </c>
      <c r="CP83">
        <f t="shared" si="60"/>
        <v>129.4862727077101</v>
      </c>
      <c r="CQ83" s="207">
        <f t="shared" ref="CQ83" si="187" xml:space="preserve"> ($BQ$38-CP83*($BP83+$BR83+$BQ83+$BN83))/($BP83+$BR83+$BQ83+$BO83)</f>
        <v>107.23202880613228</v>
      </c>
      <c r="CR83">
        <f t="shared" si="62"/>
        <v>1.4897219571135949</v>
      </c>
      <c r="CS83">
        <f t="shared" si="63"/>
        <v>6.8509954023033615E-2</v>
      </c>
      <c r="CT83">
        <f t="shared" si="64"/>
        <v>129.46343605636909</v>
      </c>
      <c r="CU83" s="636">
        <f t="shared" si="65"/>
        <v>107.24553939984224</v>
      </c>
      <c r="CV83" s="575">
        <f t="shared" si="66"/>
        <v>1.4896512234874719</v>
      </c>
      <c r="CW83">
        <f t="shared" si="67"/>
        <v>-9.138602298436993E-3</v>
      </c>
      <c r="CX83" s="576">
        <f t="shared" si="68"/>
        <v>0.33923879066030571</v>
      </c>
    </row>
    <row r="84" spans="1:102" x14ac:dyDescent="0.25">
      <c r="A84" s="186">
        <v>40</v>
      </c>
      <c r="B84" s="187">
        <f>A84/100*'Inputs-Imperial'!$E$5</f>
        <v>9.6325462399999999</v>
      </c>
      <c r="C84" s="188">
        <f>'Inputs-Imperial'!$E$10+('Inputs-Imperial'!$E$9-'Inputs-Imperial'!$E$10)*(100-A84)/100</f>
        <v>4.3733597200000007</v>
      </c>
      <c r="D84" s="187">
        <f t="shared" si="69"/>
        <v>0.24081365600000026</v>
      </c>
      <c r="E84" s="188">
        <f t="shared" si="70"/>
        <v>1.055307810967685</v>
      </c>
      <c r="F84" s="423">
        <f>Sizing!F100</f>
        <v>511.38110404847362</v>
      </c>
      <c r="G84" s="423">
        <f>Sizing!G100</f>
        <v>5113.8110404847375</v>
      </c>
      <c r="H84" s="423">
        <f>Sizing!H100</f>
        <v>33558.644561889741</v>
      </c>
      <c r="I84" s="423">
        <f>Sizing!I100</f>
        <v>-10683.160452055752</v>
      </c>
      <c r="J84" s="189">
        <f>Sizing!J100</f>
        <v>3355.8644561889741</v>
      </c>
      <c r="K84" s="128">
        <v>40</v>
      </c>
      <c r="L84" s="12">
        <f t="shared" si="11"/>
        <v>115.59055488</v>
      </c>
      <c r="M84" s="11">
        <f t="shared" si="11"/>
        <v>52.480316640000012</v>
      </c>
      <c r="N84" s="11">
        <f t="shared" si="11"/>
        <v>2.8897638720000032</v>
      </c>
      <c r="O84" s="152">
        <f t="shared" si="71"/>
        <v>151.96432477934664</v>
      </c>
      <c r="P84" s="170">
        <f t="shared" si="162"/>
        <v>9.4464569952000019</v>
      </c>
      <c r="Q84" s="8">
        <f t="shared" si="163"/>
        <v>4.723228497600001</v>
      </c>
      <c r="R84" s="170">
        <f>Sizing!X100</f>
        <v>13.120079160000003</v>
      </c>
      <c r="S84" s="8">
        <f>Sizing!Y100</f>
        <v>39.360237480000009</v>
      </c>
      <c r="T84" s="8">
        <f>Sizing!Z100</f>
        <v>26.240158320000006</v>
      </c>
      <c r="U84" s="17">
        <f>Sizing!CN100</f>
        <v>2.5</v>
      </c>
      <c r="V84" s="17">
        <f>Sizing!CO100</f>
        <v>2.3622047244094495E-2</v>
      </c>
      <c r="W84" s="17">
        <f>Sizing!CP100</f>
        <v>1.5748031496062995E-2</v>
      </c>
      <c r="X84" s="170">
        <f>Sizing!DU100</f>
        <v>1.2501892583384084</v>
      </c>
      <c r="Y84" s="170">
        <f>Sizing!DV100</f>
        <v>1.1181186244484118</v>
      </c>
      <c r="Z84" s="170">
        <f>Sizing!DW100</f>
        <v>1.2501892583384084</v>
      </c>
      <c r="AA84" s="272">
        <f>Sizing!DX100</f>
        <v>1.1181186244484118</v>
      </c>
      <c r="AB84" s="272">
        <f t="shared" si="12"/>
        <v>3.2495982132712751</v>
      </c>
      <c r="AC84" s="216">
        <f>Sizing!GJ100</f>
        <v>0.5</v>
      </c>
      <c r="AD84" s="216">
        <f>Sizing!GK100</f>
        <v>5.5118110236220486E-2</v>
      </c>
      <c r="AE84" s="17">
        <f>Sizing!GL100</f>
        <v>5.5118110236220486E-2</v>
      </c>
      <c r="AF84" s="170">
        <f>Sizing!JC100</f>
        <v>1.9839863322260787E-2</v>
      </c>
      <c r="AG84" s="272">
        <f>Sizing!JD100</f>
        <v>0.14085404971906482</v>
      </c>
      <c r="AH84" s="170">
        <f>Sizing!JC100</f>
        <v>1.9839863322260787E-2</v>
      </c>
      <c r="AI84" s="272">
        <f>Sizing!JD100</f>
        <v>0.14085404971906482</v>
      </c>
      <c r="AJ84" s="216">
        <f>Sizing!IT100</f>
        <v>0.5</v>
      </c>
      <c r="AK84" s="216">
        <f>Sizing!IU100</f>
        <v>1.5748031496062995E-2</v>
      </c>
      <c r="AL84" s="17">
        <f>Sizing!IV100</f>
        <v>1.5748031496062995E-2</v>
      </c>
      <c r="AM84" s="170">
        <f t="shared" si="13"/>
        <v>0</v>
      </c>
      <c r="AN84" s="11">
        <f t="shared" si="14"/>
        <v>3.300464807895036</v>
      </c>
      <c r="AO84" s="11">
        <f t="shared" si="15"/>
        <v>3.300464807895036</v>
      </c>
      <c r="AP84" s="11">
        <f t="shared" si="16"/>
        <v>6.6009296157900721</v>
      </c>
      <c r="AQ84" s="555">
        <f t="shared" si="17"/>
        <v>105312419.25764565</v>
      </c>
      <c r="AR84" s="311">
        <f t="shared" si="18"/>
        <v>13.529991929513942</v>
      </c>
      <c r="AS84" s="11">
        <f t="shared" si="19"/>
        <v>0.42013479810780358</v>
      </c>
      <c r="AT84" s="11">
        <f t="shared" si="20"/>
        <v>26.474376517464197</v>
      </c>
      <c r="AU84" s="11">
        <f t="shared" si="21"/>
        <v>26.894511315572</v>
      </c>
      <c r="AV84" s="555">
        <f t="shared" si="22"/>
        <v>429079874.54067248</v>
      </c>
      <c r="AW84" s="138">
        <f t="shared" si="23"/>
        <v>3.9370078740157494E-2</v>
      </c>
      <c r="AX84" s="138">
        <f t="shared" si="24"/>
        <v>0.11023622047244097</v>
      </c>
      <c r="AY84" s="554">
        <f t="shared" si="25"/>
        <v>3.1496062992125991E-2</v>
      </c>
      <c r="AZ84" s="12">
        <f t="shared" si="26"/>
        <v>1168.090614882741</v>
      </c>
      <c r="BA84" s="11">
        <f t="shared" si="27"/>
        <v>168.0853916895864</v>
      </c>
      <c r="BB84">
        <f t="shared" si="28"/>
        <v>1278.3488153899038</v>
      </c>
      <c r="BC84" s="555">
        <f t="shared" si="29"/>
        <v>4820638042.6495438</v>
      </c>
      <c r="BD84">
        <f t="shared" si="30"/>
        <v>40</v>
      </c>
      <c r="BE84" s="207">
        <f t="shared" si="31"/>
        <v>4.3733597200000007</v>
      </c>
      <c r="BF84" s="207">
        <f>'Inputs-Imperial'!$E$15*BE84</f>
        <v>3.2800197900000008</v>
      </c>
      <c r="BG84" s="207">
        <f>'Inputs-Imperial'!$E$12*BE84</f>
        <v>1.0933399300000002</v>
      </c>
      <c r="BH84">
        <f>'Inputs-Imperial'!$E$11*BE84</f>
        <v>0.78720474960000009</v>
      </c>
      <c r="BI84">
        <f t="shared" si="32"/>
        <v>0.83495672493662731</v>
      </c>
      <c r="BJ84">
        <f>'Weight '!U86+'Weight '!V86 /12</f>
        <v>2.4934383202099744E-2</v>
      </c>
      <c r="BK84">
        <f>('Weight '!AK86+'Weight '!AL86)/12</f>
        <v>9.186351706036747E-3</v>
      </c>
      <c r="BL84">
        <f>'Weight '!AG86/12</f>
        <v>9.3176552037367646E-2</v>
      </c>
      <c r="BM84">
        <f>'Weight '!AI86/12</f>
        <v>9.3176552037367646E-2</v>
      </c>
      <c r="BN84" s="554">
        <f t="shared" si="33"/>
        <v>2.415362321502355</v>
      </c>
      <c r="BO84" s="554">
        <f t="shared" si="34"/>
        <v>4.6328353386837264</v>
      </c>
      <c r="BP84">
        <f t="shared" si="35"/>
        <v>9.3176552037367646E-2</v>
      </c>
      <c r="BQ84">
        <f t="shared" si="35"/>
        <v>9.3176552037367646E-2</v>
      </c>
      <c r="BR84">
        <f t="shared" si="36"/>
        <v>0.60085164552526482</v>
      </c>
      <c r="BS84">
        <f t="shared" si="37"/>
        <v>0.64551178936749887</v>
      </c>
      <c r="BT84">
        <f t="shared" si="38"/>
        <v>1.5054381971532043</v>
      </c>
      <c r="BU84">
        <f t="shared" si="39"/>
        <v>1.4463162235822677</v>
      </c>
      <c r="BV84">
        <f t="shared" si="40"/>
        <v>156.12475520392303</v>
      </c>
      <c r="BW84" s="207">
        <f t="shared" si="41"/>
        <v>92.250240193025334</v>
      </c>
      <c r="BX84">
        <f t="shared" si="42"/>
        <v>1.5638165646262183</v>
      </c>
      <c r="BY84" s="575">
        <f t="shared" si="43"/>
        <v>-54.303165974592957</v>
      </c>
      <c r="BZ84">
        <f t="shared" si="44"/>
        <v>174.22581052878735</v>
      </c>
      <c r="CA84" s="207">
        <f t="shared" si="45"/>
        <v>81.554776175900571</v>
      </c>
      <c r="CB84">
        <f t="shared" si="46"/>
        <v>1.6193881739859193</v>
      </c>
      <c r="CC84">
        <f t="shared" si="47"/>
        <v>161.6825649043345</v>
      </c>
      <c r="CD84">
        <f t="shared" si="48"/>
        <v>120.33162222734251</v>
      </c>
      <c r="CE84" s="207">
        <f t="shared" si="49"/>
        <v>113.39951347795459</v>
      </c>
      <c r="CF84">
        <f t="shared" si="50"/>
        <v>1.453928938306327</v>
      </c>
      <c r="CG84">
        <f t="shared" si="51"/>
        <v>-32.150927944450871</v>
      </c>
      <c r="CH84">
        <f t="shared" si="52"/>
        <v>131.04859820882612</v>
      </c>
      <c r="CI84" s="207">
        <f t="shared" ref="CI84" si="188" xml:space="preserve"> ($BQ$38-CH84*($BP84+$BR84+$BQ84+$BN84))/($BP84+$BR84+$BQ84+$BO84)</f>
        <v>107.06711854709674</v>
      </c>
      <c r="CJ84">
        <f t="shared" si="54"/>
        <v>1.4868308654079045</v>
      </c>
      <c r="CK84">
        <f t="shared" si="55"/>
        <v>3.5520546183544681</v>
      </c>
      <c r="CL84">
        <f t="shared" si="56"/>
        <v>129.86458000270795</v>
      </c>
      <c r="CM84" s="207">
        <f t="shared" ref="CM84" si="189" xml:space="preserve"> ($BQ$38-CL84*($BP84+$BR84+$BQ84+$BN84))/($BP84+$BR84+$BQ84+$BO84)</f>
        <v>107.76672549773471</v>
      </c>
      <c r="CN84">
        <f t="shared" si="58"/>
        <v>1.4831958399331859</v>
      </c>
      <c r="CO84">
        <f t="shared" si="59"/>
        <v>-0.461738303517361</v>
      </c>
      <c r="CP84">
        <f t="shared" si="60"/>
        <v>130.01849277054708</v>
      </c>
      <c r="CQ84" s="207">
        <f t="shared" ref="CQ84" si="190" xml:space="preserve"> ($BQ$38-CP84*($BP84+$BR84+$BQ84+$BN84))/($BP84+$BR84+$BQ84+$BO84)</f>
        <v>107.67578226593659</v>
      </c>
      <c r="CR84">
        <f t="shared" si="62"/>
        <v>1.4836683637753774</v>
      </c>
      <c r="CS84">
        <f t="shared" si="63"/>
        <v>5.9048737338686763E-2</v>
      </c>
      <c r="CT84">
        <f t="shared" si="64"/>
        <v>129.99880985810086</v>
      </c>
      <c r="CU84" s="636">
        <f t="shared" si="65"/>
        <v>107.68741241003829</v>
      </c>
      <c r="CV84" s="575">
        <f t="shared" si="66"/>
        <v>1.483607935744973</v>
      </c>
      <c r="CW84">
        <f t="shared" si="67"/>
        <v>-7.5675851459759969E-3</v>
      </c>
      <c r="CX84" s="576">
        <f t="shared" si="68"/>
        <v>0.33923757265157523</v>
      </c>
    </row>
    <row r="85" spans="1:102" x14ac:dyDescent="0.25">
      <c r="A85" s="186">
        <v>41</v>
      </c>
      <c r="B85" s="187">
        <f>A85/100*'Inputs-Imperial'!$E$5</f>
        <v>9.8733598959999984</v>
      </c>
      <c r="C85" s="188">
        <f>'Inputs-Imperial'!$E$10+('Inputs-Imperial'!$E$9-'Inputs-Imperial'!$E$10)*(100-A85)/100</f>
        <v>4.3555611630000008</v>
      </c>
      <c r="D85" s="187">
        <f t="shared" si="69"/>
        <v>0.24081365599999849</v>
      </c>
      <c r="E85" s="188">
        <f t="shared" si="70"/>
        <v>1.0510216753849826</v>
      </c>
      <c r="F85" s="423">
        <f>Sizing!F101</f>
        <v>500.67906880520064</v>
      </c>
      <c r="G85" s="423">
        <f>Sizing!G101</f>
        <v>5006.7906880520077</v>
      </c>
      <c r="H85" s="423">
        <f>Sizing!H101</f>
        <v>32327.169029137454</v>
      </c>
      <c r="I85" s="423">
        <f>Sizing!I101</f>
        <v>-10411.584814745875</v>
      </c>
      <c r="J85" s="189">
        <f>Sizing!J101</f>
        <v>3232.7169029137458</v>
      </c>
      <c r="K85" s="128">
        <v>41</v>
      </c>
      <c r="L85" s="12">
        <f t="shared" si="11"/>
        <v>118.48031875199999</v>
      </c>
      <c r="M85" s="11">
        <f t="shared" si="11"/>
        <v>52.26673395600001</v>
      </c>
      <c r="N85" s="11">
        <f t="shared" si="11"/>
        <v>2.8897638719999819</v>
      </c>
      <c r="O85" s="152">
        <f t="shared" si="71"/>
        <v>151.34712125543749</v>
      </c>
      <c r="P85" s="170">
        <f t="shared" si="162"/>
        <v>9.4080121120800015</v>
      </c>
      <c r="Q85" s="8">
        <f t="shared" si="163"/>
        <v>4.7040060560400008</v>
      </c>
      <c r="R85" s="170">
        <f>Sizing!X101</f>
        <v>13.066683489000003</v>
      </c>
      <c r="S85" s="8">
        <f>Sizing!Y101</f>
        <v>39.200050467000011</v>
      </c>
      <c r="T85" s="8">
        <f>Sizing!Z101</f>
        <v>26.133366978000009</v>
      </c>
      <c r="U85" s="17">
        <f>Sizing!CN101</f>
        <v>2.5</v>
      </c>
      <c r="V85" s="17">
        <f>Sizing!CO101</f>
        <v>2.3622047244094495E-2</v>
      </c>
      <c r="W85" s="17">
        <f>Sizing!CP101</f>
        <v>1.5748031496062995E-2</v>
      </c>
      <c r="X85" s="170">
        <f>Sizing!DU101</f>
        <v>1.2501892583384084</v>
      </c>
      <c r="Y85" s="170">
        <f>Sizing!DV101</f>
        <v>1.1181186244484118</v>
      </c>
      <c r="Z85" s="170">
        <f>Sizing!DW101</f>
        <v>1.2501892583384084</v>
      </c>
      <c r="AA85" s="272">
        <f>Sizing!DX101</f>
        <v>1.1181186244484118</v>
      </c>
      <c r="AB85" s="272">
        <f t="shared" si="12"/>
        <v>3.2111533301512747</v>
      </c>
      <c r="AC85" s="216">
        <f>Sizing!GJ101</f>
        <v>0.5</v>
      </c>
      <c r="AD85" s="216">
        <f>Sizing!GK101</f>
        <v>5.5118110236220486E-2</v>
      </c>
      <c r="AE85" s="17">
        <f>Sizing!GL101</f>
        <v>5.5118110236220486E-2</v>
      </c>
      <c r="AF85" s="170">
        <f>Sizing!JC101</f>
        <v>1.9839863322260787E-2</v>
      </c>
      <c r="AG85" s="272">
        <f>Sizing!JD101</f>
        <v>0.14085404971906482</v>
      </c>
      <c r="AH85" s="170">
        <f>Sizing!JC101</f>
        <v>1.9839863322260787E-2</v>
      </c>
      <c r="AI85" s="272">
        <f>Sizing!JD101</f>
        <v>0.14085404971906482</v>
      </c>
      <c r="AJ85" s="216">
        <f>Sizing!IT101</f>
        <v>0.5</v>
      </c>
      <c r="AK85" s="216">
        <f>Sizing!IU101</f>
        <v>1.5748031496062995E-2</v>
      </c>
      <c r="AL85" s="17">
        <f>Sizing!IV101</f>
        <v>1.5748031496062995E-2</v>
      </c>
      <c r="AM85" s="170">
        <f t="shared" si="13"/>
        <v>0</v>
      </c>
      <c r="AN85" s="11">
        <f t="shared" si="14"/>
        <v>3.222833418903535</v>
      </c>
      <c r="AO85" s="11">
        <f t="shared" si="15"/>
        <v>3.222833418903535</v>
      </c>
      <c r="AP85" s="11">
        <f t="shared" si="16"/>
        <v>6.4456668378070701</v>
      </c>
      <c r="AQ85" s="555">
        <f t="shared" si="17"/>
        <v>102835328.95040481</v>
      </c>
      <c r="AR85" s="311">
        <f t="shared" si="18"/>
        <v>13.474928008870572</v>
      </c>
      <c r="AS85" s="11">
        <f t="shared" si="19"/>
        <v>0.4167220549583574</v>
      </c>
      <c r="AT85" s="11">
        <f t="shared" si="20"/>
        <v>26.259325901559933</v>
      </c>
      <c r="AU85" s="11">
        <f t="shared" si="21"/>
        <v>26.676047956518289</v>
      </c>
      <c r="AV85" s="555">
        <f t="shared" si="22"/>
        <v>425594470.78692496</v>
      </c>
      <c r="AW85" s="138">
        <f t="shared" si="23"/>
        <v>3.9370078740157494E-2</v>
      </c>
      <c r="AX85" s="138">
        <f t="shared" si="24"/>
        <v>0.11023622047244097</v>
      </c>
      <c r="AY85" s="554">
        <f t="shared" si="25"/>
        <v>3.1496062992125991E-2</v>
      </c>
      <c r="AZ85" s="12">
        <f t="shared" si="26"/>
        <v>1158.6022476686228</v>
      </c>
      <c r="BA85" s="11">
        <f t="shared" si="27"/>
        <v>167.40132323503573</v>
      </c>
      <c r="BB85">
        <f t="shared" si="28"/>
        <v>1262.8045019561025</v>
      </c>
      <c r="BC85" s="555">
        <f t="shared" si="29"/>
        <v>4762020623.2224398</v>
      </c>
      <c r="BD85">
        <f t="shared" si="30"/>
        <v>41</v>
      </c>
      <c r="BE85" s="207">
        <f t="shared" si="31"/>
        <v>4.3555611630000008</v>
      </c>
      <c r="BF85" s="207">
        <f>'Inputs-Imperial'!$E$15*BE85</f>
        <v>3.2666708722500006</v>
      </c>
      <c r="BG85" s="207">
        <f>'Inputs-Imperial'!$E$12*BE85</f>
        <v>1.0888902907500002</v>
      </c>
      <c r="BH85">
        <f>'Inputs-Imperial'!$E$11*BE85</f>
        <v>0.78400100934000017</v>
      </c>
      <c r="BI85">
        <f t="shared" si="32"/>
        <v>0.83155864524211787</v>
      </c>
      <c r="BJ85">
        <f>'Weight '!U87+'Weight '!V87 /12</f>
        <v>2.4934383202099744E-2</v>
      </c>
      <c r="BK85">
        <f>('Weight '!AK87+'Weight '!AL87)/12</f>
        <v>9.186351706036747E-3</v>
      </c>
      <c r="BL85">
        <f>'Weight '!AG87/12</f>
        <v>9.3176552037367646E-2</v>
      </c>
      <c r="BM85">
        <f>'Weight '!AI87/12</f>
        <v>9.3176552037367646E-2</v>
      </c>
      <c r="BN85" s="554">
        <f t="shared" si="33"/>
        <v>2.4029871672147411</v>
      </c>
      <c r="BO85" s="554">
        <f t="shared" si="34"/>
        <v>4.6165259676101167</v>
      </c>
      <c r="BP85">
        <f t="shared" si="35"/>
        <v>9.3176552037367646E-2</v>
      </c>
      <c r="BQ85">
        <f t="shared" si="35"/>
        <v>9.3176552037367646E-2</v>
      </c>
      <c r="BR85">
        <f t="shared" si="36"/>
        <v>0.5976479052652649</v>
      </c>
      <c r="BS85">
        <f t="shared" si="37"/>
        <v>0.64026831525639483</v>
      </c>
      <c r="BT85">
        <f t="shared" si="38"/>
        <v>1.4932095650156338</v>
      </c>
      <c r="BU85">
        <f t="shared" si="39"/>
        <v>1.4229148833734961</v>
      </c>
      <c r="BV85">
        <f t="shared" si="40"/>
        <v>156.8879369174565</v>
      </c>
      <c r="BW85" s="207">
        <f t="shared" si="41"/>
        <v>92.583557518375557</v>
      </c>
      <c r="BX85">
        <f t="shared" si="42"/>
        <v>1.5577428789341563</v>
      </c>
      <c r="BY85" s="575">
        <f t="shared" si="43"/>
        <v>-54.133060611277614</v>
      </c>
      <c r="BZ85">
        <f t="shared" si="44"/>
        <v>174.93229045454905</v>
      </c>
      <c r="CA85" s="207">
        <f t="shared" si="45"/>
        <v>81.935126055717788</v>
      </c>
      <c r="CB85">
        <f t="shared" si="46"/>
        <v>1.6126500140372342</v>
      </c>
      <c r="CC85">
        <f t="shared" si="47"/>
        <v>161.53575243895079</v>
      </c>
      <c r="CD85">
        <f t="shared" si="48"/>
        <v>121.08703964156544</v>
      </c>
      <c r="CE85" s="207">
        <f t="shared" si="49"/>
        <v>113.71057656953316</v>
      </c>
      <c r="CF85">
        <f t="shared" si="50"/>
        <v>1.44880438471224</v>
      </c>
      <c r="CG85">
        <f t="shared" si="51"/>
        <v>-31.30170577634685</v>
      </c>
      <c r="CH85">
        <f t="shared" si="52"/>
        <v>131.5209415670144</v>
      </c>
      <c r="CI85" s="207">
        <f t="shared" ref="CI85" si="191" xml:space="preserve"> ($BQ$38-CH85*($BP85+$BR85+$BQ85+$BN85))/($BP85+$BR85+$BQ85+$BO85)</f>
        <v>107.5532659563906</v>
      </c>
      <c r="CJ85">
        <f t="shared" si="54"/>
        <v>1.4805536885315889</v>
      </c>
      <c r="CK85">
        <f t="shared" si="55"/>
        <v>3.3089501782775645</v>
      </c>
      <c r="CL85">
        <f t="shared" si="56"/>
        <v>130.4179581742552</v>
      </c>
      <c r="CM85" s="207">
        <f t="shared" ref="CM85" si="192" xml:space="preserve"> ($BQ$38-CL85*($BP85+$BR85+$BQ85+$BN85))/($BP85+$BR85+$BQ85+$BO85)</f>
        <v>108.20416447919457</v>
      </c>
      <c r="CN85">
        <f t="shared" si="58"/>
        <v>1.4771974220941027</v>
      </c>
      <c r="CO85">
        <f t="shared" si="59"/>
        <v>-0.41242817446063285</v>
      </c>
      <c r="CP85">
        <f t="shared" si="60"/>
        <v>130.55543423240874</v>
      </c>
      <c r="CQ85" s="207">
        <f t="shared" ref="CQ85" si="193" xml:space="preserve"> ($BQ$38-CP85*($BP85+$BR85+$BQ85+$BN85))/($BP85+$BR85+$BQ85+$BO85)</f>
        <v>108.12303636451897</v>
      </c>
      <c r="CR85">
        <f t="shared" si="62"/>
        <v>1.4776157477760372</v>
      </c>
      <c r="CS85">
        <f t="shared" si="63"/>
        <v>5.0597332441819631E-2</v>
      </c>
      <c r="CT85">
        <f t="shared" si="64"/>
        <v>130.53856845492814</v>
      </c>
      <c r="CU85" s="636">
        <f t="shared" si="65"/>
        <v>108.13298928830744</v>
      </c>
      <c r="CV85" s="575">
        <f t="shared" si="66"/>
        <v>1.4775644269281696</v>
      </c>
      <c r="CW85">
        <f t="shared" si="67"/>
        <v>-6.2197393945240265E-3</v>
      </c>
      <c r="CX85" s="576">
        <f t="shared" si="68"/>
        <v>0.33923629393151727</v>
      </c>
    </row>
    <row r="86" spans="1:102" x14ac:dyDescent="0.25">
      <c r="A86" s="186">
        <v>42</v>
      </c>
      <c r="B86" s="187">
        <f>A86/100*'Inputs-Imperial'!$E$5</f>
        <v>10.114173551999999</v>
      </c>
      <c r="C86" s="188">
        <f>'Inputs-Imperial'!$E$10+('Inputs-Imperial'!$E$9-'Inputs-Imperial'!$E$10)*(100-A86)/100</f>
        <v>4.3377626060000001</v>
      </c>
      <c r="D86" s="187">
        <f t="shared" si="69"/>
        <v>0.24081365600000026</v>
      </c>
      <c r="E86" s="188">
        <f t="shared" si="70"/>
        <v>1.0467355398022959</v>
      </c>
      <c r="F86" s="423">
        <f>Sizing!F102</f>
        <v>490.02541786647868</v>
      </c>
      <c r="G86" s="423">
        <f>Sizing!G102</f>
        <v>4900.254178664788</v>
      </c>
      <c r="H86" s="423">
        <f>Sizing!H102</f>
        <v>31121.465458720893</v>
      </c>
      <c r="I86" s="423">
        <f>Sizing!I102</f>
        <v>-10142.472293076775</v>
      </c>
      <c r="J86" s="189">
        <f>Sizing!J102</f>
        <v>3112.14654587209</v>
      </c>
      <c r="K86" s="128">
        <v>42</v>
      </c>
      <c r="L86" s="12">
        <f t="shared" si="11"/>
        <v>121.37008262399999</v>
      </c>
      <c r="M86" s="11">
        <f t="shared" si="11"/>
        <v>52.053151272000001</v>
      </c>
      <c r="N86" s="11">
        <f t="shared" si="11"/>
        <v>2.8897638720000032</v>
      </c>
      <c r="O86" s="152">
        <f t="shared" si="71"/>
        <v>150.72991773153061</v>
      </c>
      <c r="P86" s="170">
        <f t="shared" si="162"/>
        <v>9.3695672289599994</v>
      </c>
      <c r="Q86" s="8">
        <f t="shared" si="163"/>
        <v>4.6847836144799997</v>
      </c>
      <c r="R86" s="170">
        <f>Sizing!X102</f>
        <v>13.013287818</v>
      </c>
      <c r="S86" s="8">
        <f>Sizing!Y102</f>
        <v>39.039863453999999</v>
      </c>
      <c r="T86" s="8">
        <f>Sizing!Z102</f>
        <v>26.026575635999997</v>
      </c>
      <c r="U86" s="17">
        <f>Sizing!CN102</f>
        <v>2.5</v>
      </c>
      <c r="V86" s="17">
        <f>Sizing!CO102</f>
        <v>2.3622047244094495E-2</v>
      </c>
      <c r="W86" s="17">
        <f>Sizing!CP102</f>
        <v>1.5748031496062995E-2</v>
      </c>
      <c r="X86" s="170">
        <f>Sizing!DU102</f>
        <v>1.2501892583384084</v>
      </c>
      <c r="Y86" s="170">
        <f>Sizing!DV102</f>
        <v>1.1181186244484118</v>
      </c>
      <c r="Z86" s="170">
        <f>Sizing!DW102</f>
        <v>1.2501892583384084</v>
      </c>
      <c r="AA86" s="272">
        <f>Sizing!DX102</f>
        <v>1.1181186244484118</v>
      </c>
      <c r="AB86" s="272">
        <f t="shared" si="12"/>
        <v>3.1727084470312725</v>
      </c>
      <c r="AC86" s="216">
        <f>Sizing!GJ102</f>
        <v>0.5</v>
      </c>
      <c r="AD86" s="216">
        <f>Sizing!GK102</f>
        <v>5.5118110236220486E-2</v>
      </c>
      <c r="AE86" s="17">
        <f>Sizing!GL102</f>
        <v>5.5118110236220486E-2</v>
      </c>
      <c r="AF86" s="170">
        <f>Sizing!JC102</f>
        <v>1.9839863322260787E-2</v>
      </c>
      <c r="AG86" s="272">
        <f>Sizing!JD102</f>
        <v>0.14085404971906482</v>
      </c>
      <c r="AH86" s="170">
        <f>Sizing!JC102</f>
        <v>1.9839863322260787E-2</v>
      </c>
      <c r="AI86" s="272">
        <f>Sizing!JD102</f>
        <v>0.14085404971906482</v>
      </c>
      <c r="AJ86" s="216">
        <f>Sizing!IT102</f>
        <v>0.5</v>
      </c>
      <c r="AK86" s="216">
        <f>Sizing!IU102</f>
        <v>1.5748031496062995E-2</v>
      </c>
      <c r="AL86" s="17">
        <f>Sizing!IV102</f>
        <v>1.5748031496062995E-2</v>
      </c>
      <c r="AM86" s="170">
        <f t="shared" si="13"/>
        <v>0</v>
      </c>
      <c r="AN86" s="11">
        <f t="shared" si="14"/>
        <v>3.1461259254236174</v>
      </c>
      <c r="AO86" s="11">
        <f t="shared" si="15"/>
        <v>3.1461259254236174</v>
      </c>
      <c r="AP86" s="11">
        <f t="shared" si="16"/>
        <v>6.2922518508472347</v>
      </c>
      <c r="AQ86" s="555">
        <f t="shared" si="17"/>
        <v>100387718.63374993</v>
      </c>
      <c r="AR86" s="311">
        <f t="shared" si="18"/>
        <v>13.419864088227198</v>
      </c>
      <c r="AS86" s="11">
        <f t="shared" si="19"/>
        <v>0.41332322920013742</v>
      </c>
      <c r="AT86" s="11">
        <f t="shared" si="20"/>
        <v>26.045152276224432</v>
      </c>
      <c r="AU86" s="11">
        <f t="shared" si="21"/>
        <v>26.45847550542457</v>
      </c>
      <c r="AV86" s="555">
        <f t="shared" si="22"/>
        <v>422123280.73913455</v>
      </c>
      <c r="AW86" s="138">
        <f t="shared" si="23"/>
        <v>3.9370078740157494E-2</v>
      </c>
      <c r="AX86" s="138">
        <f t="shared" si="24"/>
        <v>0.11023622047244097</v>
      </c>
      <c r="AY86" s="554">
        <f t="shared" si="25"/>
        <v>3.1496062992125991E-2</v>
      </c>
      <c r="AZ86" s="12">
        <f t="shared" si="26"/>
        <v>1149.152574640638</v>
      </c>
      <c r="BA86" s="11">
        <f t="shared" si="27"/>
        <v>166.71725478048506</v>
      </c>
      <c r="BB86">
        <f t="shared" si="28"/>
        <v>1247.3867113023512</v>
      </c>
      <c r="BC86" s="555">
        <f t="shared" si="29"/>
        <v>4703880319.6806316</v>
      </c>
      <c r="BD86">
        <f t="shared" si="30"/>
        <v>42</v>
      </c>
      <c r="BE86" s="207">
        <f t="shared" si="31"/>
        <v>4.3377626060000001</v>
      </c>
      <c r="BF86" s="207">
        <f>'Inputs-Imperial'!$E$15*BE86</f>
        <v>3.2533219545000001</v>
      </c>
      <c r="BG86" s="207">
        <f>'Inputs-Imperial'!$E$12*BE86</f>
        <v>1.0844406515</v>
      </c>
      <c r="BH86">
        <f>'Inputs-Imperial'!$E$11*BE86</f>
        <v>0.78079726908000002</v>
      </c>
      <c r="BI86">
        <f t="shared" si="32"/>
        <v>0.8281605655476082</v>
      </c>
      <c r="BJ86">
        <f>'Weight '!U88+'Weight '!V88 /12</f>
        <v>2.4934383202099744E-2</v>
      </c>
      <c r="BK86">
        <f>('Weight '!AK88+'Weight '!AL88)/12</f>
        <v>9.186351706036747E-3</v>
      </c>
      <c r="BL86">
        <f>'Weight '!AG88/12</f>
        <v>9.3176552037367646E-2</v>
      </c>
      <c r="BM86">
        <f>'Weight '!AI88/12</f>
        <v>9.3176552037367646E-2</v>
      </c>
      <c r="BN86" s="554">
        <f t="shared" si="33"/>
        <v>2.3906097261500436</v>
      </c>
      <c r="BO86" s="554">
        <f t="shared" si="34"/>
        <v>4.6002188833135902</v>
      </c>
      <c r="BP86">
        <f t="shared" si="35"/>
        <v>9.3176552037367646E-2</v>
      </c>
      <c r="BQ86">
        <f t="shared" si="35"/>
        <v>9.3176552037367646E-2</v>
      </c>
      <c r="BR86">
        <f t="shared" si="36"/>
        <v>0.59444416500526476</v>
      </c>
      <c r="BS86">
        <f t="shared" si="37"/>
        <v>0.63504622437790215</v>
      </c>
      <c r="BT86">
        <f t="shared" si="38"/>
        <v>1.481030802044951</v>
      </c>
      <c r="BU86">
        <f t="shared" si="39"/>
        <v>1.3997986730444276</v>
      </c>
      <c r="BV86">
        <f t="shared" si="40"/>
        <v>157.6587302582183</v>
      </c>
      <c r="BW86" s="207">
        <f t="shared" si="41"/>
        <v>92.919252765593242</v>
      </c>
      <c r="BX86">
        <f t="shared" si="42"/>
        <v>1.5516695891337031</v>
      </c>
      <c r="BY86" s="575">
        <f t="shared" si="43"/>
        <v>-53.961334239431864</v>
      </c>
      <c r="BZ86">
        <f t="shared" si="44"/>
        <v>175.64584167136226</v>
      </c>
      <c r="CA86" s="207">
        <f t="shared" si="45"/>
        <v>82.318197250409114</v>
      </c>
      <c r="CB86">
        <f t="shared" si="46"/>
        <v>1.6059158630188191</v>
      </c>
      <c r="CC86">
        <f t="shared" si="47"/>
        <v>161.39289976528929</v>
      </c>
      <c r="CD86">
        <f t="shared" si="48"/>
        <v>121.84820841626583</v>
      </c>
      <c r="CE86" s="207">
        <f t="shared" si="49"/>
        <v>114.02488342271144</v>
      </c>
      <c r="CF86">
        <f t="shared" si="50"/>
        <v>1.443670737556682</v>
      </c>
      <c r="CG86">
        <f t="shared" si="51"/>
        <v>-30.454179640410441</v>
      </c>
      <c r="CH86">
        <f t="shared" si="52"/>
        <v>131.99960162973599</v>
      </c>
      <c r="CI86" s="207">
        <f t="shared" ref="CI86" si="194" xml:space="preserve"> ($BQ$38-CH86*($BP86+$BR86+$BQ86+$BN86))/($BP86+$BR86+$BQ86+$BO86)</f>
        <v>108.04196151042366</v>
      </c>
      <c r="CJ86">
        <f t="shared" si="54"/>
        <v>1.474285728698117</v>
      </c>
      <c r="CK86">
        <f t="shared" si="55"/>
        <v>3.0741205514881873</v>
      </c>
      <c r="CL86">
        <f t="shared" si="56"/>
        <v>130.97489477923992</v>
      </c>
      <c r="CM86" s="207">
        <f t="shared" ref="CM86" si="195" xml:space="preserve"> ($BQ$38-CL86*($BP86+$BR86+$BQ86+$BN86))/($BP86+$BR86+$BQ86+$BO86)</f>
        <v>108.64589251187175</v>
      </c>
      <c r="CN86">
        <f t="shared" si="58"/>
        <v>1.4711953754342049</v>
      </c>
      <c r="CO86">
        <f t="shared" si="59"/>
        <v>-0.36671873561376955</v>
      </c>
      <c r="CP86">
        <f t="shared" si="60"/>
        <v>131.09713435777783</v>
      </c>
      <c r="CQ86" s="207">
        <f t="shared" ref="CQ86" si="196" xml:space="preserve"> ($BQ$38-CP86*($BP86+$BR86+$BQ86+$BN86))/($BP86+$BR86+$BQ86+$BO86)</f>
        <v>108.57384822813609</v>
      </c>
      <c r="CR86">
        <f t="shared" si="62"/>
        <v>1.4715640306064925</v>
      </c>
      <c r="CS86">
        <f t="shared" si="63"/>
        <v>4.3081302039366776E-2</v>
      </c>
      <c r="CT86">
        <f t="shared" si="64"/>
        <v>131.08277392376471</v>
      </c>
      <c r="CU86" s="636">
        <f t="shared" si="65"/>
        <v>108.58231183047327</v>
      </c>
      <c r="CV86" s="575">
        <f t="shared" si="66"/>
        <v>1.4715207218161763</v>
      </c>
      <c r="CW86">
        <f t="shared" si="67"/>
        <v>-5.0704398473584433E-3</v>
      </c>
      <c r="CX86" s="576">
        <f t="shared" si="68"/>
        <v>0.33923495946522442</v>
      </c>
    </row>
    <row r="87" spans="1:102" x14ac:dyDescent="0.25">
      <c r="A87" s="186">
        <v>43</v>
      </c>
      <c r="B87" s="187">
        <f>A87/100*'Inputs-Imperial'!$E$5</f>
        <v>10.354987207999999</v>
      </c>
      <c r="C87" s="188">
        <f>'Inputs-Imperial'!$E$10+('Inputs-Imperial'!$E$9-'Inputs-Imperial'!$E$10)*(100-A87)/100</f>
        <v>4.3199640490000002</v>
      </c>
      <c r="D87" s="187">
        <f t="shared" si="69"/>
        <v>0.24081365600000026</v>
      </c>
      <c r="E87" s="188">
        <f t="shared" si="70"/>
        <v>1.0424494042196015</v>
      </c>
      <c r="F87" s="423">
        <f>Sizing!F103</f>
        <v>479.42097211171102</v>
      </c>
      <c r="G87" s="423">
        <f>Sizing!G103</f>
        <v>4794.2097211171113</v>
      </c>
      <c r="H87" s="423">
        <f>Sizing!H103</f>
        <v>29941.417334627349</v>
      </c>
      <c r="I87" s="423">
        <f>Sizing!I103</f>
        <v>-9875.8531495821608</v>
      </c>
      <c r="J87" s="189">
        <f>Sizing!J103</f>
        <v>2994.1417334627354</v>
      </c>
      <c r="K87" s="128">
        <v>43</v>
      </c>
      <c r="L87" s="12">
        <f t="shared" si="11"/>
        <v>124.25984649599999</v>
      </c>
      <c r="M87" s="11">
        <f t="shared" si="11"/>
        <v>51.839568588000006</v>
      </c>
      <c r="N87" s="11">
        <f t="shared" si="11"/>
        <v>2.8897638720000032</v>
      </c>
      <c r="O87" s="152">
        <f t="shared" si="71"/>
        <v>150.11271420762262</v>
      </c>
      <c r="P87" s="170">
        <f t="shared" si="162"/>
        <v>9.3311223458400008</v>
      </c>
      <c r="Q87" s="8">
        <f t="shared" si="163"/>
        <v>4.6655611729200004</v>
      </c>
      <c r="R87" s="170">
        <f>Sizing!X103</f>
        <v>12.959892147000001</v>
      </c>
      <c r="S87" s="8">
        <f>Sizing!Y103</f>
        <v>38.879676441000001</v>
      </c>
      <c r="T87" s="8">
        <f>Sizing!Z103</f>
        <v>25.919784293999999</v>
      </c>
      <c r="U87" s="17">
        <f>Sizing!CN103</f>
        <v>2.5</v>
      </c>
      <c r="V87" s="17">
        <f>Sizing!CO103</f>
        <v>2.3622047244094495E-2</v>
      </c>
      <c r="W87" s="17">
        <f>Sizing!CP103</f>
        <v>1.5748031496062995E-2</v>
      </c>
      <c r="X87" s="170">
        <f>Sizing!DU103</f>
        <v>1.2501892583384084</v>
      </c>
      <c r="Y87" s="170">
        <f>Sizing!DV103</f>
        <v>1.1181186244484118</v>
      </c>
      <c r="Z87" s="170">
        <f>Sizing!DW103</f>
        <v>1.2501892583384084</v>
      </c>
      <c r="AA87" s="272">
        <f>Sizing!DX103</f>
        <v>1.1181186244484118</v>
      </c>
      <c r="AB87" s="272">
        <f t="shared" si="12"/>
        <v>3.1342635639112739</v>
      </c>
      <c r="AC87" s="216">
        <f>Sizing!GJ103</f>
        <v>0.5</v>
      </c>
      <c r="AD87" s="216">
        <f>Sizing!GK103</f>
        <v>5.5118110236220486E-2</v>
      </c>
      <c r="AE87" s="17">
        <f>Sizing!GL103</f>
        <v>5.5118110236220486E-2</v>
      </c>
      <c r="AF87" s="170">
        <f>Sizing!JC103</f>
        <v>1.9839863322260787E-2</v>
      </c>
      <c r="AG87" s="272">
        <f>Sizing!JD103</f>
        <v>0.14085404971906482</v>
      </c>
      <c r="AH87" s="170">
        <f>Sizing!JC103</f>
        <v>1.9839863322260787E-2</v>
      </c>
      <c r="AI87" s="272">
        <f>Sizing!JD103</f>
        <v>0.14085404971906482</v>
      </c>
      <c r="AJ87" s="216">
        <f>Sizing!IT103</f>
        <v>0.5</v>
      </c>
      <c r="AK87" s="216">
        <f>Sizing!IU103</f>
        <v>1.5748031496062995E-2</v>
      </c>
      <c r="AL87" s="17">
        <f>Sizing!IV103</f>
        <v>1.5748031496062995E-2</v>
      </c>
      <c r="AM87" s="170">
        <f t="shared" si="13"/>
        <v>0</v>
      </c>
      <c r="AN87" s="11">
        <f t="shared" si="14"/>
        <v>3.0703423274552928</v>
      </c>
      <c r="AO87" s="11">
        <f t="shared" si="15"/>
        <v>3.0703423274552928</v>
      </c>
      <c r="AP87" s="11">
        <f t="shared" si="16"/>
        <v>6.1406846549105856</v>
      </c>
      <c r="AQ87" s="555">
        <f t="shared" si="17"/>
        <v>97969588.307681367</v>
      </c>
      <c r="AR87" s="311">
        <f t="shared" si="18"/>
        <v>13.36480016758383</v>
      </c>
      <c r="AS87" s="11">
        <f t="shared" si="19"/>
        <v>0.40993832083315102</v>
      </c>
      <c r="AT87" s="11">
        <f t="shared" si="20"/>
        <v>25.83185564145775</v>
      </c>
      <c r="AU87" s="11">
        <f t="shared" si="21"/>
        <v>26.241793962290902</v>
      </c>
      <c r="AV87" s="555">
        <f t="shared" si="22"/>
        <v>418666304.39730227</v>
      </c>
      <c r="AW87" s="138">
        <f t="shared" si="23"/>
        <v>3.9370078740157494E-2</v>
      </c>
      <c r="AX87" s="138">
        <f t="shared" si="24"/>
        <v>0.11023622047244097</v>
      </c>
      <c r="AY87" s="554">
        <f t="shared" si="25"/>
        <v>3.1496062992125991E-2</v>
      </c>
      <c r="AZ87" s="12">
        <f t="shared" si="26"/>
        <v>1139.741595798788</v>
      </c>
      <c r="BA87" s="11">
        <f t="shared" si="27"/>
        <v>166.03318632593439</v>
      </c>
      <c r="BB87">
        <f t="shared" si="28"/>
        <v>1232.0949264062006</v>
      </c>
      <c r="BC87" s="555">
        <f t="shared" si="29"/>
        <v>4646215182.338666</v>
      </c>
      <c r="BD87">
        <f t="shared" si="30"/>
        <v>43</v>
      </c>
      <c r="BE87" s="207">
        <f t="shared" si="31"/>
        <v>4.3199640490000002</v>
      </c>
      <c r="BF87" s="207">
        <f>'Inputs-Imperial'!$E$15*BE87</f>
        <v>3.2399730367500004</v>
      </c>
      <c r="BG87" s="207">
        <f>'Inputs-Imperial'!$E$12*BE87</f>
        <v>1.07999101225</v>
      </c>
      <c r="BH87">
        <f>'Inputs-Imperial'!$E$11*BE87</f>
        <v>0.77759352881999999</v>
      </c>
      <c r="BI87">
        <f t="shared" si="32"/>
        <v>0.82476248585309864</v>
      </c>
      <c r="BJ87">
        <f>'Weight '!U89+'Weight '!V89 /12</f>
        <v>2.4934383202099744E-2</v>
      </c>
      <c r="BK87">
        <f>('Weight '!AK89+'Weight '!AL89)/12</f>
        <v>9.186351706036747E-3</v>
      </c>
      <c r="BL87">
        <f>'Weight '!AG89/12</f>
        <v>9.3176552037367646E-2</v>
      </c>
      <c r="BM87">
        <f>'Weight '!AI89/12</f>
        <v>9.3176552037367646E-2</v>
      </c>
      <c r="BN87" s="554">
        <f t="shared" si="33"/>
        <v>2.3782300274415116</v>
      </c>
      <c r="BO87" s="554">
        <f t="shared" si="34"/>
        <v>4.5839140566609009</v>
      </c>
      <c r="BP87">
        <f t="shared" si="35"/>
        <v>9.3176552037367646E-2</v>
      </c>
      <c r="BQ87">
        <f t="shared" si="35"/>
        <v>9.3176552037367646E-2</v>
      </c>
      <c r="BR87">
        <f t="shared" si="36"/>
        <v>0.59124042474526473</v>
      </c>
      <c r="BS87">
        <f t="shared" si="37"/>
        <v>0.62984551673202105</v>
      </c>
      <c r="BT87">
        <f t="shared" si="38"/>
        <v>1.4689019082411559</v>
      </c>
      <c r="BU87">
        <f t="shared" si="39"/>
        <v>1.3769652670544059</v>
      </c>
      <c r="BV87">
        <f t="shared" si="40"/>
        <v>158.43724818136405</v>
      </c>
      <c r="BW87" s="207">
        <f t="shared" si="41"/>
        <v>93.257351972048454</v>
      </c>
      <c r="BX87">
        <f t="shared" si="42"/>
        <v>1.5455966947372635</v>
      </c>
      <c r="BY87" s="575">
        <f t="shared" si="43"/>
        <v>-53.787967232414701</v>
      </c>
      <c r="BZ87">
        <f t="shared" si="44"/>
        <v>176.36657059216896</v>
      </c>
      <c r="CA87" s="207">
        <f t="shared" si="45"/>
        <v>82.704018397542214</v>
      </c>
      <c r="CB87">
        <f t="shared" si="46"/>
        <v>1.5991857250660355</v>
      </c>
      <c r="CC87">
        <f t="shared" si="47"/>
        <v>161.25406176132506</v>
      </c>
      <c r="CD87">
        <f t="shared" si="48"/>
        <v>122.61521667172727</v>
      </c>
      <c r="CE87" s="207">
        <f t="shared" si="49"/>
        <v>114.34246825116941</v>
      </c>
      <c r="CF87">
        <f t="shared" si="50"/>
        <v>1.4385280677683328</v>
      </c>
      <c r="CG87">
        <f t="shared" si="51"/>
        <v>-29.608311241425106</v>
      </c>
      <c r="CH87">
        <f t="shared" si="52"/>
        <v>132.48465375220229</v>
      </c>
      <c r="CI87" s="207">
        <f t="shared" ref="CI87" si="197" xml:space="preserve"> ($BQ$38-CH87*($BP87+$BR87+$BQ87+$BN87))/($BP87+$BR87+$BQ87+$BO87)</f>
        <v>108.53324360138089</v>
      </c>
      <c r="CJ87">
        <f t="shared" si="54"/>
        <v>1.4680268715108964</v>
      </c>
      <c r="CK87">
        <f t="shared" si="55"/>
        <v>2.8475370911387614</v>
      </c>
      <c r="CL87">
        <f t="shared" si="56"/>
        <v>131.53547472182271</v>
      </c>
      <c r="CM87" s="207">
        <f t="shared" ref="CM87" si="198" xml:space="preserve"> ($BQ$38-CL87*($BP87+$BR87+$BQ87+$BN87))/($BP87+$BR87+$BQ87+$BO87)</f>
        <v>109.09193749398918</v>
      </c>
      <c r="CN87">
        <f t="shared" si="58"/>
        <v>1.4651898661472251</v>
      </c>
      <c r="CO87">
        <f t="shared" si="59"/>
        <v>-0.3244714569944076</v>
      </c>
      <c r="CP87">
        <f t="shared" si="60"/>
        <v>131.64363187415418</v>
      </c>
      <c r="CQ87" s="207">
        <f t="shared" ref="CQ87" si="199" xml:space="preserve"> ($BQ$38-CP87*($BP87+$BR87+$BQ87+$BN87))/($BP87+$BR87+$BQ87+$BO87)</f>
        <v>109.02827538334887</v>
      </c>
      <c r="CR87">
        <f t="shared" si="62"/>
        <v>1.4655131375338266</v>
      </c>
      <c r="CS87">
        <f t="shared" si="63"/>
        <v>3.6429151209436128E-2</v>
      </c>
      <c r="CT87">
        <f t="shared" si="64"/>
        <v>131.63148882375103</v>
      </c>
      <c r="CU87" s="636">
        <f t="shared" si="65"/>
        <v>109.03542287384406</v>
      </c>
      <c r="CV87" s="575">
        <f t="shared" si="66"/>
        <v>1.4654768431172598</v>
      </c>
      <c r="CW87">
        <f t="shared" si="67"/>
        <v>-4.0969535216319741E-3</v>
      </c>
      <c r="CX87" s="576">
        <f t="shared" si="68"/>
        <v>0.33923357382024816</v>
      </c>
    </row>
    <row r="88" spans="1:102" x14ac:dyDescent="0.25">
      <c r="A88" s="186">
        <v>44</v>
      </c>
      <c r="B88" s="187">
        <f>A88/100*'Inputs-Imperial'!$E$5</f>
        <v>10.595800863999999</v>
      </c>
      <c r="C88" s="188">
        <f>'Inputs-Imperial'!$E$10+('Inputs-Imperial'!$E$9-'Inputs-Imperial'!$E$10)*(100-A88)/100</f>
        <v>4.3021654920000003</v>
      </c>
      <c r="D88" s="187">
        <f t="shared" si="69"/>
        <v>0.24081365600000026</v>
      </c>
      <c r="E88" s="188">
        <f t="shared" si="70"/>
        <v>1.0381632686369071</v>
      </c>
      <c r="F88" s="423">
        <f>Sizing!F104</f>
        <v>468.86656508098815</v>
      </c>
      <c r="G88" s="423">
        <f>Sizing!G104</f>
        <v>4688.6656508098822</v>
      </c>
      <c r="H88" s="423">
        <f>Sizing!H104</f>
        <v>28786.906164054395</v>
      </c>
      <c r="I88" s="423">
        <f>Sizing!I104</f>
        <v>-9611.7577084614622</v>
      </c>
      <c r="J88" s="189">
        <f>Sizing!J104</f>
        <v>2878.6906164054399</v>
      </c>
      <c r="K88" s="128">
        <v>44</v>
      </c>
      <c r="L88" s="12">
        <f t="shared" si="11"/>
        <v>127.149610368</v>
      </c>
      <c r="M88" s="11">
        <f t="shared" si="11"/>
        <v>51.625985904000004</v>
      </c>
      <c r="N88" s="11">
        <f t="shared" si="11"/>
        <v>2.8897638720000032</v>
      </c>
      <c r="O88" s="152">
        <f t="shared" si="71"/>
        <v>149.4955106837146</v>
      </c>
      <c r="P88" s="170">
        <f t="shared" si="162"/>
        <v>9.2926774627200004</v>
      </c>
      <c r="Q88" s="8">
        <f t="shared" si="163"/>
        <v>4.6463387313600002</v>
      </c>
      <c r="R88" s="170">
        <f>Sizing!X104</f>
        <v>12.906496476000001</v>
      </c>
      <c r="S88" s="8">
        <f>Sizing!Y104</f>
        <v>38.719489428000003</v>
      </c>
      <c r="T88" s="8">
        <f>Sizing!Z104</f>
        <v>25.812992952000002</v>
      </c>
      <c r="U88" s="17">
        <f>Sizing!CN104</f>
        <v>2.5</v>
      </c>
      <c r="V88" s="17">
        <f>Sizing!CO104</f>
        <v>2.3622047244094495E-2</v>
      </c>
      <c r="W88" s="17">
        <f>Sizing!CP104</f>
        <v>1.5748031496062995E-2</v>
      </c>
      <c r="X88" s="170">
        <f>Sizing!DU104</f>
        <v>1.2501892583384084</v>
      </c>
      <c r="Y88" s="170">
        <f>Sizing!DV104</f>
        <v>1.1181186244484118</v>
      </c>
      <c r="Z88" s="170">
        <f>Sizing!DW104</f>
        <v>1.2501892583384084</v>
      </c>
      <c r="AA88" s="272">
        <f>Sizing!DX104</f>
        <v>1.1181186244484118</v>
      </c>
      <c r="AB88" s="272">
        <f t="shared" si="12"/>
        <v>3.0958186807912735</v>
      </c>
      <c r="AC88" s="216">
        <f>Sizing!GJ104</f>
        <v>0.5</v>
      </c>
      <c r="AD88" s="216">
        <f>Sizing!GK104</f>
        <v>5.5118110236220486E-2</v>
      </c>
      <c r="AE88" s="17">
        <f>Sizing!GL104</f>
        <v>5.5118110236220486E-2</v>
      </c>
      <c r="AF88" s="170">
        <f>Sizing!JC104</f>
        <v>1.9839863322260787E-2</v>
      </c>
      <c r="AG88" s="272">
        <f>Sizing!JD104</f>
        <v>0.14085404971906482</v>
      </c>
      <c r="AH88" s="170">
        <f>Sizing!JC104</f>
        <v>1.9839863322260787E-2</v>
      </c>
      <c r="AI88" s="272">
        <f>Sizing!JD104</f>
        <v>0.14085404971906482</v>
      </c>
      <c r="AJ88" s="216">
        <f>Sizing!IT104</f>
        <v>0.5</v>
      </c>
      <c r="AK88" s="216">
        <f>Sizing!IU104</f>
        <v>1.5748031496062995E-2</v>
      </c>
      <c r="AL88" s="17">
        <f>Sizing!IV104</f>
        <v>1.5748031496062995E-2</v>
      </c>
      <c r="AM88" s="170">
        <f t="shared" si="13"/>
        <v>0</v>
      </c>
      <c r="AN88" s="11">
        <f t="shared" si="14"/>
        <v>2.9954826249985516</v>
      </c>
      <c r="AO88" s="11">
        <f t="shared" si="15"/>
        <v>2.9954826249985516</v>
      </c>
      <c r="AP88" s="11">
        <f t="shared" si="16"/>
        <v>5.9909652499971031</v>
      </c>
      <c r="AQ88" s="555">
        <f t="shared" si="17"/>
        <v>95580937.972198784</v>
      </c>
      <c r="AR88" s="311">
        <f t="shared" si="18"/>
        <v>13.30973624694046</v>
      </c>
      <c r="AS88" s="11">
        <f t="shared" si="19"/>
        <v>0.40656732985739452</v>
      </c>
      <c r="AT88" s="11">
        <f t="shared" si="20"/>
        <v>25.619435997259856</v>
      </c>
      <c r="AU88" s="11">
        <f t="shared" si="21"/>
        <v>26.026003327117252</v>
      </c>
      <c r="AV88" s="555">
        <f t="shared" si="22"/>
        <v>415223541.76142752</v>
      </c>
      <c r="AW88" s="138">
        <f t="shared" si="23"/>
        <v>3.9370078740157494E-2</v>
      </c>
      <c r="AX88" s="138">
        <f t="shared" si="24"/>
        <v>0.11023622047244097</v>
      </c>
      <c r="AY88" s="554">
        <f t="shared" si="25"/>
        <v>3.1496062992125991E-2</v>
      </c>
      <c r="AZ88" s="12">
        <f t="shared" si="26"/>
        <v>1130.3693111430714</v>
      </c>
      <c r="BA88" s="11">
        <f t="shared" si="27"/>
        <v>165.34911787138373</v>
      </c>
      <c r="BB88">
        <f t="shared" si="28"/>
        <v>1216.9286302451956</v>
      </c>
      <c r="BC88" s="555">
        <f t="shared" si="29"/>
        <v>4589023261.5110703</v>
      </c>
      <c r="BD88">
        <f t="shared" si="30"/>
        <v>44</v>
      </c>
      <c r="BE88" s="207">
        <f t="shared" si="31"/>
        <v>4.3021654920000003</v>
      </c>
      <c r="BF88" s="207">
        <f>'Inputs-Imperial'!$E$15*BE88</f>
        <v>3.2266241190000002</v>
      </c>
      <c r="BG88" s="207">
        <f>'Inputs-Imperial'!$E$12*BE88</f>
        <v>1.0755413730000001</v>
      </c>
      <c r="BH88">
        <f>'Inputs-Imperial'!$E$11*BE88</f>
        <v>0.77438978856000007</v>
      </c>
      <c r="BI88">
        <f t="shared" si="32"/>
        <v>0.82136440615858919</v>
      </c>
      <c r="BJ88">
        <f>'Weight '!U90+'Weight '!V90 /12</f>
        <v>2.4934383202099744E-2</v>
      </c>
      <c r="BK88">
        <f>('Weight '!AK90+'Weight '!AL90)/12</f>
        <v>9.186351706036747E-3</v>
      </c>
      <c r="BL88">
        <f>'Weight '!AG90/12</f>
        <v>9.3176552037367646E-2</v>
      </c>
      <c r="BM88">
        <f>'Weight '!AI90/12</f>
        <v>9.3176552037367646E-2</v>
      </c>
      <c r="BN88" s="554">
        <f t="shared" si="33"/>
        <v>2.3658481013098411</v>
      </c>
      <c r="BO88" s="554">
        <f t="shared" si="34"/>
        <v>4.5676114574313482</v>
      </c>
      <c r="BP88">
        <f t="shared" si="35"/>
        <v>9.3176552037367646E-2</v>
      </c>
      <c r="BQ88">
        <f t="shared" si="35"/>
        <v>9.3176552037367646E-2</v>
      </c>
      <c r="BR88">
        <f t="shared" si="36"/>
        <v>0.5880366844852648</v>
      </c>
      <c r="BS88">
        <f t="shared" si="37"/>
        <v>0.62466619231875165</v>
      </c>
      <c r="BT88">
        <f t="shared" si="38"/>
        <v>1.4568228836042496</v>
      </c>
      <c r="BU88">
        <f t="shared" si="39"/>
        <v>1.3544123493853106</v>
      </c>
      <c r="BV88">
        <f t="shared" si="40"/>
        <v>159.22360583348171</v>
      </c>
      <c r="BW88" s="207">
        <f t="shared" si="41"/>
        <v>93.597881575786118</v>
      </c>
      <c r="BX88">
        <f t="shared" si="42"/>
        <v>1.5395241951935541</v>
      </c>
      <c r="BY88" s="575">
        <f t="shared" si="43"/>
        <v>-53.612939678418186</v>
      </c>
      <c r="BZ88">
        <f t="shared" si="44"/>
        <v>177.09458572628779</v>
      </c>
      <c r="CA88" s="207">
        <f t="shared" si="45"/>
        <v>83.092618547140489</v>
      </c>
      <c r="CB88">
        <f t="shared" si="46"/>
        <v>1.5924596042756678</v>
      </c>
      <c r="CC88">
        <f t="shared" si="47"/>
        <v>161.1192942356102</v>
      </c>
      <c r="CD88">
        <f t="shared" si="48"/>
        <v>123.38815431441773</v>
      </c>
      <c r="CE88" s="207">
        <f t="shared" si="49"/>
        <v>114.66336574151943</v>
      </c>
      <c r="CF88">
        <f t="shared" si="50"/>
        <v>1.4333764463189937</v>
      </c>
      <c r="CG88">
        <f t="shared" si="51"/>
        <v>-28.764061276958504</v>
      </c>
      <c r="CH88">
        <f t="shared" si="52"/>
        <v>132.97617474007058</v>
      </c>
      <c r="CI88" s="207">
        <f t="shared" ref="CI88" si="200" xml:space="preserve"> ($BQ$38-CH88*($BP88+$BR88+$BQ88+$BN88))/($BP88+$BR88+$BQ88+$BO88)</f>
        <v>109.02715121385069</v>
      </c>
      <c r="CJ88">
        <f t="shared" si="54"/>
        <v>1.4617770033429487</v>
      </c>
      <c r="CK88">
        <f t="shared" si="55"/>
        <v>2.6291718620934343</v>
      </c>
      <c r="CL88">
        <f t="shared" si="56"/>
        <v>132.09978411937277</v>
      </c>
      <c r="CM88" s="207">
        <f t="shared" ref="CM88" si="201" xml:space="preserve"> ($BQ$38-CL88*($BP88+$BR88+$BQ88+$BN88))/($BP88+$BR88+$BQ88+$BO88)</f>
        <v>109.5423279999862</v>
      </c>
      <c r="CN88">
        <f t="shared" si="58"/>
        <v>1.4591810574966306</v>
      </c>
      <c r="CO88">
        <f t="shared" si="59"/>
        <v>-0.28554863810832209</v>
      </c>
      <c r="CP88">
        <f t="shared" si="60"/>
        <v>132.19496699874222</v>
      </c>
      <c r="CQ88" s="207">
        <f t="shared" ref="CQ88" si="202" xml:space="preserve"> ($BQ$38-CP88*($BP88+$BR88+$BQ88+$BN88))/($BP88+$BR88+$BQ88+$BO88)</f>
        <v>109.486375769633</v>
      </c>
      <c r="CR88">
        <f t="shared" si="62"/>
        <v>1.4594629975294244</v>
      </c>
      <c r="CS88">
        <f t="shared" si="63"/>
        <v>3.0572309111066787E-2</v>
      </c>
      <c r="CT88">
        <f t="shared" si="64"/>
        <v>132.18477622903853</v>
      </c>
      <c r="CU88" s="636">
        <f t="shared" si="65"/>
        <v>109.4923663038311</v>
      </c>
      <c r="CV88" s="575">
        <f t="shared" si="66"/>
        <v>1.4594328115761996</v>
      </c>
      <c r="CW88">
        <f t="shared" si="67"/>
        <v>-3.2783601399213325E-3</v>
      </c>
      <c r="CX88" s="576">
        <f t="shared" si="68"/>
        <v>0.33923214118333123</v>
      </c>
    </row>
    <row r="89" spans="1:102" x14ac:dyDescent="0.25">
      <c r="A89" s="186">
        <v>45</v>
      </c>
      <c r="B89" s="187">
        <f>A89/100*'Inputs-Imperial'!$E$5</f>
        <v>10.836614519999999</v>
      </c>
      <c r="C89" s="188">
        <f>'Inputs-Imperial'!$E$10+('Inputs-Imperial'!$E$9-'Inputs-Imperial'!$E$10)*(100-A89)/100</f>
        <v>4.2843669350000004</v>
      </c>
      <c r="D89" s="187">
        <f t="shared" si="69"/>
        <v>0.24081365600000026</v>
      </c>
      <c r="E89" s="188">
        <f t="shared" si="70"/>
        <v>1.0338771330542129</v>
      </c>
      <c r="F89" s="423">
        <f>Sizing!F105</f>
        <v>458.36304361738428</v>
      </c>
      <c r="G89" s="423">
        <f>Sizing!G105</f>
        <v>4583.630436173843</v>
      </c>
      <c r="H89" s="423">
        <f>Sizing!H105</f>
        <v>27657.811446921245</v>
      </c>
      <c r="I89" s="423">
        <f>Sizing!I105</f>
        <v>-9350.2163659289472</v>
      </c>
      <c r="J89" s="189">
        <f>Sizing!J105</f>
        <v>2765.7811446921251</v>
      </c>
      <c r="K89" s="128">
        <v>45</v>
      </c>
      <c r="L89" s="12">
        <f t="shared" si="11"/>
        <v>130.03937424</v>
      </c>
      <c r="M89" s="11">
        <f t="shared" si="11"/>
        <v>51.412403220000002</v>
      </c>
      <c r="N89" s="11">
        <f t="shared" si="11"/>
        <v>2.8897638720000032</v>
      </c>
      <c r="O89" s="152">
        <f t="shared" si="71"/>
        <v>148.87830715980667</v>
      </c>
      <c r="P89" s="170">
        <f t="shared" si="162"/>
        <v>9.2542325796</v>
      </c>
      <c r="Q89" s="8">
        <f t="shared" si="163"/>
        <v>4.6271162898</v>
      </c>
      <c r="R89" s="170">
        <f>Sizing!X105</f>
        <v>12.853100805</v>
      </c>
      <c r="S89" s="8">
        <f>Sizing!Y105</f>
        <v>38.559302415000005</v>
      </c>
      <c r="T89" s="8">
        <f>Sizing!Z105</f>
        <v>25.706201610000004</v>
      </c>
      <c r="U89" s="17">
        <f>Sizing!CN105</f>
        <v>2.5</v>
      </c>
      <c r="V89" s="17">
        <f>Sizing!CO105</f>
        <v>2.3622047244094495E-2</v>
      </c>
      <c r="W89" s="17">
        <f>Sizing!CP105</f>
        <v>1.5748031496062995E-2</v>
      </c>
      <c r="X89" s="170">
        <f>Sizing!DU105</f>
        <v>1.2501892583384084</v>
      </c>
      <c r="Y89" s="170">
        <f>Sizing!DV105</f>
        <v>1.1181186244484118</v>
      </c>
      <c r="Z89" s="170">
        <f>Sizing!DW105</f>
        <v>1.2501892583384084</v>
      </c>
      <c r="AA89" s="272">
        <f>Sizing!DX105</f>
        <v>1.1181186244484118</v>
      </c>
      <c r="AB89" s="272">
        <f t="shared" si="12"/>
        <v>3.0573737976712732</v>
      </c>
      <c r="AC89" s="216">
        <f>Sizing!GJ105</f>
        <v>0.5</v>
      </c>
      <c r="AD89" s="216">
        <f>Sizing!GK105</f>
        <v>5.5118110236220486E-2</v>
      </c>
      <c r="AE89" s="17">
        <f>Sizing!GL105</f>
        <v>5.5118110236220486E-2</v>
      </c>
      <c r="AF89" s="170">
        <f>Sizing!JC105</f>
        <v>1.9839863322260787E-2</v>
      </c>
      <c r="AG89" s="272">
        <f>Sizing!JD105</f>
        <v>0.14085404971906482</v>
      </c>
      <c r="AH89" s="170">
        <f>Sizing!JC105</f>
        <v>1.9839863322260787E-2</v>
      </c>
      <c r="AI89" s="272">
        <f>Sizing!JD105</f>
        <v>0.14085404971906482</v>
      </c>
      <c r="AJ89" s="216">
        <f>Sizing!IT105</f>
        <v>0.5</v>
      </c>
      <c r="AK89" s="216">
        <f>Sizing!IU105</f>
        <v>1.5748031496062995E-2</v>
      </c>
      <c r="AL89" s="17">
        <f>Sizing!IV105</f>
        <v>1.5748031496062995E-2</v>
      </c>
      <c r="AM89" s="170">
        <f t="shared" si="13"/>
        <v>0</v>
      </c>
      <c r="AN89" s="11">
        <f t="shared" si="14"/>
        <v>2.9215468180533968</v>
      </c>
      <c r="AO89" s="11">
        <f t="shared" si="15"/>
        <v>2.9215468180533968</v>
      </c>
      <c r="AP89" s="11">
        <f t="shared" si="16"/>
        <v>5.8430936361067936</v>
      </c>
      <c r="AQ89" s="555">
        <f t="shared" si="17"/>
        <v>93221767.627302289</v>
      </c>
      <c r="AR89" s="311">
        <f t="shared" si="18"/>
        <v>13.254672326297088</v>
      </c>
      <c r="AS89" s="11">
        <f t="shared" si="19"/>
        <v>0.40321025627286428</v>
      </c>
      <c r="AT89" s="11">
        <f t="shared" si="20"/>
        <v>25.407893343630757</v>
      </c>
      <c r="AU89" s="11">
        <f t="shared" si="21"/>
        <v>25.811103599903621</v>
      </c>
      <c r="AV89" s="555">
        <f t="shared" si="22"/>
        <v>411794992.83151037</v>
      </c>
      <c r="AW89" s="138">
        <f t="shared" si="23"/>
        <v>3.9370078740157494E-2</v>
      </c>
      <c r="AX89" s="138">
        <f t="shared" si="24"/>
        <v>0.11023622047244097</v>
      </c>
      <c r="AY89" s="554">
        <f t="shared" si="25"/>
        <v>3.1496062992125991E-2</v>
      </c>
      <c r="AZ89" s="12">
        <f t="shared" si="26"/>
        <v>1121.0357206734889</v>
      </c>
      <c r="BA89" s="11">
        <f t="shared" si="27"/>
        <v>164.6650494168332</v>
      </c>
      <c r="BB89">
        <f t="shared" si="28"/>
        <v>1201.8873057968847</v>
      </c>
      <c r="BC89" s="555">
        <f t="shared" si="29"/>
        <v>4532302607.5123835</v>
      </c>
      <c r="BD89">
        <f t="shared" si="30"/>
        <v>45</v>
      </c>
      <c r="BE89" s="207">
        <f t="shared" si="31"/>
        <v>4.2843669350000004</v>
      </c>
      <c r="BF89" s="207">
        <f>'Inputs-Imperial'!$E$15*BE89</f>
        <v>3.2132752012500001</v>
      </c>
      <c r="BG89" s="207">
        <f>'Inputs-Imperial'!$E$12*BE89</f>
        <v>1.0710917337500001</v>
      </c>
      <c r="BH89">
        <f>'Inputs-Imperial'!$E$11*BE89</f>
        <v>0.77118604830000004</v>
      </c>
      <c r="BI89">
        <f t="shared" si="32"/>
        <v>0.81796632646407963</v>
      </c>
      <c r="BJ89">
        <f>'Weight '!U91+'Weight '!V91 /12</f>
        <v>2.4934383202099744E-2</v>
      </c>
      <c r="BK89">
        <f>('Weight '!AK91+'Weight '!AL91)/12</f>
        <v>9.186351706036747E-3</v>
      </c>
      <c r="BL89">
        <f>'Weight '!AG91/12</f>
        <v>9.3176552037367646E-2</v>
      </c>
      <c r="BM89">
        <f>'Weight '!AI91/12</f>
        <v>9.3176552037367646E-2</v>
      </c>
      <c r="BN89" s="554">
        <f t="shared" si="33"/>
        <v>2.353463979090348</v>
      </c>
      <c r="BO89" s="554">
        <f t="shared" si="34"/>
        <v>4.5513110542896191</v>
      </c>
      <c r="BP89">
        <f t="shared" si="35"/>
        <v>9.3176552037367646E-2</v>
      </c>
      <c r="BQ89">
        <f t="shared" si="35"/>
        <v>9.3176552037367646E-2</v>
      </c>
      <c r="BR89">
        <f t="shared" si="36"/>
        <v>0.58483294422526477</v>
      </c>
      <c r="BS89">
        <f t="shared" si="37"/>
        <v>0.61950825113809371</v>
      </c>
      <c r="BT89">
        <f t="shared" si="38"/>
        <v>1.44479372813423</v>
      </c>
      <c r="BU89">
        <f t="shared" si="39"/>
        <v>1.332137613541565</v>
      </c>
      <c r="BV89">
        <f t="shared" si="40"/>
        <v>160.01792060456481</v>
      </c>
      <c r="BW89" s="207">
        <f t="shared" si="41"/>
        <v>93.940868423719564</v>
      </c>
      <c r="BX89">
        <f t="shared" si="42"/>
        <v>1.5334520898858306</v>
      </c>
      <c r="BY89" s="575">
        <f t="shared" si="43"/>
        <v>-53.436231375628566</v>
      </c>
      <c r="BZ89">
        <f t="shared" si="44"/>
        <v>177.82999772977433</v>
      </c>
      <c r="CA89" s="207">
        <f t="shared" si="45"/>
        <v>83.484027169623687</v>
      </c>
      <c r="CB89">
        <f t="shared" si="46"/>
        <v>1.5857375047038074</v>
      </c>
      <c r="CC89">
        <f t="shared" si="47"/>
        <v>160.98865394556151</v>
      </c>
      <c r="CD89">
        <f t="shared" si="48"/>
        <v>124.16711308125383</v>
      </c>
      <c r="CE89" s="207">
        <f t="shared" si="49"/>
        <v>114.98761106171493</v>
      </c>
      <c r="CF89">
        <f t="shared" si="50"/>
        <v>1.4282159442224591</v>
      </c>
      <c r="CG89">
        <f t="shared" si="51"/>
        <v>-27.921389418241926</v>
      </c>
      <c r="CH89">
        <f t="shared" si="52"/>
        <v>133.47424288733447</v>
      </c>
      <c r="CI89" s="207">
        <f t="shared" ref="CI89" si="203" xml:space="preserve"> ($BQ$38-CH89*($BP89+$BR89+$BQ89+$BN89))/($BP89+$BR89+$BQ89+$BO89)</f>
        <v>109.52372393449677</v>
      </c>
      <c r="CJ89">
        <f t="shared" si="54"/>
        <v>1.4555360113462958</v>
      </c>
      <c r="CK89">
        <f t="shared" si="55"/>
        <v>2.4189976595825637</v>
      </c>
      <c r="CL89">
        <f t="shared" si="56"/>
        <v>132.66791033414029</v>
      </c>
      <c r="CM89" s="207">
        <f t="shared" ref="CM89" si="204" xml:space="preserve"> ($BQ$38-CL89*($BP89+$BR89+$BQ89+$BN89))/($BP89+$BR89+$BQ89+$BO89)</f>
        <v>109.99709329212368</v>
      </c>
      <c r="CN89">
        <f t="shared" si="58"/>
        <v>1.4531691098485853</v>
      </c>
      <c r="CO89">
        <f t="shared" si="59"/>
        <v>-0.24981339511146139</v>
      </c>
      <c r="CP89">
        <f t="shared" si="60"/>
        <v>132.7511814658441</v>
      </c>
      <c r="CQ89" s="207">
        <f t="shared" ref="CQ89" si="205" xml:space="preserve"> ($BQ$38-CP89*($BP89+$BR89+$BQ89+$BN89))/($BP89+$BR89+$BQ89+$BO89)</f>
        <v>109.94820775232084</v>
      </c>
      <c r="CR89">
        <f t="shared" si="62"/>
        <v>1.4534135431975368</v>
      </c>
      <c r="CS89">
        <f t="shared" si="63"/>
        <v>2.5445110816640693E-2</v>
      </c>
      <c r="CT89">
        <f t="shared" si="64"/>
        <v>132.74269976223854</v>
      </c>
      <c r="CU89" s="636">
        <f t="shared" si="65"/>
        <v>109.95318706088459</v>
      </c>
      <c r="CV89" s="575">
        <f t="shared" si="66"/>
        <v>1.4533886460792353</v>
      </c>
      <c r="CW89">
        <f t="shared" si="67"/>
        <v>-2.595473272664961E-3</v>
      </c>
      <c r="CX89" s="576">
        <f t="shared" si="68"/>
        <v>0.33923066537699231</v>
      </c>
    </row>
    <row r="90" spans="1:102" x14ac:dyDescent="0.25">
      <c r="A90" s="186">
        <v>46</v>
      </c>
      <c r="B90" s="187">
        <f>A90/100*'Inputs-Imperial'!$E$5</f>
        <v>11.077428176</v>
      </c>
      <c r="C90" s="188">
        <f>'Inputs-Imperial'!$E$10+('Inputs-Imperial'!$E$9-'Inputs-Imperial'!$E$10)*(100-A90)/100</f>
        <v>4.2665683780000005</v>
      </c>
      <c r="D90" s="187">
        <f t="shared" si="69"/>
        <v>0.24081365600000026</v>
      </c>
      <c r="E90" s="188">
        <f t="shared" si="70"/>
        <v>1.0295909974715183</v>
      </c>
      <c r="F90" s="423">
        <f>Sizing!F106</f>
        <v>447.91126854676116</v>
      </c>
      <c r="G90" s="423">
        <f>Sizing!G106</f>
        <v>4479.1126854676122</v>
      </c>
      <c r="H90" s="423">
        <f>Sizing!H106</f>
        <v>26554.010643833346</v>
      </c>
      <c r="I90" s="423">
        <f>Sizing!I106</f>
        <v>-9091.2596011431597</v>
      </c>
      <c r="J90" s="189">
        <f>Sizing!J106</f>
        <v>2655.4010643833353</v>
      </c>
      <c r="K90" s="128">
        <v>46</v>
      </c>
      <c r="L90" s="12">
        <f t="shared" si="11"/>
        <v>132.929138112</v>
      </c>
      <c r="M90" s="11">
        <f t="shared" si="11"/>
        <v>51.198820536000007</v>
      </c>
      <c r="N90" s="11">
        <f t="shared" si="11"/>
        <v>2.8897638720000032</v>
      </c>
      <c r="O90" s="152">
        <f t="shared" si="71"/>
        <v>148.26110363589862</v>
      </c>
      <c r="P90" s="170">
        <f t="shared" si="162"/>
        <v>9.2157876964800014</v>
      </c>
      <c r="Q90" s="8">
        <f t="shared" si="163"/>
        <v>4.6078938482400007</v>
      </c>
      <c r="R90" s="170">
        <f>Sizing!X106</f>
        <v>12.799705134000002</v>
      </c>
      <c r="S90" s="8">
        <f>Sizing!Y106</f>
        <v>38.399115402000007</v>
      </c>
      <c r="T90" s="8">
        <f>Sizing!Z106</f>
        <v>25.599410268000007</v>
      </c>
      <c r="U90" s="17">
        <f>Sizing!CN106</f>
        <v>2.5</v>
      </c>
      <c r="V90" s="17">
        <f>Sizing!CO106</f>
        <v>2.3622047244094495E-2</v>
      </c>
      <c r="W90" s="17">
        <f>Sizing!CP106</f>
        <v>1.5748031496062995E-2</v>
      </c>
      <c r="X90" s="170">
        <f>Sizing!DU106</f>
        <v>1.2501892583384084</v>
      </c>
      <c r="Y90" s="170">
        <f>Sizing!DV106</f>
        <v>1.1181186244484118</v>
      </c>
      <c r="Z90" s="170">
        <f>Sizing!DW106</f>
        <v>1.2501892583384084</v>
      </c>
      <c r="AA90" s="272">
        <f>Sizing!DX106</f>
        <v>1.1181186244484118</v>
      </c>
      <c r="AB90" s="272">
        <f t="shared" si="12"/>
        <v>3.0189289145512745</v>
      </c>
      <c r="AC90" s="216">
        <f>Sizing!GJ106</f>
        <v>0.5</v>
      </c>
      <c r="AD90" s="216">
        <f>Sizing!GK106</f>
        <v>5.5118110236220486E-2</v>
      </c>
      <c r="AE90" s="17">
        <f>Sizing!GL106</f>
        <v>5.5118110236220486E-2</v>
      </c>
      <c r="AF90" s="170">
        <f>Sizing!JC106</f>
        <v>1.9839863322260787E-2</v>
      </c>
      <c r="AG90" s="272">
        <f>Sizing!JD106</f>
        <v>0.14085404971906482</v>
      </c>
      <c r="AH90" s="170">
        <f>Sizing!JC106</f>
        <v>1.9839863322260787E-2</v>
      </c>
      <c r="AI90" s="272">
        <f>Sizing!JD106</f>
        <v>0.14085404971906482</v>
      </c>
      <c r="AJ90" s="216">
        <f>Sizing!IT106</f>
        <v>0.5</v>
      </c>
      <c r="AK90" s="216">
        <f>Sizing!IU106</f>
        <v>1.5748031496062995E-2</v>
      </c>
      <c r="AL90" s="17">
        <f>Sizing!IV106</f>
        <v>1.5748031496062995E-2</v>
      </c>
      <c r="AM90" s="170">
        <f t="shared" si="13"/>
        <v>0</v>
      </c>
      <c r="AN90" s="11">
        <f t="shared" si="14"/>
        <v>2.8485349066198316</v>
      </c>
      <c r="AO90" s="11">
        <f t="shared" si="15"/>
        <v>2.8485349066198316</v>
      </c>
      <c r="AP90" s="11">
        <f t="shared" si="16"/>
        <v>5.6970698132396631</v>
      </c>
      <c r="AQ90" s="555">
        <f t="shared" si="17"/>
        <v>90892077.27299197</v>
      </c>
      <c r="AR90" s="311">
        <f t="shared" si="18"/>
        <v>13.199608405653718</v>
      </c>
      <c r="AS90" s="11">
        <f t="shared" si="19"/>
        <v>0.399867100079564</v>
      </c>
      <c r="AT90" s="11">
        <f t="shared" si="20"/>
        <v>25.197227680570453</v>
      </c>
      <c r="AU90" s="11">
        <f t="shared" si="21"/>
        <v>25.597094780650018</v>
      </c>
      <c r="AV90" s="555">
        <f t="shared" si="22"/>
        <v>408380657.60755092</v>
      </c>
      <c r="AW90" s="138">
        <f t="shared" si="23"/>
        <v>3.9370078740157494E-2</v>
      </c>
      <c r="AX90" s="138">
        <f t="shared" si="24"/>
        <v>0.11023622047244097</v>
      </c>
      <c r="AY90" s="554">
        <f t="shared" si="25"/>
        <v>3.1496062992125991E-2</v>
      </c>
      <c r="AZ90" s="12">
        <f t="shared" si="26"/>
        <v>1111.7408243900404</v>
      </c>
      <c r="BA90" s="11">
        <f t="shared" si="27"/>
        <v>163.98098096228247</v>
      </c>
      <c r="BB90">
        <f t="shared" si="28"/>
        <v>1186.9704360388182</v>
      </c>
      <c r="BC90" s="555">
        <f t="shared" si="29"/>
        <v>4476051270.6571512</v>
      </c>
      <c r="BD90">
        <f t="shared" si="30"/>
        <v>46</v>
      </c>
      <c r="BE90" s="207">
        <f t="shared" si="31"/>
        <v>4.2665683780000005</v>
      </c>
      <c r="BF90" s="207">
        <f>'Inputs-Imperial'!$E$15*BE90</f>
        <v>3.1999262835000004</v>
      </c>
      <c r="BG90" s="207">
        <f>'Inputs-Imperial'!$E$12*BE90</f>
        <v>1.0666420945000001</v>
      </c>
      <c r="BH90">
        <f>'Inputs-Imperial'!$E$11*BE90</f>
        <v>0.76798230804000012</v>
      </c>
      <c r="BI90">
        <f t="shared" si="32"/>
        <v>0.81456824676957018</v>
      </c>
      <c r="BJ90">
        <f>'Weight '!U92+'Weight '!V92 /12</f>
        <v>2.4934383202099744E-2</v>
      </c>
      <c r="BK90">
        <f>('Weight '!AK92+'Weight '!AL92)/12</f>
        <v>9.186351706036747E-3</v>
      </c>
      <c r="BL90">
        <f>'Weight '!AG92/12</f>
        <v>9.3176552037367646E-2</v>
      </c>
      <c r="BM90">
        <f>'Weight '!AI92/12</f>
        <v>9.3176552037367646E-2</v>
      </c>
      <c r="BN90" s="554">
        <f t="shared" si="33"/>
        <v>2.3410776932607495</v>
      </c>
      <c r="BO90" s="554">
        <f t="shared" si="34"/>
        <v>4.5350128147579953</v>
      </c>
      <c r="BP90">
        <f t="shared" si="35"/>
        <v>9.3176552037367646E-2</v>
      </c>
      <c r="BQ90">
        <f t="shared" si="35"/>
        <v>9.3176552037367646E-2</v>
      </c>
      <c r="BR90">
        <f t="shared" si="36"/>
        <v>0.58162920396526485</v>
      </c>
      <c r="BS90">
        <f t="shared" si="37"/>
        <v>0.61437169319004747</v>
      </c>
      <c r="BT90">
        <f t="shared" si="38"/>
        <v>1.4328144418310993</v>
      </c>
      <c r="BU90">
        <f t="shared" si="39"/>
        <v>1.3101387625501364</v>
      </c>
      <c r="BV90">
        <f t="shared" si="40"/>
        <v>160.82031218143524</v>
      </c>
      <c r="BW90" s="207">
        <f t="shared" si="41"/>
        <v>94.286339780034965</v>
      </c>
      <c r="BX90">
        <f t="shared" si="42"/>
        <v>1.5273803781300646</v>
      </c>
      <c r="BY90" s="575">
        <f t="shared" si="43"/>
        <v>-53.257821827291963</v>
      </c>
      <c r="BZ90">
        <f t="shared" si="44"/>
        <v>178.57291945719922</v>
      </c>
      <c r="CA90" s="207">
        <f t="shared" si="45"/>
        <v>83.878274163946543</v>
      </c>
      <c r="CB90">
        <f t="shared" si="46"/>
        <v>1.5790194303636771</v>
      </c>
      <c r="CC90">
        <f t="shared" si="47"/>
        <v>160.86219861616661</v>
      </c>
      <c r="CD90">
        <f t="shared" si="48"/>
        <v>124.95218658514369</v>
      </c>
      <c r="CE90" s="207">
        <f t="shared" si="49"/>
        <v>115.31523986965506</v>
      </c>
      <c r="CF90">
        <f t="shared" si="50"/>
        <v>1.4230466325333089</v>
      </c>
      <c r="CG90">
        <f t="shared" si="51"/>
        <v>-27.080254290616477</v>
      </c>
      <c r="CH90">
        <f t="shared" si="52"/>
        <v>133.97893801534917</v>
      </c>
      <c r="CI90" s="207">
        <f t="shared" ref="CI90" si="206" xml:space="preserve"> ($BQ$38-CH90*($BP90+$BR90+$BQ90+$BN90))/($BP90+$BR90+$BQ90+$BO90)</f>
        <v>110.02300196193309</v>
      </c>
      <c r="CJ90">
        <f t="shared" si="54"/>
        <v>1.449303783461251</v>
      </c>
      <c r="CK90">
        <f t="shared" si="55"/>
        <v>2.2169880283384362</v>
      </c>
      <c r="CL90">
        <f t="shared" si="56"/>
        <v>133.23994200590303</v>
      </c>
      <c r="CM90" s="207">
        <f t="shared" ref="CM90" si="207" xml:space="preserve"> ($BQ$38-CL90*($BP90+$BR90+$BQ90+$BN90))/($BP90+$BR90+$BQ90+$BO90)</f>
        <v>110.4562633323259</v>
      </c>
      <c r="CN90">
        <f t="shared" si="58"/>
        <v>1.44715418070491</v>
      </c>
      <c r="CO90">
        <f t="shared" si="59"/>
        <v>-0.21712964726141593</v>
      </c>
      <c r="CP90">
        <f t="shared" si="60"/>
        <v>133.31231855499016</v>
      </c>
      <c r="CQ90" s="207">
        <f t="shared" ref="CQ90" si="208" xml:space="preserve"> ($BQ$38-CP90*($BP90+$BR90+$BQ90+$BN90))/($BP90+$BR90+$BQ90+$BO90)</f>
        <v>110.41383013587971</v>
      </c>
      <c r="CR90">
        <f t="shared" si="62"/>
        <v>1.4473647107042922</v>
      </c>
      <c r="CS90">
        <f t="shared" si="63"/>
        <v>2.0984779292366085E-2</v>
      </c>
      <c r="CT90">
        <f t="shared" si="64"/>
        <v>133.30532362855936</v>
      </c>
      <c r="CU90" s="636">
        <f t="shared" si="65"/>
        <v>110.41793114775589</v>
      </c>
      <c r="CV90" s="575">
        <f t="shared" si="66"/>
        <v>1.4473443637566175</v>
      </c>
      <c r="CW90">
        <f t="shared" si="67"/>
        <v>-2.0307621266759668E-3</v>
      </c>
      <c r="CX90" s="576">
        <f t="shared" si="68"/>
        <v>0.33922914987596559</v>
      </c>
    </row>
    <row r="91" spans="1:102" x14ac:dyDescent="0.25">
      <c r="A91" s="186">
        <v>47</v>
      </c>
      <c r="B91" s="187">
        <f>A91/100*'Inputs-Imperial'!$E$5</f>
        <v>11.318241831999998</v>
      </c>
      <c r="C91" s="188">
        <f>'Inputs-Imperial'!$E$10+('Inputs-Imperial'!$E$9-'Inputs-Imperial'!$E$10)*(100-A91)/100</f>
        <v>4.2487698210000007</v>
      </c>
      <c r="D91" s="187">
        <f t="shared" si="69"/>
        <v>0.24081365599999849</v>
      </c>
      <c r="E91" s="188">
        <f t="shared" si="70"/>
        <v>1.0253048618888165</v>
      </c>
      <c r="F91" s="423">
        <f>Sizing!F107</f>
        <v>437.51211539822884</v>
      </c>
      <c r="G91" s="423">
        <f>Sizing!G107</f>
        <v>4375.1211539822889</v>
      </c>
      <c r="H91" s="423">
        <f>Sizing!H107</f>
        <v>25475.379142409918</v>
      </c>
      <c r="I91" s="423">
        <f>Sizing!I107</f>
        <v>-8834.9179877696697</v>
      </c>
      <c r="J91" s="189">
        <f>Sizing!J107</f>
        <v>2547.5379142409924</v>
      </c>
      <c r="K91" s="128">
        <v>47</v>
      </c>
      <c r="L91" s="12">
        <f t="shared" si="11"/>
        <v>135.81890198399998</v>
      </c>
      <c r="M91" s="11">
        <f t="shared" si="11"/>
        <v>50.985237852000012</v>
      </c>
      <c r="N91" s="11">
        <f t="shared" si="11"/>
        <v>2.8897638719999819</v>
      </c>
      <c r="O91" s="152">
        <f t="shared" si="71"/>
        <v>147.64390011198958</v>
      </c>
      <c r="P91" s="170">
        <f t="shared" si="162"/>
        <v>9.177342813360001</v>
      </c>
      <c r="Q91" s="8">
        <f t="shared" si="163"/>
        <v>4.5886714066800005</v>
      </c>
      <c r="R91" s="170">
        <f>Sizing!X107</f>
        <v>12.746309463000003</v>
      </c>
      <c r="S91" s="8">
        <f>Sizing!Y107</f>
        <v>38.238928389000009</v>
      </c>
      <c r="T91" s="8">
        <f>Sizing!Z107</f>
        <v>25.492618926000006</v>
      </c>
      <c r="U91" s="17">
        <f>Sizing!CN107</f>
        <v>2.5</v>
      </c>
      <c r="V91" s="17">
        <f>Sizing!CO107</f>
        <v>2.3622047244094495E-2</v>
      </c>
      <c r="W91" s="17">
        <f>Sizing!CP107</f>
        <v>1.5748031496062995E-2</v>
      </c>
      <c r="X91" s="170">
        <f>Sizing!DU107</f>
        <v>1.2501892583384084</v>
      </c>
      <c r="Y91" s="170">
        <f>Sizing!DV107</f>
        <v>1.1181186244484118</v>
      </c>
      <c r="Z91" s="170">
        <f>Sizing!DW107</f>
        <v>1.2501892583384084</v>
      </c>
      <c r="AA91" s="272">
        <f>Sizing!DX107</f>
        <v>1.1181186244484118</v>
      </c>
      <c r="AB91" s="272">
        <f t="shared" si="12"/>
        <v>2.9804840314312742</v>
      </c>
      <c r="AC91" s="216">
        <f>Sizing!GJ107</f>
        <v>0.5</v>
      </c>
      <c r="AD91" s="216">
        <f>Sizing!GK107</f>
        <v>5.5118110236220486E-2</v>
      </c>
      <c r="AE91" s="17">
        <f>Sizing!GL107</f>
        <v>5.5118110236220486E-2</v>
      </c>
      <c r="AF91" s="170">
        <f>Sizing!JC107</f>
        <v>1.9839863322260787E-2</v>
      </c>
      <c r="AG91" s="272">
        <f>Sizing!JD107</f>
        <v>0.14085404971906482</v>
      </c>
      <c r="AH91" s="170">
        <f>Sizing!JC107</f>
        <v>1.9839863322260787E-2</v>
      </c>
      <c r="AI91" s="272">
        <f>Sizing!JD107</f>
        <v>0.14085404971906482</v>
      </c>
      <c r="AJ91" s="216">
        <f>Sizing!IT107</f>
        <v>0.5</v>
      </c>
      <c r="AK91" s="216">
        <f>Sizing!IU107</f>
        <v>1.5748031496062995E-2</v>
      </c>
      <c r="AL91" s="17">
        <f>Sizing!IV107</f>
        <v>1.5748031496062995E-2</v>
      </c>
      <c r="AM91" s="170">
        <f t="shared" si="13"/>
        <v>0</v>
      </c>
      <c r="AN91" s="11">
        <f t="shared" si="14"/>
        <v>2.7764468906978492</v>
      </c>
      <c r="AO91" s="11">
        <f t="shared" si="15"/>
        <v>2.7764468906978492</v>
      </c>
      <c r="AP91" s="11">
        <f t="shared" si="16"/>
        <v>5.5528937813956984</v>
      </c>
      <c r="AQ91" s="555">
        <f t="shared" si="17"/>
        <v>88591866.909267619</v>
      </c>
      <c r="AR91" s="311">
        <f t="shared" si="18"/>
        <v>13.144544485010346</v>
      </c>
      <c r="AS91" s="11">
        <f t="shared" si="19"/>
        <v>0.39653786127749008</v>
      </c>
      <c r="AT91" s="11">
        <f t="shared" si="20"/>
        <v>24.98743900807894</v>
      </c>
      <c r="AU91" s="11">
        <f t="shared" si="21"/>
        <v>25.383976869356431</v>
      </c>
      <c r="AV91" s="555">
        <f t="shared" si="22"/>
        <v>404980536.08954901</v>
      </c>
      <c r="AW91" s="138">
        <f t="shared" si="23"/>
        <v>3.9370078740157494E-2</v>
      </c>
      <c r="AX91" s="138">
        <f t="shared" si="24"/>
        <v>0.11023622047244097</v>
      </c>
      <c r="AY91" s="554">
        <f t="shared" si="25"/>
        <v>3.1496062992125991E-2</v>
      </c>
      <c r="AZ91" s="12">
        <f t="shared" si="26"/>
        <v>1102.4846222927256</v>
      </c>
      <c r="BA91" s="11">
        <f t="shared" si="27"/>
        <v>163.29691250773186</v>
      </c>
      <c r="BB91">
        <f t="shared" si="28"/>
        <v>1172.177503948541</v>
      </c>
      <c r="BC91" s="555">
        <f t="shared" si="29"/>
        <v>4420267301.259901</v>
      </c>
      <c r="BD91">
        <f t="shared" si="30"/>
        <v>47</v>
      </c>
      <c r="BE91" s="207">
        <f t="shared" si="31"/>
        <v>4.2487698210000007</v>
      </c>
      <c r="BF91" s="207">
        <f>'Inputs-Imperial'!$E$15*BE91</f>
        <v>3.1865773657500007</v>
      </c>
      <c r="BG91" s="207">
        <f>'Inputs-Imperial'!$E$12*BE91</f>
        <v>1.0621924552500002</v>
      </c>
      <c r="BH91">
        <f>'Inputs-Imperial'!$E$11*BE91</f>
        <v>0.76477856778000008</v>
      </c>
      <c r="BI91">
        <f t="shared" si="32"/>
        <v>0.81117016707506062</v>
      </c>
      <c r="BJ91">
        <f>'Weight '!U93+'Weight '!V93 /12</f>
        <v>2.4934383202099744E-2</v>
      </c>
      <c r="BK91">
        <f>('Weight '!AK93+'Weight '!AL93)/12</f>
        <v>9.186351706036747E-3</v>
      </c>
      <c r="BL91">
        <f>'Weight '!AG93/12</f>
        <v>9.3176552037367646E-2</v>
      </c>
      <c r="BM91">
        <f>'Weight '!AI93/12</f>
        <v>9.3176552037367646E-2</v>
      </c>
      <c r="BN91" s="554">
        <f t="shared" si="33"/>
        <v>2.3286892774695906</v>
      </c>
      <c r="BO91" s="554">
        <f t="shared" si="34"/>
        <v>4.5187167051879324</v>
      </c>
      <c r="BP91">
        <f t="shared" si="35"/>
        <v>9.3176552037367646E-2</v>
      </c>
      <c r="BQ91">
        <f t="shared" si="35"/>
        <v>9.3176552037367646E-2</v>
      </c>
      <c r="BR91">
        <f t="shared" si="36"/>
        <v>0.57842546370526482</v>
      </c>
      <c r="BS91">
        <f t="shared" si="37"/>
        <v>0.60925651847461271</v>
      </c>
      <c r="BT91">
        <f t="shared" si="38"/>
        <v>1.4208850246948557</v>
      </c>
      <c r="BU91">
        <f t="shared" si="39"/>
        <v>1.2884135089605293</v>
      </c>
      <c r="BV91">
        <f t="shared" si="40"/>
        <v>161.63090260266094</v>
      </c>
      <c r="BW91" s="207">
        <f t="shared" si="41"/>
        <v>94.63432333481235</v>
      </c>
      <c r="BX91">
        <f t="shared" si="42"/>
        <v>1.5213090591730816</v>
      </c>
      <c r="BY91" s="575">
        <f t="shared" si="43"/>
        <v>-53.077690236681846</v>
      </c>
      <c r="BZ91">
        <f t="shared" si="44"/>
        <v>179.32346601488823</v>
      </c>
      <c r="CA91" s="207">
        <f t="shared" si="45"/>
        <v>84.275389865942259</v>
      </c>
      <c r="CB91">
        <f t="shared" si="46"/>
        <v>1.572305385223387</v>
      </c>
      <c r="CC91">
        <f t="shared" si="47"/>
        <v>160.73998695911112</v>
      </c>
      <c r="CD91">
        <f t="shared" si="48"/>
        <v>125.74347036185119</v>
      </c>
      <c r="CE91" s="207">
        <f t="shared" si="49"/>
        <v>115.64628832198954</v>
      </c>
      <c r="CF91">
        <f t="shared" si="50"/>
        <v>1.4178685823456376</v>
      </c>
      <c r="CG91">
        <f t="shared" si="51"/>
        <v>-26.240613453529001</v>
      </c>
      <c r="CH91">
        <f t="shared" si="52"/>
        <v>134.49034151302752</v>
      </c>
      <c r="CI91" s="207">
        <f t="shared" ref="CI91" si="209" xml:space="preserve"> ($BQ$38-CH91*($BP91+$BR91+$BQ91+$BN91))/($BP91+$BR91+$BQ91+$BO91)</f>
        <v>110.52502611680815</v>
      </c>
      <c r="CJ91">
        <f t="shared" si="54"/>
        <v>1.4430802084256169</v>
      </c>
      <c r="CK91">
        <f t="shared" si="55"/>
        <v>2.0231172822212304</v>
      </c>
      <c r="CL91">
        <f t="shared" si="56"/>
        <v>133.81596908562045</v>
      </c>
      <c r="CM91" s="207">
        <f t="shared" ref="CM91" si="210" xml:space="preserve"> ($BQ$38-CL91*($BP91+$BR91+$BQ91+$BN91))/($BP91+$BR91+$BQ91+$BO91)</f>
        <v>110.9198687942645</v>
      </c>
      <c r="CN91">
        <f t="shared" si="58"/>
        <v>1.4411364247360461</v>
      </c>
      <c r="CO91">
        <f t="shared" si="59"/>
        <v>-0.18736210264992437</v>
      </c>
      <c r="CP91">
        <f t="shared" si="60"/>
        <v>133.87842311983709</v>
      </c>
      <c r="CQ91" s="207">
        <f t="shared" ref="CQ91" si="211" xml:space="preserve"> ($BQ$38-CP91*($BP91+$BR91+$BQ91+$BN91))/($BP91+$BR91+$BQ91+$BO91)</f>
        <v>110.88330217753187</v>
      </c>
      <c r="CR91">
        <f t="shared" si="62"/>
        <v>1.4413164397071874</v>
      </c>
      <c r="CS91">
        <f t="shared" si="63"/>
        <v>1.7131407547310573E-2</v>
      </c>
      <c r="CT91">
        <f t="shared" si="64"/>
        <v>133.87271265065465</v>
      </c>
      <c r="CU91" s="636">
        <f t="shared" si="65"/>
        <v>110.88664563709501</v>
      </c>
      <c r="CV91" s="575">
        <f t="shared" si="66"/>
        <v>1.4412999800827937</v>
      </c>
      <c r="CW91">
        <f t="shared" si="67"/>
        <v>-1.5682739704026005E-3</v>
      </c>
      <c r="CX91" s="576">
        <f t="shared" si="68"/>
        <v>0.3392275978234956</v>
      </c>
    </row>
    <row r="92" spans="1:102" x14ac:dyDescent="0.25">
      <c r="A92" s="186">
        <v>48</v>
      </c>
      <c r="B92" s="187">
        <f>A92/100*'Inputs-Imperial'!$E$5</f>
        <v>11.559055487999998</v>
      </c>
      <c r="C92" s="188">
        <f>'Inputs-Imperial'!$E$10+('Inputs-Imperial'!$E$9-'Inputs-Imperial'!$E$10)*(100-A92)/100</f>
        <v>4.2309712640000008</v>
      </c>
      <c r="D92" s="187">
        <f t="shared" si="69"/>
        <v>0.24081365600000026</v>
      </c>
      <c r="E92" s="188">
        <f t="shared" si="70"/>
        <v>1.0210187263061297</v>
      </c>
      <c r="F92" s="423">
        <f>Sizing!F108</f>
        <v>427.16647516873218</v>
      </c>
      <c r="G92" s="423">
        <f>Sizing!G108</f>
        <v>4271.6647516873218</v>
      </c>
      <c r="H92" s="423">
        <f>Sizing!H108</f>
        <v>24421.790221876505</v>
      </c>
      <c r="I92" s="423">
        <f>Sizing!I108</f>
        <v>-8581.2222062356323</v>
      </c>
      <c r="J92" s="189">
        <f>Sizing!J108</f>
        <v>2442.1790221876508</v>
      </c>
      <c r="K92" s="128">
        <v>48</v>
      </c>
      <c r="L92" s="12">
        <f t="shared" si="11"/>
        <v>138.70866585599998</v>
      </c>
      <c r="M92" s="11">
        <f t="shared" si="11"/>
        <v>50.771655168000009</v>
      </c>
      <c r="N92" s="11">
        <f t="shared" si="11"/>
        <v>2.8897638720000032</v>
      </c>
      <c r="O92" s="152">
        <f t="shared" si="71"/>
        <v>147.02669658808267</v>
      </c>
      <c r="P92" s="170">
        <f t="shared" si="162"/>
        <v>9.1388979302400006</v>
      </c>
      <c r="Q92" s="8">
        <f t="shared" si="163"/>
        <v>4.5694489651200003</v>
      </c>
      <c r="R92" s="170">
        <f>Sizing!X108</f>
        <v>12.692913792000002</v>
      </c>
      <c r="S92" s="8">
        <f>Sizing!Y108</f>
        <v>38.078741376000011</v>
      </c>
      <c r="T92" s="8">
        <f>Sizing!Z108</f>
        <v>25.385827584000008</v>
      </c>
      <c r="U92" s="17">
        <f>Sizing!CN108</f>
        <v>2.5</v>
      </c>
      <c r="V92" s="17">
        <f>Sizing!CO108</f>
        <v>2.3622047244094495E-2</v>
      </c>
      <c r="W92" s="17">
        <f>Sizing!CP108</f>
        <v>1.5748031496062995E-2</v>
      </c>
      <c r="X92" s="170">
        <f>Sizing!DU108</f>
        <v>1.2501892583384084</v>
      </c>
      <c r="Y92" s="170">
        <f>Sizing!DV108</f>
        <v>1.1181186244484118</v>
      </c>
      <c r="Z92" s="170">
        <f>Sizing!DW108</f>
        <v>1.2501892583384084</v>
      </c>
      <c r="AA92" s="272">
        <f>Sizing!DX108</f>
        <v>1.1181186244484118</v>
      </c>
      <c r="AB92" s="272">
        <f t="shared" si="12"/>
        <v>2.9420391483112738</v>
      </c>
      <c r="AC92" s="216">
        <f>Sizing!GJ108</f>
        <v>0.5</v>
      </c>
      <c r="AD92" s="216">
        <f>Sizing!GK108</f>
        <v>5.5118110236220486E-2</v>
      </c>
      <c r="AE92" s="17">
        <f>Sizing!GL108</f>
        <v>5.5118110236220486E-2</v>
      </c>
      <c r="AF92" s="170">
        <f>Sizing!JC108</f>
        <v>1.9839863322260787E-2</v>
      </c>
      <c r="AG92" s="272">
        <f>Sizing!JD108</f>
        <v>0.14085404971906482</v>
      </c>
      <c r="AH92" s="170">
        <f>Sizing!JC108</f>
        <v>1.9839863322260787E-2</v>
      </c>
      <c r="AI92" s="272">
        <f>Sizing!JD108</f>
        <v>0.14085404971906482</v>
      </c>
      <c r="AJ92" s="216">
        <f>Sizing!IT108</f>
        <v>0.5</v>
      </c>
      <c r="AK92" s="216">
        <f>Sizing!IU108</f>
        <v>1.5748031496062995E-2</v>
      </c>
      <c r="AL92" s="17">
        <f>Sizing!IV108</f>
        <v>1.5748031496062995E-2</v>
      </c>
      <c r="AM92" s="170">
        <f t="shared" si="13"/>
        <v>0</v>
      </c>
      <c r="AN92" s="11">
        <f t="shared" si="14"/>
        <v>2.7052827702874529</v>
      </c>
      <c r="AO92" s="11">
        <f t="shared" si="15"/>
        <v>2.7052827702874529</v>
      </c>
      <c r="AP92" s="11">
        <f t="shared" si="16"/>
        <v>5.4105655405749058</v>
      </c>
      <c r="AQ92" s="555">
        <f t="shared" si="17"/>
        <v>86321136.536129355</v>
      </c>
      <c r="AR92" s="311">
        <f t="shared" si="18"/>
        <v>13.089480564366976</v>
      </c>
      <c r="AS92" s="11">
        <f t="shared" si="19"/>
        <v>0.39322253986665312</v>
      </c>
      <c r="AT92" s="11">
        <f t="shared" si="20"/>
        <v>24.778527326156215</v>
      </c>
      <c r="AU92" s="11">
        <f t="shared" si="21"/>
        <v>25.171749866022868</v>
      </c>
      <c r="AV92" s="555">
        <f t="shared" si="22"/>
        <v>401594628.27750474</v>
      </c>
      <c r="AW92" s="138">
        <f t="shared" si="23"/>
        <v>3.9370078740157494E-2</v>
      </c>
      <c r="AX92" s="138">
        <f t="shared" si="24"/>
        <v>0.11023622047244097</v>
      </c>
      <c r="AY92" s="554">
        <f t="shared" si="25"/>
        <v>3.1496062992125991E-2</v>
      </c>
      <c r="AZ92" s="12">
        <f t="shared" si="26"/>
        <v>1093.2671143815446</v>
      </c>
      <c r="BA92" s="11">
        <f t="shared" si="27"/>
        <v>162.61284405318119</v>
      </c>
      <c r="BB92">
        <f t="shared" si="28"/>
        <v>1157.5079925036027</v>
      </c>
      <c r="BC92" s="555">
        <f t="shared" si="29"/>
        <v>4364948749.6351767</v>
      </c>
      <c r="BD92">
        <f t="shared" si="30"/>
        <v>48</v>
      </c>
      <c r="BE92" s="207">
        <f t="shared" si="31"/>
        <v>4.2309712640000008</v>
      </c>
      <c r="BF92" s="207">
        <f>'Inputs-Imperial'!$E$15*BE92</f>
        <v>3.1732284480000006</v>
      </c>
      <c r="BG92" s="207">
        <f>'Inputs-Imperial'!$E$12*BE92</f>
        <v>1.0577428160000002</v>
      </c>
      <c r="BH92">
        <f>'Inputs-Imperial'!$E$11*BE92</f>
        <v>0.76157482752000016</v>
      </c>
      <c r="BI92">
        <f t="shared" si="32"/>
        <v>0.80777208738055117</v>
      </c>
      <c r="BJ92">
        <f>'Weight '!U94+'Weight '!V94 /12</f>
        <v>2.4934383202099744E-2</v>
      </c>
      <c r="BK92">
        <f>('Weight '!AK94+'Weight '!AL94)/12</f>
        <v>9.186351706036747E-3</v>
      </c>
      <c r="BL92">
        <f>'Weight '!AG94/12</f>
        <v>9.3176552037367646E-2</v>
      </c>
      <c r="BM92">
        <f>'Weight '!AI94/12</f>
        <v>9.3176552037367646E-2</v>
      </c>
      <c r="BN92" s="554">
        <f t="shared" si="33"/>
        <v>2.3162987665653159</v>
      </c>
      <c r="BO92" s="554">
        <f t="shared" si="34"/>
        <v>4.5024226907309846</v>
      </c>
      <c r="BP92">
        <f t="shared" si="35"/>
        <v>9.3176552037367646E-2</v>
      </c>
      <c r="BQ92">
        <f t="shared" si="35"/>
        <v>9.3176552037367646E-2</v>
      </c>
      <c r="BR92">
        <f t="shared" si="36"/>
        <v>0.5752217234452649</v>
      </c>
      <c r="BS92">
        <f t="shared" si="37"/>
        <v>0.60416272699178963</v>
      </c>
      <c r="BT92">
        <f t="shared" si="38"/>
        <v>1.4090054767255</v>
      </c>
      <c r="BU92">
        <f t="shared" si="39"/>
        <v>1.2669595748447919</v>
      </c>
      <c r="BV92">
        <f t="shared" si="40"/>
        <v>162.44981631501676</v>
      </c>
      <c r="BW92" s="207">
        <f t="shared" si="41"/>
        <v>94.984847212870619</v>
      </c>
      <c r="BX92">
        <f t="shared" si="42"/>
        <v>1.515238132190653</v>
      </c>
      <c r="BY92" s="575">
        <f t="shared" si="43"/>
        <v>-52.895815501966823</v>
      </c>
      <c r="BZ92">
        <f t="shared" si="44"/>
        <v>180.08175481567235</v>
      </c>
      <c r="CA92" s="207">
        <f t="shared" si="45"/>
        <v>84.675405056876698</v>
      </c>
      <c r="CB92">
        <f t="shared" si="46"/>
        <v>1.5655953732036285</v>
      </c>
      <c r="CC92">
        <f t="shared" si="47"/>
        <v>160.62207869234356</v>
      </c>
      <c r="CD92">
        <f t="shared" si="48"/>
        <v>126.5410619182245</v>
      </c>
      <c r="CE92" s="207">
        <f t="shared" si="49"/>
        <v>115.98079308313086</v>
      </c>
      <c r="CF92">
        <f t="shared" si="50"/>
        <v>1.4126818647917063</v>
      </c>
      <c r="CG92">
        <f t="shared" si="51"/>
        <v>-25.402423380070875</v>
      </c>
      <c r="CH92">
        <f t="shared" si="52"/>
        <v>135.00853637824812</v>
      </c>
      <c r="CI92" s="207">
        <f t="shared" ref="CI92" si="212" xml:space="preserve"> ($BQ$38-CH92*($BP92+$BR92+$BQ92+$BN92))/($BP92+$BR92+$BQ92+$BO92)</f>
        <v>111.02983785210374</v>
      </c>
      <c r="CJ92">
        <f t="shared" si="54"/>
        <v>1.4368651757837887</v>
      </c>
      <c r="CK92">
        <f t="shared" si="55"/>
        <v>1.8373605243521727</v>
      </c>
      <c r="CL92">
        <f t="shared" si="56"/>
        <v>134.39608287013073</v>
      </c>
      <c r="CM92" s="207">
        <f t="shared" ref="CM92" si="213" xml:space="preserve"> ($BQ$38-CL92*($BP92+$BR92+$BQ92+$BN92))/($BP92+$BR92+$BQ92+$BO92)</f>
        <v>111.3879410756907</v>
      </c>
      <c r="CN92">
        <f t="shared" si="58"/>
        <v>1.4351159938140148</v>
      </c>
      <c r="CO92">
        <f t="shared" si="59"/>
        <v>-0.16037624321053912</v>
      </c>
      <c r="CP92">
        <f t="shared" si="60"/>
        <v>134.44954161786757</v>
      </c>
      <c r="CQ92" s="207">
        <f t="shared" ref="CQ92" si="214" xml:space="preserve"> ($BQ$38-CP92*($BP92+$BR92+$BQ92+$BN92))/($BP92+$BR92+$BQ92+$BO92)</f>
        <v>111.35668360122162</v>
      </c>
      <c r="CR92">
        <f t="shared" si="62"/>
        <v>1.4352686732850743</v>
      </c>
      <c r="CS92">
        <f t="shared" si="63"/>
        <v>1.3827940974401542E-2</v>
      </c>
      <c r="CT92">
        <f t="shared" si="64"/>
        <v>134.44493230420943</v>
      </c>
      <c r="CU92" s="636">
        <f t="shared" si="65"/>
        <v>111.35937867939101</v>
      </c>
      <c r="CV92" s="575">
        <f t="shared" si="66"/>
        <v>1.435255508974254</v>
      </c>
      <c r="CW92">
        <f t="shared" si="67"/>
        <v>-1.1935571864221117E-3</v>
      </c>
      <c r="CX92" s="576">
        <f t="shared" si="68"/>
        <v>0.33922601204749137</v>
      </c>
    </row>
    <row r="93" spans="1:102" x14ac:dyDescent="0.25">
      <c r="A93" s="186">
        <v>49</v>
      </c>
      <c r="B93" s="187">
        <f>A93/100*'Inputs-Imperial'!$E$5</f>
        <v>11.799869143999999</v>
      </c>
      <c r="C93" s="188">
        <f>'Inputs-Imperial'!$E$10+('Inputs-Imperial'!$E$9-'Inputs-Imperial'!$E$10)*(100-A93)/100</f>
        <v>4.213172707</v>
      </c>
      <c r="D93" s="187">
        <f t="shared" si="69"/>
        <v>0.24081365600000026</v>
      </c>
      <c r="E93" s="188">
        <f t="shared" si="70"/>
        <v>1.0167325907234352</v>
      </c>
      <c r="F93" s="423">
        <f>Sizing!F109</f>
        <v>416.87525513559467</v>
      </c>
      <c r="G93" s="423">
        <f>Sizing!G109</f>
        <v>4168.7525513559467</v>
      </c>
      <c r="H93" s="423">
        <f>Sizing!H109</f>
        <v>23393.115015816347</v>
      </c>
      <c r="I93" s="423">
        <f>Sizing!I109</f>
        <v>-8330.2030567408365</v>
      </c>
      <c r="J93" s="189">
        <f>Sizing!J109</f>
        <v>2339.3115015816352</v>
      </c>
      <c r="K93" s="128">
        <v>49</v>
      </c>
      <c r="L93" s="12">
        <f t="shared" si="11"/>
        <v>141.59842972799999</v>
      </c>
      <c r="M93" s="11">
        <f t="shared" si="11"/>
        <v>50.558072484</v>
      </c>
      <c r="N93" s="11">
        <f t="shared" si="11"/>
        <v>2.8897638720000032</v>
      </c>
      <c r="O93" s="152">
        <f t="shared" si="71"/>
        <v>146.40949306417468</v>
      </c>
      <c r="P93" s="170">
        <f t="shared" si="162"/>
        <v>9.1004530471200002</v>
      </c>
      <c r="Q93" s="8">
        <f t="shared" si="163"/>
        <v>4.5502265235600001</v>
      </c>
      <c r="R93" s="170">
        <f>Sizing!X109</f>
        <v>12.639518121</v>
      </c>
      <c r="S93" s="8">
        <f>Sizing!Y109</f>
        <v>37.918554362999998</v>
      </c>
      <c r="T93" s="8">
        <f>Sizing!Z109</f>
        <v>25.279036241999997</v>
      </c>
      <c r="U93" s="17">
        <f>Sizing!CN109</f>
        <v>2.5</v>
      </c>
      <c r="V93" s="17">
        <f>Sizing!CO109</f>
        <v>2.3622047244094495E-2</v>
      </c>
      <c r="W93" s="17">
        <f>Sizing!CP109</f>
        <v>1.5748031496062995E-2</v>
      </c>
      <c r="X93" s="170">
        <f>Sizing!DU109</f>
        <v>1.2501892583384084</v>
      </c>
      <c r="Y93" s="170">
        <f>Sizing!DV109</f>
        <v>1.1181186244484118</v>
      </c>
      <c r="Z93" s="170">
        <f>Sizing!DW109</f>
        <v>1.2501892583384084</v>
      </c>
      <c r="AA93" s="272">
        <f>Sizing!DX109</f>
        <v>1.1181186244484118</v>
      </c>
      <c r="AB93" s="272">
        <f t="shared" si="12"/>
        <v>2.9035942651912734</v>
      </c>
      <c r="AC93" s="216">
        <f>Sizing!GJ109</f>
        <v>0.5</v>
      </c>
      <c r="AD93" s="216">
        <f>Sizing!GK109</f>
        <v>5.5118110236220486E-2</v>
      </c>
      <c r="AE93" s="17">
        <f>Sizing!GL109</f>
        <v>5.5118110236220486E-2</v>
      </c>
      <c r="AF93" s="170">
        <f>Sizing!JC109</f>
        <v>1.9839863322260787E-2</v>
      </c>
      <c r="AG93" s="272">
        <f>Sizing!JD109</f>
        <v>0.14085404971906482</v>
      </c>
      <c r="AH93" s="170">
        <f>Sizing!JC109</f>
        <v>1.9839863322260787E-2</v>
      </c>
      <c r="AI93" s="272">
        <f>Sizing!JD109</f>
        <v>0.14085404971906482</v>
      </c>
      <c r="AJ93" s="216">
        <f>Sizing!IT109</f>
        <v>0.5</v>
      </c>
      <c r="AK93" s="216">
        <f>Sizing!IU109</f>
        <v>1.5748031496062995E-2</v>
      </c>
      <c r="AL93" s="17">
        <f>Sizing!IV109</f>
        <v>1.5748031496062995E-2</v>
      </c>
      <c r="AM93" s="170">
        <f t="shared" si="13"/>
        <v>0</v>
      </c>
      <c r="AN93" s="11">
        <f t="shared" si="14"/>
        <v>2.6350425453886435</v>
      </c>
      <c r="AO93" s="11">
        <f t="shared" si="15"/>
        <v>2.6350425453886435</v>
      </c>
      <c r="AP93" s="11">
        <f t="shared" si="16"/>
        <v>5.2700850907772869</v>
      </c>
      <c r="AQ93" s="555">
        <f t="shared" si="17"/>
        <v>84079886.153577179</v>
      </c>
      <c r="AR93" s="311">
        <f t="shared" si="18"/>
        <v>13.034416643723606</v>
      </c>
      <c r="AS93" s="11">
        <f t="shared" si="19"/>
        <v>0.38992113584704963</v>
      </c>
      <c r="AT93" s="11">
        <f t="shared" si="20"/>
        <v>24.57049263480225</v>
      </c>
      <c r="AU93" s="11">
        <f t="shared" si="21"/>
        <v>24.9604137706493</v>
      </c>
      <c r="AV93" s="555">
        <f t="shared" si="22"/>
        <v>398222934.17141765</v>
      </c>
      <c r="AW93" s="138">
        <f t="shared" si="23"/>
        <v>3.9370078740157494E-2</v>
      </c>
      <c r="AX93" s="138">
        <f t="shared" si="24"/>
        <v>0.11023622047244097</v>
      </c>
      <c r="AY93" s="554">
        <f t="shared" si="25"/>
        <v>3.1496062992125991E-2</v>
      </c>
      <c r="AZ93" s="12">
        <f t="shared" si="26"/>
        <v>1084.0883006564973</v>
      </c>
      <c r="BA93" s="11">
        <f t="shared" si="27"/>
        <v>161.92877559863052</v>
      </c>
      <c r="BB93">
        <f t="shared" si="28"/>
        <v>1142.9613846815505</v>
      </c>
      <c r="BC93" s="555">
        <f t="shared" si="29"/>
        <v>4310093666.0975113</v>
      </c>
      <c r="BD93">
        <f t="shared" si="30"/>
        <v>49</v>
      </c>
      <c r="BE93" s="207">
        <f t="shared" si="31"/>
        <v>4.213172707</v>
      </c>
      <c r="BF93" s="207">
        <f>'Inputs-Imperial'!$E$15*BE93</f>
        <v>3.15987953025</v>
      </c>
      <c r="BG93" s="207">
        <f>'Inputs-Imperial'!$E$12*BE93</f>
        <v>1.05329317675</v>
      </c>
      <c r="BH93">
        <f>'Inputs-Imperial'!$E$11*BE93</f>
        <v>0.75837108726000002</v>
      </c>
      <c r="BI93">
        <f t="shared" si="32"/>
        <v>0.8043740076860415</v>
      </c>
      <c r="BJ93">
        <f>'Weight '!U95+'Weight '!V95 /12</f>
        <v>2.4934383202099744E-2</v>
      </c>
      <c r="BK93">
        <f>('Weight '!AK95+'Weight '!AL95)/12</f>
        <v>9.186351706036747E-3</v>
      </c>
      <c r="BL93">
        <f>'Weight '!AG95/12</f>
        <v>9.3176552037367646E-2</v>
      </c>
      <c r="BM93">
        <f>'Weight '!AI95/12</f>
        <v>9.3176552037367646E-2</v>
      </c>
      <c r="BN93" s="554">
        <f t="shared" si="33"/>
        <v>2.3039061966260115</v>
      </c>
      <c r="BO93" s="554">
        <f t="shared" si="34"/>
        <v>4.4861307353090645</v>
      </c>
      <c r="BP93">
        <f t="shared" si="35"/>
        <v>9.3176552037367646E-2</v>
      </c>
      <c r="BQ93">
        <f t="shared" si="35"/>
        <v>9.3176552037367646E-2</v>
      </c>
      <c r="BR93">
        <f t="shared" si="36"/>
        <v>0.57201798318526476</v>
      </c>
      <c r="BS93">
        <f t="shared" si="37"/>
        <v>0.5990903187415777</v>
      </c>
      <c r="BT93">
        <f t="shared" si="38"/>
        <v>1.3971757979230319</v>
      </c>
      <c r="BU93">
        <f t="shared" si="39"/>
        <v>1.2457746917975128</v>
      </c>
      <c r="BV93">
        <f t="shared" si="40"/>
        <v>163.2771802315377</v>
      </c>
      <c r="BW93" s="207">
        <f t="shared" si="41"/>
        <v>95.33793998284294</v>
      </c>
      <c r="BX93">
        <f t="shared" si="42"/>
        <v>1.5091675962855424</v>
      </c>
      <c r="BY93" s="575">
        <f t="shared" si="43"/>
        <v>-52.712176210976708</v>
      </c>
      <c r="BZ93">
        <f t="shared" si="44"/>
        <v>180.84790563519661</v>
      </c>
      <c r="CA93" s="207">
        <f t="shared" si="45"/>
        <v>85.078350972219638</v>
      </c>
      <c r="CB93">
        <f t="shared" si="46"/>
        <v>1.5588893981753</v>
      </c>
      <c r="CC93">
        <f t="shared" si="47"/>
        <v>160.50853456008844</v>
      </c>
      <c r="CD93">
        <f t="shared" si="48"/>
        <v>127.34506078183381</v>
      </c>
      <c r="CE93" s="207">
        <f t="shared" si="49"/>
        <v>116.3187913344792</v>
      </c>
      <c r="CF93">
        <f t="shared" si="50"/>
        <v>1.4074865510405214</v>
      </c>
      <c r="CG93">
        <f t="shared" si="51"/>
        <v>-24.565639436045057</v>
      </c>
      <c r="CH93">
        <f t="shared" si="52"/>
        <v>135.53360726051548</v>
      </c>
      <c r="CI93" s="207">
        <f t="shared" ref="CI93" si="215" xml:space="preserve"> ($BQ$38-CH93*($BP93+$BR93+$BQ93+$BN93))/($BP93+$BR93+$BQ93+$BO93)</f>
        <v>111.53747926365449</v>
      </c>
      <c r="CJ93">
        <f t="shared" si="54"/>
        <v>1.4306585758957557</v>
      </c>
      <c r="CK93">
        <f t="shared" si="55"/>
        <v>1.6596936677640386</v>
      </c>
      <c r="CL93">
        <f t="shared" si="56"/>
        <v>134.98037603792747</v>
      </c>
      <c r="CM93" s="207">
        <f t="shared" ref="CM93" si="216" xml:space="preserve"> ($BQ$38-CL93*($BP93+$BR93+$BQ93+$BN93))/($BP93+$BR93+$BQ93+$BO93)</f>
        <v>111.86051231102176</v>
      </c>
      <c r="CN93">
        <f t="shared" si="58"/>
        <v>1.429093037045378</v>
      </c>
      <c r="CO93">
        <f t="shared" si="59"/>
        <v>-0.13603830899070957</v>
      </c>
      <c r="CP93">
        <f t="shared" si="60"/>
        <v>135.02572214092439</v>
      </c>
      <c r="CQ93" s="207">
        <f t="shared" ref="CQ93" si="217" xml:space="preserve"> ($BQ$38-CP93*($BP93+$BR93+$BQ93+$BN93))/($BP93+$BR93+$BQ93+$BO93)</f>
        <v>111.83403461193457</v>
      </c>
      <c r="CR93">
        <f t="shared" si="62"/>
        <v>1.429221357868673</v>
      </c>
      <c r="CS93">
        <f t="shared" si="63"/>
        <v>1.1020159907422666E-2</v>
      </c>
      <c r="CT93">
        <f t="shared" si="64"/>
        <v>135.02204875428859</v>
      </c>
      <c r="CU93" s="636">
        <f t="shared" si="65"/>
        <v>111.8361795112654</v>
      </c>
      <c r="CV93" s="575">
        <f t="shared" si="66"/>
        <v>1.4292109628850638</v>
      </c>
      <c r="CW93">
        <f t="shared" si="67"/>
        <v>-8.9358494235902697E-4</v>
      </c>
      <c r="CX93" s="576">
        <f t="shared" si="68"/>
        <v>0.33922439507654006</v>
      </c>
    </row>
    <row r="94" spans="1:102" x14ac:dyDescent="0.25">
      <c r="A94" s="186">
        <v>50</v>
      </c>
      <c r="B94" s="187">
        <f>A94/100*'Inputs-Imperial'!$E$5</f>
        <v>12.040682799999999</v>
      </c>
      <c r="C94" s="188">
        <f>'Inputs-Imperial'!$E$10+('Inputs-Imperial'!$E$9-'Inputs-Imperial'!$E$10)*(100-A94)/100</f>
        <v>4.1953741500000001</v>
      </c>
      <c r="D94" s="187">
        <f t="shared" si="69"/>
        <v>0.24081365600000026</v>
      </c>
      <c r="E94" s="188">
        <f t="shared" si="70"/>
        <v>1.0124464551407408</v>
      </c>
      <c r="F94" s="423">
        <f>Sizing!F110</f>
        <v>406.63937972125314</v>
      </c>
      <c r="G94" s="423">
        <f>Sizing!G110</f>
        <v>4066.3937972125314</v>
      </c>
      <c r="H94" s="423">
        <f>Sizing!H110</f>
        <v>22389.222472964993</v>
      </c>
      <c r="I94" s="423">
        <f>Sizing!I110</f>
        <v>-8081.8914730968272</v>
      </c>
      <c r="J94" s="189">
        <f>Sizing!J110</f>
        <v>2238.9222472964998</v>
      </c>
      <c r="K94" s="128">
        <v>50</v>
      </c>
      <c r="L94" s="12">
        <f t="shared" si="11"/>
        <v>144.48819359999999</v>
      </c>
      <c r="M94" s="11">
        <f t="shared" si="11"/>
        <v>50.344489800000005</v>
      </c>
      <c r="N94" s="11">
        <f t="shared" si="11"/>
        <v>2.8897638720000032</v>
      </c>
      <c r="O94" s="152">
        <f t="shared" si="71"/>
        <v>145.79228954026667</v>
      </c>
      <c r="P94" s="170">
        <f t="shared" si="162"/>
        <v>9.0620081639999999</v>
      </c>
      <c r="Q94" s="8">
        <f t="shared" si="163"/>
        <v>4.5310040819999999</v>
      </c>
      <c r="R94" s="170">
        <f>Sizing!X110</f>
        <v>12.586122450000001</v>
      </c>
      <c r="S94" s="8">
        <f>Sizing!Y110</f>
        <v>37.75836735</v>
      </c>
      <c r="T94" s="8">
        <f>Sizing!Z110</f>
        <v>25.172244899999999</v>
      </c>
      <c r="U94" s="17">
        <f>Sizing!CN110</f>
        <v>1.5</v>
      </c>
      <c r="V94" s="17">
        <f>Sizing!CO110</f>
        <v>2.3622047244094495E-2</v>
      </c>
      <c r="W94" s="17">
        <f>Sizing!CP110</f>
        <v>1.5748031496062995E-2</v>
      </c>
      <c r="X94" s="170">
        <f>Sizing!DU110</f>
        <v>0.85358264160295871</v>
      </c>
      <c r="Y94" s="170">
        <f>Sizing!DV110</f>
        <v>0.92389536290802909</v>
      </c>
      <c r="Z94" s="170">
        <f>Sizing!DW110</f>
        <v>0.85358264160295871</v>
      </c>
      <c r="AA94" s="272">
        <f>Sizing!DX110</f>
        <v>0.92389536290802909</v>
      </c>
      <c r="AB94" s="272">
        <f t="shared" si="12"/>
        <v>5.0593726436116562</v>
      </c>
      <c r="AC94" s="216">
        <f>Sizing!GJ110</f>
        <v>0.5</v>
      </c>
      <c r="AD94" s="216">
        <f>Sizing!GK110</f>
        <v>3.1496062992125991E-2</v>
      </c>
      <c r="AE94" s="17">
        <f>Sizing!GL110</f>
        <v>3.1496062992125991E-2</v>
      </c>
      <c r="AF94" s="170">
        <f>Sizing!JC110</f>
        <v>1.3798052057434758E-2</v>
      </c>
      <c r="AG94" s="272">
        <f>Sizing!JD110</f>
        <v>0.11746510995795627</v>
      </c>
      <c r="AH94" s="170">
        <f>Sizing!JC110</f>
        <v>1.3798052057434758E-2</v>
      </c>
      <c r="AI94" s="272">
        <f>Sizing!JD110</f>
        <v>0.11746510995795627</v>
      </c>
      <c r="AJ94" s="216">
        <f>Sizing!IT110</f>
        <v>0.25</v>
      </c>
      <c r="AK94" s="216">
        <f>Sizing!IU110</f>
        <v>1.5748031496062995E-2</v>
      </c>
      <c r="AL94" s="17">
        <f>Sizing!IV110</f>
        <v>1.5748031496062995E-2</v>
      </c>
      <c r="AM94" s="170">
        <f t="shared" si="13"/>
        <v>0</v>
      </c>
      <c r="AN94" s="11">
        <f t="shared" si="14"/>
        <v>5.4623423983001294</v>
      </c>
      <c r="AO94" s="11">
        <f t="shared" si="15"/>
        <v>5.4623423983001294</v>
      </c>
      <c r="AP94" s="11">
        <f t="shared" si="16"/>
        <v>10.924684796600259</v>
      </c>
      <c r="AQ94" s="555">
        <f t="shared" si="17"/>
        <v>174294387.68822393</v>
      </c>
      <c r="AR94" s="311">
        <f t="shared" si="18"/>
        <v>12.986555556329533</v>
      </c>
      <c r="AS94" s="11">
        <f t="shared" si="19"/>
        <v>0.27373827281664626</v>
      </c>
      <c r="AT94" s="11">
        <f t="shared" si="20"/>
        <v>16.934146722019726</v>
      </c>
      <c r="AU94" s="11">
        <f t="shared" si="21"/>
        <v>17.207884994836373</v>
      </c>
      <c r="AV94" s="555">
        <f t="shared" si="22"/>
        <v>274537694.62691855</v>
      </c>
      <c r="AW94" s="138">
        <f t="shared" si="23"/>
        <v>3.9370078740157494E-2</v>
      </c>
      <c r="AX94" s="138">
        <f t="shared" si="24"/>
        <v>6.2992125984251982E-2</v>
      </c>
      <c r="AY94" s="554">
        <f t="shared" si="25"/>
        <v>3.1496062992125991E-2</v>
      </c>
      <c r="AZ94" s="12">
        <f t="shared" si="26"/>
        <v>1074.9481811175842</v>
      </c>
      <c r="BA94" s="11">
        <f t="shared" si="27"/>
        <v>161.24470714407985</v>
      </c>
      <c r="BB94">
        <f t="shared" si="28"/>
        <v>1128.5371634599337</v>
      </c>
      <c r="BC94" s="555">
        <f t="shared" si="29"/>
        <v>4255700100.9614491</v>
      </c>
      <c r="BD94">
        <f t="shared" si="30"/>
        <v>50</v>
      </c>
      <c r="BE94" s="207">
        <f t="shared" si="31"/>
        <v>4.1953741500000001</v>
      </c>
      <c r="BF94" s="207">
        <f>'Inputs-Imperial'!$E$15*BE94</f>
        <v>3.1465306125000003</v>
      </c>
      <c r="BG94" s="207">
        <f>'Inputs-Imperial'!$E$12*BE94</f>
        <v>1.0488435375</v>
      </c>
      <c r="BH94">
        <f>'Inputs-Imperial'!$E$11*BE94</f>
        <v>0.75516734699999999</v>
      </c>
      <c r="BI94">
        <f t="shared" si="32"/>
        <v>0.80097592799153194</v>
      </c>
      <c r="BJ94">
        <f>'Weight '!U96+'Weight '!V96 /12</f>
        <v>2.4934383202099744E-2</v>
      </c>
      <c r="BK94">
        <f>('Weight '!AK96+'Weight '!AL96)/12</f>
        <v>5.2493438320209982E-3</v>
      </c>
      <c r="BL94">
        <f>'Weight '!AG96/12</f>
        <v>7.6991280242335758E-2</v>
      </c>
      <c r="BM94">
        <f>'Weight '!AI96/12</f>
        <v>7.6991280242335758E-2</v>
      </c>
      <c r="BN94" s="554">
        <f t="shared" si="33"/>
        <v>2.2915116049898185</v>
      </c>
      <c r="BO94" s="554">
        <f t="shared" si="34"/>
        <v>4.4698408015840378</v>
      </c>
      <c r="BP94">
        <f t="shared" si="35"/>
        <v>7.6991280242335758E-2</v>
      </c>
      <c r="BQ94">
        <f t="shared" si="35"/>
        <v>7.6991280242335758E-2</v>
      </c>
      <c r="BR94">
        <f t="shared" si="36"/>
        <v>0.60118478651532836</v>
      </c>
      <c r="BS94">
        <f t="shared" si="37"/>
        <v>0.59403929372397757</v>
      </c>
      <c r="BT94">
        <f t="shared" si="38"/>
        <v>1.385395988287452</v>
      </c>
      <c r="BU94">
        <f t="shared" si="39"/>
        <v>1.2248566009358253</v>
      </c>
      <c r="BV94">
        <f t="shared" si="40"/>
        <v>164.11312379121688</v>
      </c>
      <c r="BW94" s="207">
        <f t="shared" si="41"/>
        <v>95.693630666489682</v>
      </c>
      <c r="BX94">
        <f t="shared" si="42"/>
        <v>1.5030974504855088</v>
      </c>
      <c r="BY94" s="575">
        <f t="shared" si="43"/>
        <v>-52.526750635862342</v>
      </c>
      <c r="BZ94">
        <f t="shared" si="44"/>
        <v>181.62204066983765</v>
      </c>
      <c r="CA94" s="207">
        <f t="shared" si="45"/>
        <v>85.484259310640368</v>
      </c>
      <c r="CB94">
        <f t="shared" si="46"/>
        <v>1.552187463957065</v>
      </c>
      <c r="CC94">
        <f t="shared" si="47"/>
        <v>160.39941635331692</v>
      </c>
      <c r="CD94">
        <f t="shared" si="48"/>
        <v>128.15556855206535</v>
      </c>
      <c r="CE94" s="207">
        <f t="shared" si="49"/>
        <v>116.66032078386725</v>
      </c>
      <c r="CF94">
        <f t="shared" si="50"/>
        <v>1.4022827122963335</v>
      </c>
      <c r="CG94">
        <f t="shared" si="51"/>
        <v>-23.730215858551709</v>
      </c>
      <c r="CH94">
        <f t="shared" si="52"/>
        <v>136.0656405049159</v>
      </c>
      <c r="CI94" s="207">
        <f t="shared" ref="CI94" si="218" xml:space="preserve"> ($BQ$38-CH94*($BP94+$BR94+$BQ94+$BN94))/($BP94+$BR94+$BQ94+$BO94)</f>
        <v>112.04799310089402</v>
      </c>
      <c r="CJ94">
        <f t="shared" si="54"/>
        <v>1.4244602999460045</v>
      </c>
      <c r="CK94">
        <f t="shared" si="55"/>
        <v>1.4900934565875836</v>
      </c>
      <c r="CL94">
        <f t="shared" si="56"/>
        <v>135.56894268605339</v>
      </c>
      <c r="CM94" s="207">
        <f t="shared" ref="CM94" si="219" xml:space="preserve"> ($BQ$38-CL94*($BP94+$BR94+$BQ94+$BN94))/($BP94+$BR94+$BQ94+$BO94)</f>
        <v>112.33761538418899</v>
      </c>
      <c r="CN94">
        <f t="shared" si="58"/>
        <v>1.423067700804191</v>
      </c>
      <c r="CO94">
        <f t="shared" si="59"/>
        <v>-0.11421528168441064</v>
      </c>
      <c r="CP94">
        <f t="shared" si="60"/>
        <v>135.60701444661487</v>
      </c>
      <c r="CQ94" s="207">
        <f t="shared" ref="CQ94" si="220" xml:space="preserve"> ($BQ$38-CP94*($BP94+$BR94+$BQ94+$BN94))/($BP94+$BR94+$BQ94+$BO94)</f>
        <v>112.31541591037585</v>
      </c>
      <c r="CR94">
        <f t="shared" si="62"/>
        <v>1.423174443171626</v>
      </c>
      <c r="CS94">
        <f t="shared" si="63"/>
        <v>8.6566624166284356E-3</v>
      </c>
      <c r="CT94">
        <f t="shared" si="64"/>
        <v>135.60412889247598</v>
      </c>
      <c r="CU94" s="636">
        <f t="shared" si="65"/>
        <v>112.31709846412694</v>
      </c>
      <c r="CV94" s="575">
        <f t="shared" si="66"/>
        <v>1.4231663529001071</v>
      </c>
      <c r="CW94">
        <f t="shared" si="67"/>
        <v>-6.5667946969760749E-4</v>
      </c>
      <c r="CX94" s="576">
        <f t="shared" si="68"/>
        <v>0.33922274915578315</v>
      </c>
    </row>
    <row r="95" spans="1:102" x14ac:dyDescent="0.25">
      <c r="A95" s="186">
        <v>51</v>
      </c>
      <c r="B95" s="187">
        <f>A95/100*'Inputs-Imperial'!$E$5</f>
        <v>12.281496455999999</v>
      </c>
      <c r="C95" s="188">
        <f>'Inputs-Imperial'!$E$10+('Inputs-Imperial'!$E$9-'Inputs-Imperial'!$E$10)*(100-A95)/100</f>
        <v>4.1775755930000003</v>
      </c>
      <c r="D95" s="187">
        <f t="shared" si="69"/>
        <v>0.24081365600000026</v>
      </c>
      <c r="E95" s="188">
        <f t="shared" si="70"/>
        <v>1.0081603195580462</v>
      </c>
      <c r="F95" s="423">
        <f>Sizing!F111</f>
        <v>396.45979141487788</v>
      </c>
      <c r="G95" s="423">
        <f>Sizing!G111</f>
        <v>3964.5979141487787</v>
      </c>
      <c r="H95" s="423">
        <f>Sizing!H111</f>
        <v>21409.979315922519</v>
      </c>
      <c r="I95" s="423">
        <f>Sizing!I111</f>
        <v>-7836.3185374736613</v>
      </c>
      <c r="J95" s="189">
        <f>Sizing!J111</f>
        <v>2140.9979315922524</v>
      </c>
      <c r="K95" s="128">
        <v>51</v>
      </c>
      <c r="L95" s="12">
        <f t="shared" si="11"/>
        <v>147.37795747199999</v>
      </c>
      <c r="M95" s="11">
        <f t="shared" si="11"/>
        <v>50.130907116000003</v>
      </c>
      <c r="N95" s="11">
        <f t="shared" si="11"/>
        <v>2.8897638720000032</v>
      </c>
      <c r="O95" s="152">
        <f t="shared" si="71"/>
        <v>145.17508601635865</v>
      </c>
      <c r="P95" s="170">
        <f t="shared" si="162"/>
        <v>9.0235632808799995</v>
      </c>
      <c r="Q95" s="8">
        <f t="shared" si="163"/>
        <v>4.5117816404399997</v>
      </c>
      <c r="R95" s="170">
        <f>Sizing!X111</f>
        <v>12.532726779000001</v>
      </c>
      <c r="S95" s="8">
        <f>Sizing!Y111</f>
        <v>37.598180337000002</v>
      </c>
      <c r="T95" s="8">
        <f>Sizing!Z111</f>
        <v>25.065453558000002</v>
      </c>
      <c r="U95" s="17">
        <f>Sizing!CN111</f>
        <v>1.5</v>
      </c>
      <c r="V95" s="17">
        <f>Sizing!CO111</f>
        <v>2.3622047244094495E-2</v>
      </c>
      <c r="W95" s="17">
        <f>Sizing!CP111</f>
        <v>1.5748031496062995E-2</v>
      </c>
      <c r="X95" s="170">
        <f>Sizing!DU111</f>
        <v>0.85358264160295871</v>
      </c>
      <c r="Y95" s="170">
        <f>Sizing!DV111</f>
        <v>0.92389536290802909</v>
      </c>
      <c r="Z95" s="170">
        <f>Sizing!DW111</f>
        <v>0.85358264160295871</v>
      </c>
      <c r="AA95" s="272">
        <f>Sizing!DX111</f>
        <v>0.92389536290802909</v>
      </c>
      <c r="AB95" s="272">
        <f t="shared" si="12"/>
        <v>5.0209277604916558</v>
      </c>
      <c r="AC95" s="216">
        <f>Sizing!GJ111</f>
        <v>0.5</v>
      </c>
      <c r="AD95" s="216">
        <f>Sizing!GK111</f>
        <v>3.1496062992125991E-2</v>
      </c>
      <c r="AE95" s="17">
        <f>Sizing!GL111</f>
        <v>3.1496062992125991E-2</v>
      </c>
      <c r="AF95" s="170">
        <f>Sizing!JC111</f>
        <v>1.3798052057434758E-2</v>
      </c>
      <c r="AG95" s="272">
        <f>Sizing!JD111</f>
        <v>0.11746510995795627</v>
      </c>
      <c r="AH95" s="170">
        <f>Sizing!JC111</f>
        <v>1.3798052057434758E-2</v>
      </c>
      <c r="AI95" s="272">
        <f>Sizing!JD111</f>
        <v>0.11746510995795627</v>
      </c>
      <c r="AJ95" s="216">
        <f>Sizing!IT111</f>
        <v>0.25</v>
      </c>
      <c r="AK95" s="216">
        <f>Sizing!IU111</f>
        <v>1.5748031496062995E-2</v>
      </c>
      <c r="AL95" s="17">
        <f>Sizing!IV111</f>
        <v>1.5748031496062995E-2</v>
      </c>
      <c r="AM95" s="170">
        <f t="shared" si="13"/>
        <v>0</v>
      </c>
      <c r="AN95" s="11">
        <f t="shared" si="14"/>
        <v>5.3796439038714992</v>
      </c>
      <c r="AO95" s="11">
        <f t="shared" si="15"/>
        <v>5.3796439038714992</v>
      </c>
      <c r="AP95" s="11">
        <f t="shared" si="16"/>
        <v>10.759287807742998</v>
      </c>
      <c r="AQ95" s="555">
        <f t="shared" si="17"/>
        <v>171655614.35653719</v>
      </c>
      <c r="AR95" s="311">
        <f t="shared" si="18"/>
        <v>12.931461078211772</v>
      </c>
      <c r="AS95" s="11">
        <f t="shared" si="19"/>
        <v>0.27142057183347207</v>
      </c>
      <c r="AT95" s="11">
        <f t="shared" si="20"/>
        <v>16.79076783640383</v>
      </c>
      <c r="AU95" s="11">
        <f t="shared" si="21"/>
        <v>17.062188408237301</v>
      </c>
      <c r="AV95" s="555">
        <f t="shared" si="22"/>
        <v>272213225.05893135</v>
      </c>
      <c r="AW95" s="138">
        <f t="shared" si="23"/>
        <v>3.9370078740157494E-2</v>
      </c>
      <c r="AX95" s="138">
        <f t="shared" si="24"/>
        <v>6.2992125984251982E-2</v>
      </c>
      <c r="AY95" s="554">
        <f t="shared" si="25"/>
        <v>3.1496062992125991E-2</v>
      </c>
      <c r="AZ95" s="12">
        <f t="shared" si="26"/>
        <v>1065.846755764805</v>
      </c>
      <c r="BA95" s="11">
        <f t="shared" si="27"/>
        <v>160.56063868952927</v>
      </c>
      <c r="BB95">
        <f t="shared" si="28"/>
        <v>1114.2348118162984</v>
      </c>
      <c r="BC95" s="555">
        <f t="shared" si="29"/>
        <v>4201766104.5415196</v>
      </c>
      <c r="BD95">
        <f t="shared" si="30"/>
        <v>51</v>
      </c>
      <c r="BE95" s="207">
        <f t="shared" si="31"/>
        <v>4.1775755930000003</v>
      </c>
      <c r="BF95" s="207">
        <f>'Inputs-Imperial'!$E$15*BE95</f>
        <v>3.1331816947500002</v>
      </c>
      <c r="BG95" s="207">
        <f>'Inputs-Imperial'!$E$12*BE95</f>
        <v>1.0443938982500001</v>
      </c>
      <c r="BH95">
        <f>'Inputs-Imperial'!$E$11*BE95</f>
        <v>0.75196360674000007</v>
      </c>
      <c r="BI95">
        <f t="shared" si="32"/>
        <v>0.7975778482970225</v>
      </c>
      <c r="BJ95">
        <f>'Weight '!U97+'Weight '!V97 /12</f>
        <v>2.4934383202099744E-2</v>
      </c>
      <c r="BK95">
        <f>('Weight '!AK97+'Weight '!AL97)/12</f>
        <v>5.2493438320209982E-3</v>
      </c>
      <c r="BL95">
        <f>'Weight '!AG97/12</f>
        <v>7.6991280242335758E-2</v>
      </c>
      <c r="BM95">
        <f>'Weight '!AI97/12</f>
        <v>7.6991280242335758E-2</v>
      </c>
      <c r="BN95" s="554">
        <f t="shared" si="33"/>
        <v>2.2791150302860403</v>
      </c>
      <c r="BO95" s="554">
        <f t="shared" si="34"/>
        <v>4.4535528509265925</v>
      </c>
      <c r="BP95">
        <f t="shared" si="35"/>
        <v>7.6991280242335758E-2</v>
      </c>
      <c r="BQ95">
        <f t="shared" si="35"/>
        <v>7.6991280242335758E-2</v>
      </c>
      <c r="BR95">
        <f t="shared" si="36"/>
        <v>0.59798104625532855</v>
      </c>
      <c r="BS95">
        <f t="shared" si="37"/>
        <v>0.58900965193898902</v>
      </c>
      <c r="BT95">
        <f t="shared" si="38"/>
        <v>1.3736660478187601</v>
      </c>
      <c r="BU95">
        <f t="shared" si="39"/>
        <v>1.2042030528993997</v>
      </c>
      <c r="BV95">
        <f t="shared" si="40"/>
        <v>164.95777902040103</v>
      </c>
      <c r="BW95" s="207">
        <f t="shared" si="41"/>
        <v>96.051948748257018</v>
      </c>
      <c r="BX95">
        <f t="shared" si="42"/>
        <v>1.4970276937412537</v>
      </c>
      <c r="BY95" s="575">
        <f t="shared" si="43"/>
        <v>-52.339516727649809</v>
      </c>
      <c r="BZ95">
        <f t="shared" si="44"/>
        <v>182.4042845962843</v>
      </c>
      <c r="CA95" s="207">
        <f t="shared" si="45"/>
        <v>85.893162243234599</v>
      </c>
      <c r="CB95">
        <f t="shared" si="46"/>
        <v>1.5454895743128363</v>
      </c>
      <c r="CC95">
        <f t="shared" si="47"/>
        <v>160.2947869306908</v>
      </c>
      <c r="CD95">
        <f t="shared" si="48"/>
        <v>128.97268895272069</v>
      </c>
      <c r="CE95" s="207">
        <f t="shared" si="49"/>
        <v>117.00541967523144</v>
      </c>
      <c r="CF95">
        <f t="shared" si="50"/>
        <v>1.397070419797054</v>
      </c>
      <c r="CG95">
        <f t="shared" si="51"/>
        <v>-22.896105734077857</v>
      </c>
      <c r="CH95">
        <f t="shared" si="52"/>
        <v>136.6047241974133</v>
      </c>
      <c r="CI95" s="207">
        <f t="shared" ref="CI95" si="221" xml:space="preserve"> ($BQ$38-CH95*($BP95+$BR95+$BQ95+$BN95))/($BP95+$BR95+$BQ95+$BO95)</f>
        <v>112.56142277783478</v>
      </c>
      <c r="CJ95">
        <f t="shared" si="54"/>
        <v>1.4182702399523104</v>
      </c>
      <c r="CK95">
        <f t="shared" si="55"/>
        <v>1.3285374877835956</v>
      </c>
      <c r="CL95">
        <f t="shared" si="56"/>
        <v>136.16187836815212</v>
      </c>
      <c r="CM95" s="207">
        <f t="shared" ref="CM95" si="222" xml:space="preserve"> ($BQ$38-CL95*($BP95+$BR95+$BQ95+$BN95))/($BP95+$BR95+$BQ95+$BO95)</f>
        <v>112.81928394175306</v>
      </c>
      <c r="CN95">
        <f t="shared" si="58"/>
        <v>1.4170401287649477</v>
      </c>
      <c r="CO95">
        <f t="shared" si="59"/>
        <v>-9.4774867410684749E-2</v>
      </c>
      <c r="CP95">
        <f t="shared" si="60"/>
        <v>136.19346999062233</v>
      </c>
      <c r="CQ95" s="207">
        <f t="shared" ref="CQ95" si="223" xml:space="preserve"> ($BQ$38-CP95*($BP95+$BR95+$BQ95+$BN95))/($BP95+$BR95+$BQ95+$BO95)</f>
        <v>112.80088870801264</v>
      </c>
      <c r="CR95">
        <f t="shared" si="62"/>
        <v>1.4171278821221203</v>
      </c>
      <c r="CS95">
        <f t="shared" si="63"/>
        <v>6.6888473694888262E-3</v>
      </c>
      <c r="CT95">
        <f t="shared" si="64"/>
        <v>136.19124037483249</v>
      </c>
      <c r="CU95" s="636">
        <f t="shared" si="65"/>
        <v>112.80218697319812</v>
      </c>
      <c r="CV95" s="575">
        <f t="shared" si="66"/>
        <v>1.4171216888260669</v>
      </c>
      <c r="CW95">
        <f t="shared" si="67"/>
        <v>-4.7243693950349552E-4</v>
      </c>
      <c r="CX95" s="576">
        <f t="shared" si="68"/>
        <v>0.33922107626265685</v>
      </c>
    </row>
    <row r="96" spans="1:102" x14ac:dyDescent="0.25">
      <c r="A96" s="186">
        <v>52</v>
      </c>
      <c r="B96" s="187">
        <f>A96/100*'Inputs-Imperial'!$E$5</f>
        <v>12.522310112</v>
      </c>
      <c r="C96" s="188">
        <f>'Inputs-Imperial'!$E$10+('Inputs-Imperial'!$E$9-'Inputs-Imperial'!$E$10)*(100-A96)/100</f>
        <v>4.1597770360000004</v>
      </c>
      <c r="D96" s="187">
        <f t="shared" si="69"/>
        <v>0.24081365600000026</v>
      </c>
      <c r="E96" s="188">
        <f t="shared" si="70"/>
        <v>1.003874183975352</v>
      </c>
      <c r="F96" s="423">
        <f>Sizing!F112</f>
        <v>386.33745175608942</v>
      </c>
      <c r="G96" s="423">
        <f>Sizing!G112</f>
        <v>3863.3745175608942</v>
      </c>
      <c r="H96" s="423">
        <f>Sizing!H112</f>
        <v>20455.249997646377</v>
      </c>
      <c r="I96" s="423">
        <f>Sizing!I112</f>
        <v>-7593.5154961427415</v>
      </c>
      <c r="J96" s="189">
        <f>Sizing!J112</f>
        <v>2045.5249997646381</v>
      </c>
      <c r="K96" s="128">
        <v>52</v>
      </c>
      <c r="L96" s="12">
        <f t="shared" si="11"/>
        <v>150.26772134399999</v>
      </c>
      <c r="M96" s="11">
        <f t="shared" si="11"/>
        <v>49.917324432000001</v>
      </c>
      <c r="N96" s="11">
        <f t="shared" si="11"/>
        <v>2.8897638720000032</v>
      </c>
      <c r="O96" s="152">
        <f t="shared" si="71"/>
        <v>144.55788249245069</v>
      </c>
      <c r="P96" s="170">
        <f t="shared" si="162"/>
        <v>8.9851183977599991</v>
      </c>
      <c r="Q96" s="8">
        <f t="shared" si="163"/>
        <v>4.4925591988799995</v>
      </c>
      <c r="R96" s="170">
        <f>Sizing!X112</f>
        <v>12.479331108</v>
      </c>
      <c r="S96" s="8">
        <f>Sizing!Y112</f>
        <v>37.437993324000004</v>
      </c>
      <c r="T96" s="8">
        <f>Sizing!Z112</f>
        <v>24.958662216000004</v>
      </c>
      <c r="U96" s="17">
        <f>Sizing!CN112</f>
        <v>1.5</v>
      </c>
      <c r="V96" s="17">
        <f>Sizing!CO112</f>
        <v>2.3622047244094495E-2</v>
      </c>
      <c r="W96" s="17">
        <f>Sizing!CP112</f>
        <v>1.5748031496062995E-2</v>
      </c>
      <c r="X96" s="170">
        <f>Sizing!DU112</f>
        <v>0.85358264160295871</v>
      </c>
      <c r="Y96" s="170">
        <f>Sizing!DV112</f>
        <v>0.92389536290802909</v>
      </c>
      <c r="Z96" s="170">
        <f>Sizing!DW112</f>
        <v>0.85358264160295871</v>
      </c>
      <c r="AA96" s="272">
        <f>Sizing!DX112</f>
        <v>0.92389536290802909</v>
      </c>
      <c r="AB96" s="272">
        <f t="shared" si="12"/>
        <v>4.9824828773716554</v>
      </c>
      <c r="AC96" s="216">
        <f>Sizing!GJ112</f>
        <v>0.5</v>
      </c>
      <c r="AD96" s="216">
        <f>Sizing!GK112</f>
        <v>3.1496062992125991E-2</v>
      </c>
      <c r="AE96" s="17">
        <f>Sizing!GL112</f>
        <v>3.1496062992125991E-2</v>
      </c>
      <c r="AF96" s="170">
        <f>Sizing!JC112</f>
        <v>1.3798052057434758E-2</v>
      </c>
      <c r="AG96" s="272">
        <f>Sizing!JD112</f>
        <v>0.11746510995795627</v>
      </c>
      <c r="AH96" s="170">
        <f>Sizing!JC112</f>
        <v>1.3798052057434758E-2</v>
      </c>
      <c r="AI96" s="272">
        <f>Sizing!JD112</f>
        <v>0.11746510995795627</v>
      </c>
      <c r="AJ96" s="216">
        <f>Sizing!IT112</f>
        <v>0.25</v>
      </c>
      <c r="AK96" s="216">
        <f>Sizing!IU112</f>
        <v>1.5748031496062995E-2</v>
      </c>
      <c r="AL96" s="17">
        <f>Sizing!IV112</f>
        <v>1.5748031496062995E-2</v>
      </c>
      <c r="AM96" s="170">
        <f t="shared" si="13"/>
        <v>0</v>
      </c>
      <c r="AN96" s="11">
        <f t="shared" si="14"/>
        <v>5.2975762108724007</v>
      </c>
      <c r="AO96" s="11">
        <f t="shared" si="15"/>
        <v>5.2975762108724007</v>
      </c>
      <c r="AP96" s="11">
        <f t="shared" si="16"/>
        <v>10.595152421744801</v>
      </c>
      <c r="AQ96" s="555">
        <f t="shared" si="17"/>
        <v>169036968.86395249</v>
      </c>
      <c r="AR96" s="311">
        <f t="shared" si="18"/>
        <v>12.876366600094011</v>
      </c>
      <c r="AS96" s="11">
        <f t="shared" si="19"/>
        <v>0.2691127244226526</v>
      </c>
      <c r="AT96" s="11">
        <f t="shared" si="20"/>
        <v>16.647998517869212</v>
      </c>
      <c r="AU96" s="11">
        <f t="shared" si="21"/>
        <v>16.917111242291863</v>
      </c>
      <c r="AV96" s="555">
        <f t="shared" si="22"/>
        <v>269898637.83954799</v>
      </c>
      <c r="AW96" s="138">
        <f t="shared" si="23"/>
        <v>3.9370078740157494E-2</v>
      </c>
      <c r="AX96" s="138">
        <f t="shared" si="24"/>
        <v>6.2992125984251982E-2</v>
      </c>
      <c r="AY96" s="554">
        <f t="shared" si="25"/>
        <v>3.1496062992125991E-2</v>
      </c>
      <c r="AZ96" s="12">
        <f t="shared" si="26"/>
        <v>1056.7840245981597</v>
      </c>
      <c r="BA96" s="11">
        <f t="shared" si="27"/>
        <v>159.87657023497866</v>
      </c>
      <c r="BB96">
        <f t="shared" si="28"/>
        <v>1100.0538127281939</v>
      </c>
      <c r="BC96" s="555">
        <f t="shared" si="29"/>
        <v>4148289727.152267</v>
      </c>
      <c r="BD96">
        <f t="shared" si="30"/>
        <v>52</v>
      </c>
      <c r="BE96" s="207">
        <f t="shared" si="31"/>
        <v>4.1597770360000004</v>
      </c>
      <c r="BF96" s="207">
        <f>'Inputs-Imperial'!$E$15*BE96</f>
        <v>3.1198327770000001</v>
      </c>
      <c r="BG96" s="207">
        <f>'Inputs-Imperial'!$E$12*BE96</f>
        <v>1.0399442590000001</v>
      </c>
      <c r="BH96">
        <f>'Inputs-Imperial'!$E$11*BE96</f>
        <v>0.74875986648000004</v>
      </c>
      <c r="BI96">
        <f t="shared" si="32"/>
        <v>0.79417976860251294</v>
      </c>
      <c r="BJ96">
        <f>'Weight '!U98+'Weight '!V98 /12</f>
        <v>2.4934383202099744E-2</v>
      </c>
      <c r="BK96">
        <f>('Weight '!AK98+'Weight '!AL98)/12</f>
        <v>5.2493438320209982E-3</v>
      </c>
      <c r="BL96">
        <f>'Weight '!AG98/12</f>
        <v>7.6991280242335758E-2</v>
      </c>
      <c r="BM96">
        <f>'Weight '!AI98/12</f>
        <v>7.6991280242335758E-2</v>
      </c>
      <c r="BN96" s="554">
        <f t="shared" si="33"/>
        <v>2.266716512466965</v>
      </c>
      <c r="BO96" s="554">
        <f t="shared" si="34"/>
        <v>4.4372668433844442</v>
      </c>
      <c r="BP96">
        <f t="shared" si="35"/>
        <v>7.6991280242335758E-2</v>
      </c>
      <c r="BQ96">
        <f t="shared" si="35"/>
        <v>7.6991280242335758E-2</v>
      </c>
      <c r="BR96">
        <f t="shared" si="36"/>
        <v>0.59477730599532852</v>
      </c>
      <c r="BS96">
        <f t="shared" si="37"/>
        <v>0.58400139338661206</v>
      </c>
      <c r="BT96">
        <f t="shared" si="38"/>
        <v>1.3619859765169555</v>
      </c>
      <c r="BU96">
        <f t="shared" si="39"/>
        <v>1.1838118078504498</v>
      </c>
      <c r="BV96">
        <f t="shared" si="40"/>
        <v>165.81128059593857</v>
      </c>
      <c r="BW96" s="207">
        <f t="shared" si="41"/>
        <v>96.412924185087604</v>
      </c>
      <c r="BX96">
        <f t="shared" si="42"/>
        <v>1.4909583249243299</v>
      </c>
      <c r="BY96" s="575">
        <f t="shared" si="43"/>
        <v>-52.150452110683901</v>
      </c>
      <c r="BZ96">
        <f t="shared" si="44"/>
        <v>183.1947646328332</v>
      </c>
      <c r="CA96" s="207">
        <f t="shared" si="45"/>
        <v>86.305092422989418</v>
      </c>
      <c r="CB96">
        <f t="shared" si="46"/>
        <v>1.5387957329491915</v>
      </c>
      <c r="CC96">
        <f t="shared" si="47"/>
        <v>160.19471023998844</v>
      </c>
      <c r="CD96">
        <f t="shared" si="48"/>
        <v>129.7965278861704</v>
      </c>
      <c r="CE96" s="207">
        <f t="shared" si="49"/>
        <v>117.35412679851586</v>
      </c>
      <c r="CF96">
        <f t="shared" si="50"/>
        <v>1.391849744812593</v>
      </c>
      <c r="CG96">
        <f t="shared" si="51"/>
        <v>-22.063260976079022</v>
      </c>
      <c r="CH96">
        <f t="shared" si="52"/>
        <v>137.15094821153008</v>
      </c>
      <c r="CI96" s="207">
        <f t="shared" ref="CI96" si="224" xml:space="preserve"> ($BQ$38-CH96*($BP96+$BR96+$BQ96+$BN96))/($BP96+$BR96+$BQ96+$BO96)</f>
        <v>113.07781238428694</v>
      </c>
      <c r="CJ96">
        <f t="shared" si="54"/>
        <v>1.412088288774429</v>
      </c>
      <c r="CK96">
        <f t="shared" si="55"/>
        <v>1.1750042334397968</v>
      </c>
      <c r="CL96">
        <f t="shared" si="56"/>
        <v>136.7592801337168</v>
      </c>
      <c r="CM96" s="207">
        <f t="shared" ref="CM96" si="225" xml:space="preserve"> ($BQ$38-CL96*($BP96+$BR96+$BQ96+$BN96))/($BP96+$BR96+$BQ96+$BO96)</f>
        <v>113.30555240629396</v>
      </c>
      <c r="CN96">
        <f t="shared" si="58"/>
        <v>1.4110104619355226</v>
      </c>
      <c r="CO96">
        <f t="shared" si="59"/>
        <v>-7.7585478733219304E-2</v>
      </c>
      <c r="CP96">
        <f t="shared" si="60"/>
        <v>136.78514195996121</v>
      </c>
      <c r="CQ96" s="207">
        <f t="shared" ref="CQ96" si="226" xml:space="preserve"> ($BQ$38-CP96*($BP96+$BR96+$BQ96+$BN96))/($BP96+$BR96+$BQ96+$BO96)</f>
        <v>113.29051474248708</v>
      </c>
      <c r="CR96">
        <f t="shared" si="62"/>
        <v>1.4110816307950962</v>
      </c>
      <c r="CS96">
        <f t="shared" si="63"/>
        <v>5.0708977788502807E-3</v>
      </c>
      <c r="CT96">
        <f t="shared" si="64"/>
        <v>136.78345166070159</v>
      </c>
      <c r="CU96" s="636">
        <f t="shared" si="65"/>
        <v>113.29149758692192</v>
      </c>
      <c r="CV96" s="575">
        <f t="shared" si="66"/>
        <v>1.4110769792801756</v>
      </c>
      <c r="CW96">
        <f t="shared" si="67"/>
        <v>-3.3165292311387873E-4</v>
      </c>
      <c r="CX96" s="576">
        <f t="shared" si="68"/>
        <v>0.3392193781224998</v>
      </c>
    </row>
    <row r="97" spans="1:102" x14ac:dyDescent="0.25">
      <c r="A97" s="186">
        <v>53</v>
      </c>
      <c r="B97" s="187">
        <f>A97/100*'Inputs-Imperial'!$E$5</f>
        <v>12.763123768</v>
      </c>
      <c r="C97" s="188">
        <f>'Inputs-Imperial'!$E$10+('Inputs-Imperial'!$E$9-'Inputs-Imperial'!$E$10)*(100-A97)/100</f>
        <v>4.1419784790000005</v>
      </c>
      <c r="D97" s="187">
        <f t="shared" si="69"/>
        <v>0.24081365600000026</v>
      </c>
      <c r="E97" s="188">
        <f t="shared" si="70"/>
        <v>0.99958804839265747</v>
      </c>
      <c r="F97" s="423">
        <f>Sizing!F113</f>
        <v>376.27334238657187</v>
      </c>
      <c r="G97" s="423">
        <f>Sizing!G113</f>
        <v>3762.733423865719</v>
      </c>
      <c r="H97" s="423">
        <f>Sizing!H113</f>
        <v>19524.8966555753</v>
      </c>
      <c r="I97" s="423">
        <f>Sizing!I113</f>
        <v>-7353.5137763143903</v>
      </c>
      <c r="J97" s="189">
        <f>Sizing!J113</f>
        <v>1952.4896655575305</v>
      </c>
      <c r="K97" s="128">
        <v>53</v>
      </c>
      <c r="L97" s="12">
        <f t="shared" si="11"/>
        <v>153.157485216</v>
      </c>
      <c r="M97" s="11">
        <f t="shared" si="11"/>
        <v>49.703741748000006</v>
      </c>
      <c r="N97" s="11">
        <f t="shared" si="11"/>
        <v>2.8897638720000032</v>
      </c>
      <c r="O97" s="152">
        <f t="shared" si="71"/>
        <v>143.94067896854267</v>
      </c>
      <c r="P97" s="170">
        <f t="shared" si="162"/>
        <v>8.9466735146400005</v>
      </c>
      <c r="Q97" s="8">
        <f t="shared" si="163"/>
        <v>4.4733367573200002</v>
      </c>
      <c r="R97" s="170">
        <f>Sizing!X113</f>
        <v>12.425935437000001</v>
      </c>
      <c r="S97" s="8">
        <f>Sizing!Y113</f>
        <v>37.277806311000006</v>
      </c>
      <c r="T97" s="8">
        <f>Sizing!Z113</f>
        <v>24.851870874000006</v>
      </c>
      <c r="U97" s="17">
        <f>Sizing!CN113</f>
        <v>1.5</v>
      </c>
      <c r="V97" s="17">
        <f>Sizing!CO113</f>
        <v>2.3622047244094495E-2</v>
      </c>
      <c r="W97" s="17">
        <f>Sizing!CP113</f>
        <v>1.5748031496062995E-2</v>
      </c>
      <c r="X97" s="170">
        <f>Sizing!DU113</f>
        <v>0.85358264160295871</v>
      </c>
      <c r="Y97" s="170">
        <f>Sizing!DV113</f>
        <v>0.92389536290802909</v>
      </c>
      <c r="Z97" s="170">
        <f>Sizing!DW113</f>
        <v>0.85358264160295871</v>
      </c>
      <c r="AA97" s="272">
        <f>Sizing!DX113</f>
        <v>0.92389536290802909</v>
      </c>
      <c r="AB97" s="272">
        <f t="shared" si="12"/>
        <v>4.9440379942516568</v>
      </c>
      <c r="AC97" s="216">
        <f>Sizing!GJ113</f>
        <v>0.5</v>
      </c>
      <c r="AD97" s="216">
        <f>Sizing!GK113</f>
        <v>3.1496062992125991E-2</v>
      </c>
      <c r="AE97" s="17">
        <f>Sizing!GL113</f>
        <v>3.1496062992125991E-2</v>
      </c>
      <c r="AF97" s="170">
        <f>Sizing!JC113</f>
        <v>1.3798052057434758E-2</v>
      </c>
      <c r="AG97" s="272">
        <f>Sizing!JD113</f>
        <v>0.11746510995795627</v>
      </c>
      <c r="AH97" s="170">
        <f>Sizing!JC113</f>
        <v>1.3798052057434758E-2</v>
      </c>
      <c r="AI97" s="272">
        <f>Sizing!JD113</f>
        <v>0.11746510995795627</v>
      </c>
      <c r="AJ97" s="216">
        <f>Sizing!IT113</f>
        <v>0.25</v>
      </c>
      <c r="AK97" s="216">
        <f>Sizing!IU113</f>
        <v>1.5748031496062995E-2</v>
      </c>
      <c r="AL97" s="17">
        <f>Sizing!IV113</f>
        <v>1.5748031496062995E-2</v>
      </c>
      <c r="AM97" s="170">
        <f t="shared" si="13"/>
        <v>0</v>
      </c>
      <c r="AN97" s="11">
        <f t="shared" si="14"/>
        <v>5.2161393193028385</v>
      </c>
      <c r="AO97" s="11">
        <f t="shared" si="15"/>
        <v>5.2161393193028385</v>
      </c>
      <c r="AP97" s="11">
        <f t="shared" si="16"/>
        <v>10.432278638605677</v>
      </c>
      <c r="AQ97" s="555">
        <f t="shared" si="17"/>
        <v>166438451.21046993</v>
      </c>
      <c r="AR97" s="311">
        <f t="shared" si="18"/>
        <v>12.821272121976248</v>
      </c>
      <c r="AS97" s="11">
        <f t="shared" si="19"/>
        <v>0.26681473058418326</v>
      </c>
      <c r="AT97" s="11">
        <f t="shared" si="20"/>
        <v>16.505838766415856</v>
      </c>
      <c r="AU97" s="11">
        <f t="shared" si="21"/>
        <v>16.772653497000039</v>
      </c>
      <c r="AV97" s="555">
        <f t="shared" si="22"/>
        <v>267593932.96876809</v>
      </c>
      <c r="AW97" s="138">
        <f t="shared" si="23"/>
        <v>3.9370078740157494E-2</v>
      </c>
      <c r="AX97" s="138">
        <f t="shared" si="24"/>
        <v>6.2992125984251982E-2</v>
      </c>
      <c r="AY97" s="554">
        <f t="shared" si="25"/>
        <v>3.1496062992125991E-2</v>
      </c>
      <c r="AZ97" s="12">
        <f t="shared" si="26"/>
        <v>1047.7599876176484</v>
      </c>
      <c r="BA97" s="11">
        <f t="shared" si="27"/>
        <v>159.19250178042799</v>
      </c>
      <c r="BB97">
        <f t="shared" si="28"/>
        <v>1085.9936491731685</v>
      </c>
      <c r="BC97" s="555">
        <f t="shared" si="29"/>
        <v>4095269019.1082287</v>
      </c>
      <c r="BD97">
        <f t="shared" si="30"/>
        <v>53</v>
      </c>
      <c r="BE97" s="207">
        <f t="shared" si="31"/>
        <v>4.1419784790000005</v>
      </c>
      <c r="BF97" s="207">
        <f>'Inputs-Imperial'!$E$15*BE97</f>
        <v>3.1064838592500004</v>
      </c>
      <c r="BG97" s="207">
        <f>'Inputs-Imperial'!$E$12*BE97</f>
        <v>1.0354946197500001</v>
      </c>
      <c r="BH97">
        <f>'Inputs-Imperial'!$E$11*BE97</f>
        <v>0.74555612622000011</v>
      </c>
      <c r="BI97">
        <f t="shared" si="32"/>
        <v>0.79078168890800349</v>
      </c>
      <c r="BJ97">
        <f>'Weight '!U99+'Weight '!V99 /12</f>
        <v>2.4934383202099744E-2</v>
      </c>
      <c r="BK97">
        <f>('Weight '!AK99+'Weight '!AL99)/12</f>
        <v>5.2493438320209982E-3</v>
      </c>
      <c r="BL97">
        <f>'Weight '!AG99/12</f>
        <v>7.6991280242335758E-2</v>
      </c>
      <c r="BM97">
        <f>'Weight '!AI99/12</f>
        <v>7.6991280242335758E-2</v>
      </c>
      <c r="BN97" s="554">
        <f t="shared" si="33"/>
        <v>2.2543160928403929</v>
      </c>
      <c r="BO97" s="554">
        <f t="shared" si="34"/>
        <v>4.4209827376497959</v>
      </c>
      <c r="BP97">
        <f t="shared" si="35"/>
        <v>7.6991280242335758E-2</v>
      </c>
      <c r="BQ97">
        <f t="shared" si="35"/>
        <v>7.6991280242335758E-2</v>
      </c>
      <c r="BR97">
        <f t="shared" si="36"/>
        <v>0.59157356573532849</v>
      </c>
      <c r="BS97">
        <f t="shared" si="37"/>
        <v>0.57901451806684656</v>
      </c>
      <c r="BT97">
        <f t="shared" si="38"/>
        <v>1.3503557743820398</v>
      </c>
      <c r="BU97">
        <f t="shared" si="39"/>
        <v>1.1636806354737319</v>
      </c>
      <c r="BV97">
        <f t="shared" si="40"/>
        <v>166.67376591013863</v>
      </c>
      <c r="BW97" s="207">
        <f t="shared" si="41"/>
        <v>96.776587416492276</v>
      </c>
      <c r="BX97">
        <f t="shared" si="42"/>
        <v>1.4848893428249936</v>
      </c>
      <c r="BY97" s="575">
        <f t="shared" si="43"/>
        <v>-51.959534076959159</v>
      </c>
      <c r="BZ97">
        <f t="shared" si="44"/>
        <v>183.99361060245835</v>
      </c>
      <c r="CA97" s="207">
        <f t="shared" si="45"/>
        <v>86.720082994494376</v>
      </c>
      <c r="CB97">
        <f t="shared" si="46"/>
        <v>1.5321059435127127</v>
      </c>
      <c r="CC97">
        <f t="shared" si="47"/>
        <v>160.09925134002992</v>
      </c>
      <c r="CD97">
        <f t="shared" si="48"/>
        <v>130.62719348911503</v>
      </c>
      <c r="CE97" s="207">
        <f t="shared" si="49"/>
        <v>117.70648149981727</v>
      </c>
      <c r="CF97">
        <f t="shared" si="50"/>
        <v>1.3866207586431076</v>
      </c>
      <c r="CG97">
        <f t="shared" si="51"/>
        <v>-21.231632302040602</v>
      </c>
      <c r="CH97">
        <f t="shared" si="52"/>
        <v>137.70440425646188</v>
      </c>
      <c r="CI97" s="207">
        <f t="shared" ref="CI97" si="227" xml:space="preserve"> ($BQ$38-CH97*($BP97+$BR97+$BQ97+$BN97))/($BP97+$BR97+$BQ97+$BO97)</f>
        <v>113.59720669732467</v>
      </c>
      <c r="CJ97">
        <f t="shared" si="54"/>
        <v>1.4059143401226701</v>
      </c>
      <c r="CK97">
        <f t="shared" si="55"/>
        <v>1.0294730636437119</v>
      </c>
      <c r="CL97">
        <f t="shared" si="56"/>
        <v>137.36124656858064</v>
      </c>
      <c r="CM97" s="207">
        <f t="shared" ref="CM97" si="228" xml:space="preserve"> ($BQ$38-CL97*($BP97+$BR97+$BQ97+$BN97))/($BP97+$BR97+$BQ97+$BO97)</f>
        <v>113.79645599008253</v>
      </c>
      <c r="CN97">
        <f t="shared" si="58"/>
        <v>1.404978838690097</v>
      </c>
      <c r="CO97">
        <f t="shared" si="59"/>
        <v>-6.2516215907782779E-2</v>
      </c>
      <c r="CP97">
        <f t="shared" si="60"/>
        <v>137.38208530721656</v>
      </c>
      <c r="CQ97" s="207">
        <f t="shared" ref="CQ97" si="229" xml:space="preserve"> ($BQ$38-CP97*($BP97+$BR97+$BQ97+$BN97))/($BP97+$BR97+$BQ97+$BO97)</f>
        <v>113.78435629340719</v>
      </c>
      <c r="CR97">
        <f t="shared" si="62"/>
        <v>1.4050356483450614</v>
      </c>
      <c r="CS97">
        <f t="shared" si="63"/>
        <v>3.75976446505355E-3</v>
      </c>
      <c r="CT97">
        <f t="shared" si="64"/>
        <v>137.38083205239488</v>
      </c>
      <c r="CU97" s="636">
        <f t="shared" si="65"/>
        <v>113.78508397676001</v>
      </c>
      <c r="CV97" s="575">
        <f t="shared" si="66"/>
        <v>1.4050322317767534</v>
      </c>
      <c r="CW97">
        <f t="shared" si="67"/>
        <v>-2.2624842516805188E-4</v>
      </c>
      <c r="CX97" s="576">
        <f t="shared" si="68"/>
        <v>0.33921765622403016</v>
      </c>
    </row>
    <row r="98" spans="1:102" x14ac:dyDescent="0.25">
      <c r="A98" s="186">
        <v>54</v>
      </c>
      <c r="B98" s="187">
        <f>A98/100*'Inputs-Imperial'!$E$5</f>
        <v>13.003937424</v>
      </c>
      <c r="C98" s="188">
        <f>'Inputs-Imperial'!$E$10+('Inputs-Imperial'!$E$9-'Inputs-Imperial'!$E$10)*(100-A98)/100</f>
        <v>4.1241799220000006</v>
      </c>
      <c r="D98" s="187">
        <f t="shared" si="69"/>
        <v>0.24081365600000026</v>
      </c>
      <c r="E98" s="188">
        <f t="shared" si="70"/>
        <v>0.99530191280996338</v>
      </c>
      <c r="F98" s="423">
        <f>Sizing!F114</f>
        <v>366.26846617605088</v>
      </c>
      <c r="G98" s="423">
        <f>Sizing!G114</f>
        <v>3662.6846617605088</v>
      </c>
      <c r="H98" s="423">
        <f>Sizing!H114</f>
        <v>18618.779063220798</v>
      </c>
      <c r="I98" s="423">
        <f>Sizing!I114</f>
        <v>-7116.3450041804153</v>
      </c>
      <c r="J98" s="189">
        <f>Sizing!J114</f>
        <v>1861.8779063220802</v>
      </c>
      <c r="K98" s="128">
        <v>54</v>
      </c>
      <c r="L98" s="12">
        <f t="shared" si="11"/>
        <v>156.047249088</v>
      </c>
      <c r="M98" s="11">
        <f t="shared" si="11"/>
        <v>49.490159064000011</v>
      </c>
      <c r="N98" s="11">
        <f t="shared" si="11"/>
        <v>2.8897638720000032</v>
      </c>
      <c r="O98" s="152">
        <f t="shared" si="71"/>
        <v>143.32347544463474</v>
      </c>
      <c r="P98" s="170">
        <f t="shared" si="162"/>
        <v>8.9082286315200019</v>
      </c>
      <c r="Q98" s="8">
        <f t="shared" si="163"/>
        <v>4.4541143157600009</v>
      </c>
      <c r="R98" s="170">
        <f>Sizing!X114</f>
        <v>12.372539766000003</v>
      </c>
      <c r="S98" s="8">
        <f>Sizing!Y114</f>
        <v>37.117619298000008</v>
      </c>
      <c r="T98" s="8">
        <f>Sizing!Z114</f>
        <v>24.745079532000005</v>
      </c>
      <c r="U98" s="17">
        <f>Sizing!CN114</f>
        <v>1.5</v>
      </c>
      <c r="V98" s="17">
        <f>Sizing!CO114</f>
        <v>2.3622047244094495E-2</v>
      </c>
      <c r="W98" s="17">
        <f>Sizing!CP114</f>
        <v>1.5748031496062995E-2</v>
      </c>
      <c r="X98" s="170">
        <f>Sizing!DU114</f>
        <v>0.85358264160295871</v>
      </c>
      <c r="Y98" s="170">
        <f>Sizing!DV114</f>
        <v>0.92389536290802909</v>
      </c>
      <c r="Z98" s="170">
        <f>Sizing!DW114</f>
        <v>0.85358264160295871</v>
      </c>
      <c r="AA98" s="272">
        <f>Sizing!DX114</f>
        <v>0.92389536290802909</v>
      </c>
      <c r="AB98" s="272">
        <f t="shared" si="12"/>
        <v>4.9055931111316582</v>
      </c>
      <c r="AC98" s="216">
        <f>Sizing!GJ114</f>
        <v>0.5</v>
      </c>
      <c r="AD98" s="216">
        <f>Sizing!GK114</f>
        <v>3.1496062992125991E-2</v>
      </c>
      <c r="AE98" s="17">
        <f>Sizing!GL114</f>
        <v>3.1496062992125991E-2</v>
      </c>
      <c r="AF98" s="170">
        <f>Sizing!JC114</f>
        <v>1.3798052057434758E-2</v>
      </c>
      <c r="AG98" s="272">
        <f>Sizing!JD114</f>
        <v>0.11746510995795627</v>
      </c>
      <c r="AH98" s="170">
        <f>Sizing!JC114</f>
        <v>1.3798052057434758E-2</v>
      </c>
      <c r="AI98" s="272">
        <f>Sizing!JD114</f>
        <v>0.11746510995795627</v>
      </c>
      <c r="AJ98" s="216">
        <f>Sizing!IT114</f>
        <v>0.25</v>
      </c>
      <c r="AK98" s="216">
        <f>Sizing!IU114</f>
        <v>1.5748031496062995E-2</v>
      </c>
      <c r="AL98" s="17">
        <f>Sizing!IV114</f>
        <v>1.5748031496062995E-2</v>
      </c>
      <c r="AM98" s="170">
        <f t="shared" si="13"/>
        <v>0</v>
      </c>
      <c r="AN98" s="11">
        <f t="shared" si="14"/>
        <v>5.135333229162808</v>
      </c>
      <c r="AO98" s="11">
        <f t="shared" si="15"/>
        <v>5.135333229162808</v>
      </c>
      <c r="AP98" s="11">
        <f t="shared" si="16"/>
        <v>10.270666458325616</v>
      </c>
      <c r="AQ98" s="555">
        <f t="shared" si="17"/>
        <v>163860061.39608938</v>
      </c>
      <c r="AR98" s="311">
        <f t="shared" si="18"/>
        <v>12.766177643858491</v>
      </c>
      <c r="AS98" s="11">
        <f t="shared" si="19"/>
        <v>0.2645265903180759</v>
      </c>
      <c r="AT98" s="11">
        <f t="shared" si="20"/>
        <v>16.364288582043766</v>
      </c>
      <c r="AU98" s="11">
        <f t="shared" si="21"/>
        <v>16.628815172361843</v>
      </c>
      <c r="AV98" s="555">
        <f t="shared" si="22"/>
        <v>265299110.44659188</v>
      </c>
      <c r="AW98" s="138">
        <f t="shared" si="23"/>
        <v>3.9370078740157494E-2</v>
      </c>
      <c r="AX98" s="138">
        <f t="shared" si="24"/>
        <v>6.2992125984251982E-2</v>
      </c>
      <c r="AY98" s="554">
        <f t="shared" si="25"/>
        <v>3.1496062992125991E-2</v>
      </c>
      <c r="AZ98" s="12">
        <f t="shared" si="26"/>
        <v>1038.774644823271</v>
      </c>
      <c r="BA98" s="11">
        <f t="shared" si="27"/>
        <v>158.50843332587741</v>
      </c>
      <c r="BB98">
        <f t="shared" si="28"/>
        <v>1072.0538041287687</v>
      </c>
      <c r="BC98" s="555">
        <f t="shared" si="29"/>
        <v>4042702030.7239375</v>
      </c>
      <c r="BD98">
        <f t="shared" si="30"/>
        <v>54</v>
      </c>
      <c r="BE98" s="207">
        <f t="shared" si="31"/>
        <v>4.1241799220000006</v>
      </c>
      <c r="BF98" s="207">
        <f>'Inputs-Imperial'!$E$15*BE98</f>
        <v>3.0931349415000007</v>
      </c>
      <c r="BG98" s="207">
        <f>'Inputs-Imperial'!$E$12*BE98</f>
        <v>1.0310449805000002</v>
      </c>
      <c r="BH98">
        <f>'Inputs-Imperial'!$E$11*BE98</f>
        <v>0.74235238596000008</v>
      </c>
      <c r="BI98">
        <f t="shared" si="32"/>
        <v>0.78738360921349393</v>
      </c>
      <c r="BJ98">
        <f>'Weight '!U100+'Weight '!V100 /12</f>
        <v>2.4934383202099744E-2</v>
      </c>
      <c r="BK98">
        <f>('Weight '!AK100+'Weight '!AL100)/12</f>
        <v>5.2493438320209982E-3</v>
      </c>
      <c r="BL98">
        <f>'Weight '!AG100/12</f>
        <v>7.6991280242335758E-2</v>
      </c>
      <c r="BM98">
        <f>'Weight '!AI100/12</f>
        <v>7.6991280242335758E-2</v>
      </c>
      <c r="BN98" s="554">
        <f t="shared" si="33"/>
        <v>2.2419138141029227</v>
      </c>
      <c r="BO98" s="554">
        <f t="shared" si="34"/>
        <v>4.404700491026043</v>
      </c>
      <c r="BP98">
        <f t="shared" si="35"/>
        <v>7.6991280242335758E-2</v>
      </c>
      <c r="BQ98">
        <f t="shared" si="35"/>
        <v>7.6991280242335758E-2</v>
      </c>
      <c r="BR98">
        <f t="shared" si="36"/>
        <v>0.58836982547532846</v>
      </c>
      <c r="BS98">
        <f t="shared" si="37"/>
        <v>0.57404902597969265</v>
      </c>
      <c r="BT98">
        <f t="shared" si="38"/>
        <v>1.3387754414140114</v>
      </c>
      <c r="BU98">
        <f t="shared" si="39"/>
        <v>1.143807314976542</v>
      </c>
      <c r="BV98">
        <f t="shared" si="40"/>
        <v>167.54537513759919</v>
      </c>
      <c r="BW98" s="207">
        <f t="shared" si="41"/>
        <v>97.142969374891038</v>
      </c>
      <c r="BX98">
        <f t="shared" si="42"/>
        <v>1.4788207461500074</v>
      </c>
      <c r="BY98" s="575">
        <f t="shared" si="43"/>
        <v>-51.766739580336974</v>
      </c>
      <c r="BZ98">
        <f t="shared" si="44"/>
        <v>184.80095499771153</v>
      </c>
      <c r="CA98" s="207">
        <f t="shared" si="45"/>
        <v>87.138167603906737</v>
      </c>
      <c r="CB98">
        <f t="shared" si="46"/>
        <v>1.5254202095872502</v>
      </c>
      <c r="CC98">
        <f t="shared" si="47"/>
        <v>160.00847642311072</v>
      </c>
      <c r="CD98">
        <f t="shared" si="48"/>
        <v>131.46479619000795</v>
      </c>
      <c r="CE98" s="207">
        <f t="shared" si="49"/>
        <v>118.06252369177791</v>
      </c>
      <c r="CF98">
        <f t="shared" si="50"/>
        <v>1.3813835326171617</v>
      </c>
      <c r="CG98">
        <f t="shared" si="51"/>
        <v>-20.40116921000422</v>
      </c>
      <c r="CH98">
        <f t="shared" si="52"/>
        <v>138.26518592667603</v>
      </c>
      <c r="CI98" s="207">
        <f t="shared" ref="CI98" si="230" xml:space="preserve"> ($BQ$38-CH98*($BP98+$BR98+$BQ98+$BN98))/($BP98+$BR98+$BQ98+$BO98)</f>
        <v>114.11965119300596</v>
      </c>
      <c r="CJ98">
        <f t="shared" si="54"/>
        <v>1.3997482885663601</v>
      </c>
      <c r="CK98">
        <f t="shared" si="55"/>
        <v>0.89192426995114182</v>
      </c>
      <c r="CL98">
        <f t="shared" si="56"/>
        <v>137.96787783669231</v>
      </c>
      <c r="CM98" s="207">
        <f t="shared" ref="CM98" si="231" xml:space="preserve"> ($BQ$38-CL98*($BP98+$BR98+$BQ98+$BN98))/($BP98+$BR98+$BQ98+$BO98)</f>
        <v>114.29203070904138</v>
      </c>
      <c r="CN98">
        <f t="shared" si="58"/>
        <v>1.398945394802076</v>
      </c>
      <c r="CO98">
        <f t="shared" si="59"/>
        <v>-4.9436847347886115E-2</v>
      </c>
      <c r="CP98">
        <f t="shared" si="60"/>
        <v>137.98435678580827</v>
      </c>
      <c r="CQ98" s="207">
        <f t="shared" ref="CQ98" si="232" xml:space="preserve"> ($BQ$38-CP98*($BP98+$BR98+$BQ98+$BN98))/($BP98+$BR98+$BQ98+$BO98)</f>
        <v>114.28247619852156</v>
      </c>
      <c r="CR98">
        <f t="shared" si="62"/>
        <v>1.3989898969395318</v>
      </c>
      <c r="CS98">
        <f t="shared" si="63"/>
        <v>2.715150058648419E-3</v>
      </c>
      <c r="CT98">
        <f t="shared" si="64"/>
        <v>137.98345173578872</v>
      </c>
      <c r="CU98" s="636">
        <f t="shared" si="65"/>
        <v>114.2830009473919</v>
      </c>
      <c r="CV98" s="575">
        <f t="shared" si="66"/>
        <v>1.3989874528115662</v>
      </c>
      <c r="CW98">
        <f t="shared" si="67"/>
        <v>-1.4919647647637646E-4</v>
      </c>
      <c r="CX98" s="576">
        <f t="shared" si="68"/>
        <v>0.33921591183469374</v>
      </c>
    </row>
    <row r="99" spans="1:102" x14ac:dyDescent="0.25">
      <c r="A99" s="186">
        <v>55</v>
      </c>
      <c r="B99" s="187">
        <f>A99/100*'Inputs-Imperial'!$E$5</f>
        <v>13.24475108</v>
      </c>
      <c r="C99" s="188">
        <f>'Inputs-Imperial'!$E$10+('Inputs-Imperial'!$E$9-'Inputs-Imperial'!$E$10)*(100-A99)/100</f>
        <v>4.1063813650000007</v>
      </c>
      <c r="D99" s="187">
        <f t="shared" si="69"/>
        <v>0.24081365600000026</v>
      </c>
      <c r="E99" s="188">
        <f t="shared" si="70"/>
        <v>0.99101577722726875</v>
      </c>
      <c r="F99" s="423">
        <f>Sizing!F115</f>
        <v>356.32384842986653</v>
      </c>
      <c r="G99" s="423">
        <f>Sizing!G115</f>
        <v>3563.2384842986648</v>
      </c>
      <c r="H99" s="423">
        <f>Sizing!H115</f>
        <v>17736.754579047127</v>
      </c>
      <c r="I99" s="423">
        <f>Sizing!I115</f>
        <v>-6882.0410242852031</v>
      </c>
      <c r="J99" s="189">
        <f>Sizing!J115</f>
        <v>1773.6754579047129</v>
      </c>
      <c r="K99" s="128">
        <v>55</v>
      </c>
      <c r="L99" s="12">
        <f t="shared" si="11"/>
        <v>158.93701296</v>
      </c>
      <c r="M99" s="11">
        <f t="shared" si="11"/>
        <v>49.276576380000009</v>
      </c>
      <c r="N99" s="11">
        <f t="shared" si="11"/>
        <v>2.8897638720000032</v>
      </c>
      <c r="O99" s="152">
        <f t="shared" si="71"/>
        <v>142.70627192072669</v>
      </c>
      <c r="P99" s="170">
        <f t="shared" si="162"/>
        <v>8.8697837484000015</v>
      </c>
      <c r="Q99" s="8">
        <f t="shared" si="163"/>
        <v>4.4348918742000007</v>
      </c>
      <c r="R99" s="170">
        <f>Sizing!X115</f>
        <v>12.319144095000002</v>
      </c>
      <c r="S99" s="8">
        <f>Sizing!Y115</f>
        <v>36.95743228500001</v>
      </c>
      <c r="T99" s="8">
        <f>Sizing!Z115</f>
        <v>24.638288190000008</v>
      </c>
      <c r="U99" s="17">
        <f>Sizing!CN115</f>
        <v>1.5</v>
      </c>
      <c r="V99" s="17">
        <f>Sizing!CO115</f>
        <v>2.3622047244094495E-2</v>
      </c>
      <c r="W99" s="17">
        <f>Sizing!CP115</f>
        <v>1.5748031496062995E-2</v>
      </c>
      <c r="X99" s="170">
        <f>Sizing!DU115</f>
        <v>0.85358264160295871</v>
      </c>
      <c r="Y99" s="170">
        <f>Sizing!DV115</f>
        <v>0.92389536290802909</v>
      </c>
      <c r="Z99" s="170">
        <f>Sizing!DW115</f>
        <v>0.85358264160295871</v>
      </c>
      <c r="AA99" s="272">
        <f>Sizing!DX115</f>
        <v>0.92389536290802909</v>
      </c>
      <c r="AB99" s="272">
        <f t="shared" si="12"/>
        <v>4.8671482280116578</v>
      </c>
      <c r="AC99" s="216">
        <f>Sizing!GJ115</f>
        <v>0.5</v>
      </c>
      <c r="AD99" s="216">
        <f>Sizing!GK115</f>
        <v>3.1496062992125991E-2</v>
      </c>
      <c r="AE99" s="17">
        <f>Sizing!GL115</f>
        <v>3.1496062992125991E-2</v>
      </c>
      <c r="AF99" s="170">
        <f>Sizing!JC115</f>
        <v>1.3798052057434758E-2</v>
      </c>
      <c r="AG99" s="272">
        <f>Sizing!JD115</f>
        <v>0.11746510995795627</v>
      </c>
      <c r="AH99" s="170">
        <f>Sizing!JC115</f>
        <v>1.3798052057434758E-2</v>
      </c>
      <c r="AI99" s="272">
        <f>Sizing!JD115</f>
        <v>0.11746510995795627</v>
      </c>
      <c r="AJ99" s="216">
        <f>Sizing!IT115</f>
        <v>0.25</v>
      </c>
      <c r="AK99" s="216">
        <f>Sizing!IU115</f>
        <v>1.5748031496062995E-2</v>
      </c>
      <c r="AL99" s="17">
        <f>Sizing!IV115</f>
        <v>1.5748031496062995E-2</v>
      </c>
      <c r="AM99" s="170">
        <f t="shared" si="13"/>
        <v>0</v>
      </c>
      <c r="AN99" s="11">
        <f t="shared" si="14"/>
        <v>5.0551579404523048</v>
      </c>
      <c r="AO99" s="11">
        <f t="shared" si="15"/>
        <v>5.0551579404523048</v>
      </c>
      <c r="AP99" s="11">
        <f t="shared" si="16"/>
        <v>10.11031588090461</v>
      </c>
      <c r="AQ99" s="555">
        <f t="shared" si="17"/>
        <v>161301799.4208107</v>
      </c>
      <c r="AR99" s="311">
        <f t="shared" si="18"/>
        <v>12.711083165740728</v>
      </c>
      <c r="AS99" s="11">
        <f t="shared" si="19"/>
        <v>0.26224830362431856</v>
      </c>
      <c r="AT99" s="11">
        <f t="shared" si="20"/>
        <v>16.223347964752957</v>
      </c>
      <c r="AU99" s="11">
        <f t="shared" si="21"/>
        <v>16.485596268377275</v>
      </c>
      <c r="AV99" s="555">
        <f t="shared" si="22"/>
        <v>263014170.27301934</v>
      </c>
      <c r="AW99" s="138">
        <f t="shared" si="23"/>
        <v>3.9370078740157494E-2</v>
      </c>
      <c r="AX99" s="138">
        <f t="shared" si="24"/>
        <v>6.2992125984251982E-2</v>
      </c>
      <c r="AY99" s="554">
        <f t="shared" si="25"/>
        <v>3.1496062992125991E-2</v>
      </c>
      <c r="AZ99" s="12">
        <f t="shared" si="26"/>
        <v>1029.8279962150275</v>
      </c>
      <c r="BA99" s="11">
        <f t="shared" si="27"/>
        <v>157.82436487132674</v>
      </c>
      <c r="BB99">
        <f t="shared" si="28"/>
        <v>1058.2337605725436</v>
      </c>
      <c r="BC99" s="555">
        <f t="shared" si="29"/>
        <v>3990586812.3139353</v>
      </c>
      <c r="BD99">
        <f t="shared" si="30"/>
        <v>55</v>
      </c>
      <c r="BE99" s="207">
        <f t="shared" si="31"/>
        <v>4.1063813650000007</v>
      </c>
      <c r="BF99" s="207">
        <f>'Inputs-Imperial'!$E$15*BE99</f>
        <v>3.0797860237500005</v>
      </c>
      <c r="BG99" s="207">
        <f>'Inputs-Imperial'!$E$12*BE99</f>
        <v>1.0265953412500002</v>
      </c>
      <c r="BH99">
        <f>'Inputs-Imperial'!$E$11*BE99</f>
        <v>0.73914864570000005</v>
      </c>
      <c r="BI99">
        <f t="shared" si="32"/>
        <v>0.78398552951898437</v>
      </c>
      <c r="BJ99">
        <f>'Weight '!U101+'Weight '!V101 /12</f>
        <v>2.4934383202099744E-2</v>
      </c>
      <c r="BK99">
        <f>('Weight '!AK101+'Weight '!AL101)/12</f>
        <v>5.2493438320209982E-3</v>
      </c>
      <c r="BL99">
        <f>'Weight '!AG101/12</f>
        <v>7.6991280242335758E-2</v>
      </c>
      <c r="BM99">
        <f>'Weight '!AI101/12</f>
        <v>7.6991280242335758E-2</v>
      </c>
      <c r="BN99" s="554">
        <f t="shared" si="33"/>
        <v>2.2295097203739691</v>
      </c>
      <c r="BO99" s="554">
        <f t="shared" si="34"/>
        <v>4.3884200593937752</v>
      </c>
      <c r="BP99">
        <f t="shared" si="35"/>
        <v>7.6991280242335758E-2</v>
      </c>
      <c r="BQ99">
        <f t="shared" si="35"/>
        <v>7.6991280242335758E-2</v>
      </c>
      <c r="BR99">
        <f t="shared" si="36"/>
        <v>0.58516608521532842</v>
      </c>
      <c r="BS99">
        <f t="shared" si="37"/>
        <v>0.56910491712515021</v>
      </c>
      <c r="BT99">
        <f t="shared" si="38"/>
        <v>1.327244977612871</v>
      </c>
      <c r="BU99">
        <f t="shared" si="39"/>
        <v>1.1241896350887177</v>
      </c>
      <c r="BV99">
        <f t="shared" si="40"/>
        <v>168.42625130396755</v>
      </c>
      <c r="BW99" s="207">
        <f t="shared" si="41"/>
        <v>97.512101496230613</v>
      </c>
      <c r="BX99">
        <f t="shared" si="42"/>
        <v>1.4727525335203915</v>
      </c>
      <c r="BY99" s="575">
        <f t="shared" si="43"/>
        <v>-51.572045230642644</v>
      </c>
      <c r="BZ99">
        <f t="shared" si="44"/>
        <v>185.61693304751509</v>
      </c>
      <c r="CA99" s="207">
        <f t="shared" si="45"/>
        <v>87.559380409178075</v>
      </c>
      <c r="CB99">
        <f t="shared" si="46"/>
        <v>1.5187385346911086</v>
      </c>
      <c r="CC99">
        <f t="shared" si="47"/>
        <v>159.92245283796055</v>
      </c>
      <c r="CD99">
        <f t="shared" si="48"/>
        <v>132.3094487681949</v>
      </c>
      <c r="CE99" s="207">
        <f t="shared" si="49"/>
        <v>118.42229386423365</v>
      </c>
      <c r="CF99">
        <f t="shared" si="50"/>
        <v>1.3761381380897968</v>
      </c>
      <c r="CG99">
        <f t="shared" si="51"/>
        <v>-19.571819954545035</v>
      </c>
      <c r="CH99">
        <f t="shared" si="52"/>
        <v>138.83338875304324</v>
      </c>
      <c r="CI99" s="207">
        <f t="shared" ref="CI99" si="233" xml:space="preserve"> ($BQ$38-CH99*($BP99+$BR99+$BQ99+$BN99))/($BP99+$BR99+$BQ99+$BO99)</f>
        <v>114.64519205835343</v>
      </c>
      <c r="CJ99">
        <f t="shared" si="54"/>
        <v>1.3935900295421839</v>
      </c>
      <c r="CK99">
        <f t="shared" si="55"/>
        <v>0.76233908946231743</v>
      </c>
      <c r="CL99">
        <f t="shared" si="56"/>
        <v>138.57927572322245</v>
      </c>
      <c r="CM99" s="207">
        <f t="shared" ref="CM99" si="234" xml:space="preserve"> ($BQ$38-CL99*($BP99+$BR99+$BQ99+$BN99))/($BP99+$BR99+$BQ99+$BO99)</f>
        <v>114.792313397002</v>
      </c>
      <c r="CN99">
        <f t="shared" si="58"/>
        <v>1.3929102634769888</v>
      </c>
      <c r="CO99">
        <f t="shared" si="59"/>
        <v>-3.8217789298167659E-2</v>
      </c>
      <c r="CP99">
        <f t="shared" si="60"/>
        <v>138.59201498632183</v>
      </c>
      <c r="CQ99" s="207">
        <f t="shared" ref="CQ99" si="235" xml:space="preserve"> ($BQ$38-CP99*($BP99+$BR99+$BQ99+$BN99))/($BP99+$BR99+$BQ99+$BO99)</f>
        <v>114.78493787028501</v>
      </c>
      <c r="CR99">
        <f t="shared" si="62"/>
        <v>1.3929443416931144</v>
      </c>
      <c r="CS99">
        <f t="shared" si="63"/>
        <v>1.8994933688567528E-3</v>
      </c>
      <c r="CT99">
        <f t="shared" si="64"/>
        <v>138.59138182186555</v>
      </c>
      <c r="CU99" s="636">
        <f t="shared" si="65"/>
        <v>114.7853044473254</v>
      </c>
      <c r="CV99" s="575">
        <f t="shared" si="66"/>
        <v>1.3929426479440321</v>
      </c>
      <c r="CW99">
        <f t="shared" si="67"/>
        <v>-9.444927124491187E-5</v>
      </c>
      <c r="CX99" s="576">
        <f t="shared" si="68"/>
        <v>0.33921414601588812</v>
      </c>
    </row>
    <row r="100" spans="1:102" x14ac:dyDescent="0.25">
      <c r="A100" s="186">
        <v>56</v>
      </c>
      <c r="B100" s="187">
        <f>A100/100*'Inputs-Imperial'!$E$5</f>
        <v>13.485564736000001</v>
      </c>
      <c r="C100" s="188">
        <f>'Inputs-Imperial'!$E$10+('Inputs-Imperial'!$E$9-'Inputs-Imperial'!$E$10)*(100-A100)/100</f>
        <v>4.088582808</v>
      </c>
      <c r="D100" s="187">
        <f t="shared" si="69"/>
        <v>0.24081365600000026</v>
      </c>
      <c r="E100" s="188">
        <f t="shared" si="70"/>
        <v>0.98672964164457444</v>
      </c>
      <c r="F100" s="423">
        <f>Sizing!F116</f>
        <v>346.44053818624366</v>
      </c>
      <c r="G100" s="423">
        <f>Sizing!G116</f>
        <v>3464.4053818624361</v>
      </c>
      <c r="H100" s="423">
        <f>Sizing!H116</f>
        <v>16878.678092443264</v>
      </c>
      <c r="I100" s="423">
        <f>Sizing!I116</f>
        <v>-6650.6339203640673</v>
      </c>
      <c r="J100" s="189">
        <f>Sizing!J116</f>
        <v>1687.8678092443267</v>
      </c>
      <c r="K100" s="128">
        <v>56</v>
      </c>
      <c r="L100" s="12">
        <f t="shared" si="11"/>
        <v>161.82677683200001</v>
      </c>
      <c r="M100" s="11">
        <f t="shared" si="11"/>
        <v>49.062993695999999</v>
      </c>
      <c r="N100" s="11">
        <f t="shared" si="11"/>
        <v>2.8897638720000032</v>
      </c>
      <c r="O100" s="152">
        <f t="shared" si="71"/>
        <v>142.08906839681873</v>
      </c>
      <c r="P100" s="170">
        <f t="shared" si="162"/>
        <v>8.8313388652799993</v>
      </c>
      <c r="Q100" s="8">
        <f t="shared" si="163"/>
        <v>4.4156694326399997</v>
      </c>
      <c r="R100" s="170">
        <f>Sizing!X116</f>
        <v>12.265748424</v>
      </c>
      <c r="S100" s="8">
        <f>Sizing!Y116</f>
        <v>36.797245271999998</v>
      </c>
      <c r="T100" s="8">
        <f>Sizing!Z116</f>
        <v>24.531496847999996</v>
      </c>
      <c r="U100" s="17">
        <f>Sizing!CN116</f>
        <v>1.5</v>
      </c>
      <c r="V100" s="17">
        <f>Sizing!CO116</f>
        <v>2.3622047244094495E-2</v>
      </c>
      <c r="W100" s="17">
        <f>Sizing!CP116</f>
        <v>1.5748031496062995E-2</v>
      </c>
      <c r="X100" s="170">
        <f>Sizing!DU116</f>
        <v>0.85358264160295871</v>
      </c>
      <c r="Y100" s="170">
        <f>Sizing!DV116</f>
        <v>0.92389536290802909</v>
      </c>
      <c r="Z100" s="170">
        <f>Sizing!DW116</f>
        <v>0.85358264160295871</v>
      </c>
      <c r="AA100" s="272">
        <f>Sizing!DX116</f>
        <v>0.92389536290802909</v>
      </c>
      <c r="AB100" s="272">
        <f t="shared" si="12"/>
        <v>4.8287033448916556</v>
      </c>
      <c r="AC100" s="216">
        <f>Sizing!GJ116</f>
        <v>0.5</v>
      </c>
      <c r="AD100" s="216">
        <f>Sizing!GK116</f>
        <v>3.1496062992125991E-2</v>
      </c>
      <c r="AE100" s="17">
        <f>Sizing!GL116</f>
        <v>3.1496062992125991E-2</v>
      </c>
      <c r="AF100" s="170">
        <f>Sizing!JC116</f>
        <v>1.3798052057434758E-2</v>
      </c>
      <c r="AG100" s="272">
        <f>Sizing!JD116</f>
        <v>0.11746510995795627</v>
      </c>
      <c r="AH100" s="170">
        <f>Sizing!JC116</f>
        <v>1.3798052057434758E-2</v>
      </c>
      <c r="AI100" s="272">
        <f>Sizing!JD116</f>
        <v>0.11746510995795627</v>
      </c>
      <c r="AJ100" s="216">
        <f>Sizing!IT116</f>
        <v>0.25</v>
      </c>
      <c r="AK100" s="216">
        <f>Sizing!IU116</f>
        <v>1.5748031496062995E-2</v>
      </c>
      <c r="AL100" s="17">
        <f>Sizing!IV116</f>
        <v>1.5748031496062995E-2</v>
      </c>
      <c r="AM100" s="170">
        <f t="shared" si="13"/>
        <v>0</v>
      </c>
      <c r="AN100" s="11">
        <f t="shared" si="14"/>
        <v>4.9756134531713299</v>
      </c>
      <c r="AO100" s="11">
        <f t="shared" si="15"/>
        <v>4.9756134531713299</v>
      </c>
      <c r="AP100" s="11">
        <f t="shared" si="16"/>
        <v>9.9512269063426597</v>
      </c>
      <c r="AQ100" s="555">
        <f t="shared" si="17"/>
        <v>158763665.28463393</v>
      </c>
      <c r="AR100" s="311">
        <f t="shared" si="18"/>
        <v>12.655988687622962</v>
      </c>
      <c r="AS100" s="11">
        <f t="shared" si="19"/>
        <v>0.25997987050291371</v>
      </c>
      <c r="AT100" s="11">
        <f t="shared" si="20"/>
        <v>16.0830169145434</v>
      </c>
      <c r="AU100" s="11">
        <f t="shared" si="21"/>
        <v>16.342996785046314</v>
      </c>
      <c r="AV100" s="555">
        <f t="shared" si="22"/>
        <v>260739112.4480502</v>
      </c>
      <c r="AW100" s="138">
        <f t="shared" si="23"/>
        <v>3.9370078740157494E-2</v>
      </c>
      <c r="AX100" s="138">
        <f t="shared" si="24"/>
        <v>6.2992125984251982E-2</v>
      </c>
      <c r="AY100" s="554">
        <f t="shared" si="25"/>
        <v>3.1496062992125991E-2</v>
      </c>
      <c r="AZ100" s="12">
        <f t="shared" si="26"/>
        <v>1020.9200417929171</v>
      </c>
      <c r="BA100" s="11">
        <f t="shared" si="27"/>
        <v>157.14029641677607</v>
      </c>
      <c r="BB100">
        <f t="shared" si="28"/>
        <v>1044.5330014820393</v>
      </c>
      <c r="BC100" s="555">
        <f t="shared" si="29"/>
        <v>3938921414.1927528</v>
      </c>
      <c r="BD100">
        <f t="shared" si="30"/>
        <v>56</v>
      </c>
      <c r="BE100" s="207">
        <f t="shared" si="31"/>
        <v>4.088582808</v>
      </c>
      <c r="BF100" s="207">
        <f>'Inputs-Imperial'!$E$15*BE100</f>
        <v>3.066437106</v>
      </c>
      <c r="BG100" s="207">
        <f>'Inputs-Imperial'!$E$12*BE100</f>
        <v>1.022145702</v>
      </c>
      <c r="BH100">
        <f>'Inputs-Imperial'!$E$11*BE100</f>
        <v>0.73594490544000002</v>
      </c>
      <c r="BI100">
        <f t="shared" si="32"/>
        <v>0.78058744982447481</v>
      </c>
      <c r="BJ100">
        <f>'Weight '!U102+'Weight '!V102 /12</f>
        <v>2.4934383202099744E-2</v>
      </c>
      <c r="BK100">
        <f>('Weight '!AK102+'Weight '!AL102)/12</f>
        <v>5.2493438320209982E-3</v>
      </c>
      <c r="BL100">
        <f>'Weight '!AG102/12</f>
        <v>7.6991280242335758E-2</v>
      </c>
      <c r="BM100">
        <f>'Weight '!AI102/12</f>
        <v>7.6991280242335758E-2</v>
      </c>
      <c r="BN100" s="554">
        <f t="shared" si="33"/>
        <v>2.2171038572305619</v>
      </c>
      <c r="BO100" s="554">
        <f t="shared" si="34"/>
        <v>4.372141397175958</v>
      </c>
      <c r="BP100">
        <f t="shared" si="35"/>
        <v>7.6991280242335758E-2</v>
      </c>
      <c r="BQ100">
        <f t="shared" si="35"/>
        <v>7.6991280242335758E-2</v>
      </c>
      <c r="BR100">
        <f t="shared" si="36"/>
        <v>0.58196234495532839</v>
      </c>
      <c r="BS100">
        <f t="shared" si="37"/>
        <v>0.56418219150321924</v>
      </c>
      <c r="BT100">
        <f t="shared" si="38"/>
        <v>1.3157643829786176</v>
      </c>
      <c r="BU100">
        <f t="shared" si="39"/>
        <v>1.1048253940626385</v>
      </c>
      <c r="BV100">
        <f t="shared" si="40"/>
        <v>169.31654035669553</v>
      </c>
      <c r="BW100" s="207">
        <f t="shared" si="41"/>
        <v>97.884015730889175</v>
      </c>
      <c r="BX100">
        <f t="shared" si="42"/>
        <v>1.4666847034691222</v>
      </c>
      <c r="BY100" s="575">
        <f t="shared" si="43"/>
        <v>-51.375427287644001</v>
      </c>
      <c r="BZ100">
        <f t="shared" si="44"/>
        <v>186.44168278591019</v>
      </c>
      <c r="CA100" s="207">
        <f t="shared" si="45"/>
        <v>87.983756090551694</v>
      </c>
      <c r="CB100">
        <f t="shared" si="46"/>
        <v>1.5120609222741537</v>
      </c>
      <c r="CC100">
        <f t="shared" si="47"/>
        <v>159.84124911324028</v>
      </c>
      <c r="CD100">
        <f t="shared" si="48"/>
        <v>133.1612664148301</v>
      </c>
      <c r="CE100" s="207">
        <f t="shared" si="49"/>
        <v>118.78583309512648</v>
      </c>
      <c r="CF100">
        <f t="shared" si="50"/>
        <v>1.3708846464405053</v>
      </c>
      <c r="CG100">
        <f t="shared" si="51"/>
        <v>-18.743531522186906</v>
      </c>
      <c r="CH100">
        <f t="shared" si="52"/>
        <v>139.40911025555906</v>
      </c>
      <c r="CI100" s="207">
        <f t="shared" ref="CI100" si="236" xml:space="preserve"> ($BQ$38-CH100*($BP100+$BR100+$BQ100+$BN100))/($BP100+$BR100+$BQ100+$BO100)</f>
        <v>115.17387620360434</v>
      </c>
      <c r="CJ100">
        <f t="shared" si="54"/>
        <v>1.3874394593624082</v>
      </c>
      <c r="CK100">
        <f t="shared" si="55"/>
        <v>0.64069972952558274</v>
      </c>
      <c r="CL100">
        <f t="shared" si="56"/>
        <v>139.19554367905053</v>
      </c>
      <c r="CM100" s="207">
        <f t="shared" ref="CM100" si="237" xml:space="preserve"> ($BQ$38-CL100*($BP100+$BR100+$BQ100+$BN100))/($BP100+$BR100+$BQ100+$BO100)</f>
        <v>115.29734172026627</v>
      </c>
      <c r="CN100">
        <f t="shared" si="58"/>
        <v>1.3868735753853756</v>
      </c>
      <c r="CO100">
        <f t="shared" si="59"/>
        <v>-2.873008470006333E-2</v>
      </c>
      <c r="CP100">
        <f t="shared" si="60"/>
        <v>139.20512037395056</v>
      </c>
      <c r="CQ100" s="207">
        <f t="shared" ref="CQ100" si="238" xml:space="preserve"> ($BQ$38-CP100*($BP100+$BR100+$BQ100+$BN100))/($BP100+$BR100+$BQ100+$BO100)</f>
        <v>115.29180531282331</v>
      </c>
      <c r="CR100">
        <f t="shared" si="62"/>
        <v>1.386898950602254</v>
      </c>
      <c r="CS100">
        <f t="shared" si="63"/>
        <v>1.2779541448466603E-3</v>
      </c>
      <c r="CT100">
        <f t="shared" si="64"/>
        <v>139.20469438923561</v>
      </c>
      <c r="CU100" s="636">
        <f t="shared" si="65"/>
        <v>115.2920515799302</v>
      </c>
      <c r="CV100" s="575">
        <f t="shared" si="66"/>
        <v>1.386897821877298</v>
      </c>
      <c r="CW100">
        <f t="shared" si="67"/>
        <v>-5.6865835935226983E-5</v>
      </c>
      <c r="CX100" s="576">
        <f t="shared" si="68"/>
        <v>0.33921235963806312</v>
      </c>
    </row>
    <row r="101" spans="1:102" x14ac:dyDescent="0.25">
      <c r="A101" s="186">
        <v>57</v>
      </c>
      <c r="B101" s="187">
        <f>A101/100*'Inputs-Imperial'!$E$5</f>
        <v>13.726378391999997</v>
      </c>
      <c r="C101" s="188">
        <f>'Inputs-Imperial'!$E$10+('Inputs-Imperial'!$E$9-'Inputs-Imperial'!$E$10)*(100-A101)/100</f>
        <v>4.0707842510000001</v>
      </c>
      <c r="D101" s="187">
        <f t="shared" si="69"/>
        <v>0.24081365599999671</v>
      </c>
      <c r="E101" s="188">
        <f t="shared" si="70"/>
        <v>0.98244350606186559</v>
      </c>
      <c r="F101" s="423">
        <f>Sizing!F117</f>
        <v>336.61960961236065</v>
      </c>
      <c r="G101" s="423">
        <f>Sizing!G117</f>
        <v>3366.1960961236059</v>
      </c>
      <c r="H101" s="423">
        <f>Sizing!H117</f>
        <v>16044.401966570906</v>
      </c>
      <c r="I101" s="423">
        <f>Sizing!I117</f>
        <v>-6422.156037805079</v>
      </c>
      <c r="J101" s="189">
        <f>Sizing!J117</f>
        <v>1604.4401966570908</v>
      </c>
      <c r="K101" s="128">
        <v>57</v>
      </c>
      <c r="L101" s="12">
        <f t="shared" si="11"/>
        <v>164.71654070399995</v>
      </c>
      <c r="M101" s="11">
        <f t="shared" si="11"/>
        <v>48.849411012000004</v>
      </c>
      <c r="N101" s="11">
        <f t="shared" si="11"/>
        <v>2.8897638719999605</v>
      </c>
      <c r="O101" s="152">
        <f t="shared" si="71"/>
        <v>141.47186487290864</v>
      </c>
      <c r="P101" s="170">
        <f t="shared" si="162"/>
        <v>8.7928939821600007</v>
      </c>
      <c r="Q101" s="8">
        <f t="shared" si="163"/>
        <v>4.3964469910800004</v>
      </c>
      <c r="R101" s="170">
        <f>Sizing!X117</f>
        <v>12.212352753000001</v>
      </c>
      <c r="S101" s="8">
        <f>Sizing!Y117</f>
        <v>36.637058259</v>
      </c>
      <c r="T101" s="8">
        <f>Sizing!Z117</f>
        <v>24.424705505999999</v>
      </c>
      <c r="U101" s="17">
        <f>Sizing!CN117</f>
        <v>1.5</v>
      </c>
      <c r="V101" s="17">
        <f>Sizing!CO117</f>
        <v>2.3622047244094495E-2</v>
      </c>
      <c r="W101" s="17">
        <f>Sizing!CP117</f>
        <v>1.5748031496062995E-2</v>
      </c>
      <c r="X101" s="170">
        <f>Sizing!DU117</f>
        <v>0.85358264160295871</v>
      </c>
      <c r="Y101" s="170">
        <f>Sizing!DV117</f>
        <v>0.92389536290802909</v>
      </c>
      <c r="Z101" s="170">
        <f>Sizing!DW117</f>
        <v>0.85358264160295871</v>
      </c>
      <c r="AA101" s="272">
        <f>Sizing!DX117</f>
        <v>0.92389536290802909</v>
      </c>
      <c r="AB101" s="272">
        <f t="shared" si="12"/>
        <v>4.790258461771657</v>
      </c>
      <c r="AC101" s="216">
        <f>Sizing!GJ117</f>
        <v>0.5</v>
      </c>
      <c r="AD101" s="216">
        <f>Sizing!GK117</f>
        <v>3.1496062992125991E-2</v>
      </c>
      <c r="AE101" s="17">
        <f>Sizing!GL117</f>
        <v>3.1496062992125991E-2</v>
      </c>
      <c r="AF101" s="170">
        <f>Sizing!JC117</f>
        <v>1.3798052057434758E-2</v>
      </c>
      <c r="AG101" s="272">
        <f>Sizing!JD117</f>
        <v>0.11746510995795627</v>
      </c>
      <c r="AH101" s="170">
        <f>Sizing!JC117</f>
        <v>1.3798052057434758E-2</v>
      </c>
      <c r="AI101" s="272">
        <f>Sizing!JD117</f>
        <v>0.11746510995795627</v>
      </c>
      <c r="AJ101" s="216">
        <f>Sizing!IT117</f>
        <v>0.25</v>
      </c>
      <c r="AK101" s="216">
        <f>Sizing!IU117</f>
        <v>1.5748031496062995E-2</v>
      </c>
      <c r="AL101" s="17">
        <f>Sizing!IV117</f>
        <v>1.5748031496062995E-2</v>
      </c>
      <c r="AM101" s="170">
        <f t="shared" si="13"/>
        <v>0</v>
      </c>
      <c r="AN101" s="11">
        <f t="shared" si="14"/>
        <v>4.8966997673198938</v>
      </c>
      <c r="AO101" s="11">
        <f t="shared" si="15"/>
        <v>4.8966997673198938</v>
      </c>
      <c r="AP101" s="11">
        <f t="shared" si="16"/>
        <v>9.7933995346397875</v>
      </c>
      <c r="AQ101" s="555">
        <f t="shared" si="17"/>
        <v>156245658.98755941</v>
      </c>
      <c r="AR101" s="311">
        <f t="shared" si="18"/>
        <v>12.600894209505201</v>
      </c>
      <c r="AS101" s="11">
        <f t="shared" si="19"/>
        <v>0.25772129095386609</v>
      </c>
      <c r="AT101" s="11">
        <f t="shared" si="20"/>
        <v>15.94329543141513</v>
      </c>
      <c r="AU101" s="11">
        <f t="shared" si="21"/>
        <v>16.201016722368998</v>
      </c>
      <c r="AV101" s="555">
        <f t="shared" si="22"/>
        <v>258473936.97168502</v>
      </c>
      <c r="AW101" s="138">
        <f t="shared" si="23"/>
        <v>3.9370078740157494E-2</v>
      </c>
      <c r="AX101" s="138">
        <f t="shared" si="24"/>
        <v>6.2992125984251982E-2</v>
      </c>
      <c r="AY101" s="554">
        <f t="shared" si="25"/>
        <v>3.1496062992125991E-2</v>
      </c>
      <c r="AZ101" s="12">
        <f t="shared" si="26"/>
        <v>1012.0507815569414</v>
      </c>
      <c r="BA101" s="11">
        <f t="shared" si="27"/>
        <v>156.45622796222546</v>
      </c>
      <c r="BB101">
        <f t="shared" si="28"/>
        <v>1030.9510098348062</v>
      </c>
      <c r="BC101" s="555">
        <f t="shared" si="29"/>
        <v>3887703886.6749368</v>
      </c>
      <c r="BD101">
        <f t="shared" si="30"/>
        <v>57</v>
      </c>
      <c r="BE101" s="207">
        <f t="shared" si="31"/>
        <v>4.0707842510000001</v>
      </c>
      <c r="BF101" s="207">
        <f>'Inputs-Imperial'!$E$15*BE101</f>
        <v>3.0530881882500003</v>
      </c>
      <c r="BG101" s="207">
        <f>'Inputs-Imperial'!$E$12*BE101</f>
        <v>1.01769606275</v>
      </c>
      <c r="BH101">
        <f>'Inputs-Imperial'!$E$11*BE101</f>
        <v>0.73274116517999999</v>
      </c>
      <c r="BI101">
        <f t="shared" si="32"/>
        <v>0.77718937012996525</v>
      </c>
      <c r="BJ101">
        <f>'Weight '!U103+'Weight '!V103 /12</f>
        <v>2.4934383202099744E-2</v>
      </c>
      <c r="BK101">
        <f>('Weight '!AK103+'Weight '!AL103)/12</f>
        <v>5.2493438320209982E-3</v>
      </c>
      <c r="BL101">
        <f>'Weight '!AG103/12</f>
        <v>7.6991280242335758E-2</v>
      </c>
      <c r="BM101">
        <f>'Weight '!AI103/12</f>
        <v>7.6991280242335758E-2</v>
      </c>
      <c r="BN101" s="554">
        <f t="shared" si="33"/>
        <v>2.2046962717429253</v>
      </c>
      <c r="BO101" s="554">
        <f t="shared" si="34"/>
        <v>4.3558644573023724</v>
      </c>
      <c r="BP101">
        <f t="shared" si="35"/>
        <v>7.6991280242335758E-2</v>
      </c>
      <c r="BQ101">
        <f t="shared" si="35"/>
        <v>7.6991280242335758E-2</v>
      </c>
      <c r="BR101">
        <f t="shared" si="36"/>
        <v>0.57875860469532836</v>
      </c>
      <c r="BS101">
        <f t="shared" si="37"/>
        <v>0.55928084911389997</v>
      </c>
      <c r="BT101">
        <f t="shared" si="38"/>
        <v>1.3043336575112527</v>
      </c>
      <c r="BU101">
        <f t="shared" si="39"/>
        <v>1.0857123996732265</v>
      </c>
      <c r="BV101">
        <f t="shared" si="40"/>
        <v>170.21639123785681</v>
      </c>
      <c r="BW101" s="207">
        <f t="shared" si="41"/>
        <v>98.258744554875761</v>
      </c>
      <c r="BX101">
        <f t="shared" si="42"/>
        <v>1.460617254438775</v>
      </c>
      <c r="BY101" s="575">
        <f t="shared" si="43"/>
        <v>-51.176861654904783</v>
      </c>
      <c r="BZ101">
        <f t="shared" si="44"/>
        <v>187.27534512282506</v>
      </c>
      <c r="CA101" s="207">
        <f t="shared" si="45"/>
        <v>88.411329861338828</v>
      </c>
      <c r="CB101">
        <f t="shared" si="46"/>
        <v>1.5053873757148368</v>
      </c>
      <c r="CC101">
        <f t="shared" si="47"/>
        <v>159.76493498159127</v>
      </c>
      <c r="CD101">
        <f t="shared" si="48"/>
        <v>134.02036679562798</v>
      </c>
      <c r="CE101" s="207">
        <f t="shared" si="49"/>
        <v>119.15318306168865</v>
      </c>
      <c r="CF101">
        <f t="shared" si="50"/>
        <v>1.3656231290711101</v>
      </c>
      <c r="CG101">
        <f t="shared" si="51"/>
        <v>-17.916249606239422</v>
      </c>
      <c r="CH101">
        <f t="shared" si="52"/>
        <v>139.99244999770778</v>
      </c>
      <c r="CI101" s="207">
        <f t="shared" ref="CI101" si="239" xml:space="preserve"> ($BQ$38-CH101*($BP101+$BR101+$BQ101+$BN101))/($BP101+$BR101+$BQ101+$BO101)</f>
        <v>115.70575127473677</v>
      </c>
      <c r="CJ101">
        <f t="shared" si="54"/>
        <v>1.381296475222977</v>
      </c>
      <c r="CK101">
        <f t="shared" si="55"/>
        <v>0.52698939308325166</v>
      </c>
      <c r="CL101">
        <f t="shared" si="56"/>
        <v>139.81678686668002</v>
      </c>
      <c r="CM101" s="207">
        <f t="shared" ref="CM101" si="240" xml:space="preserve"> ($BQ$38-CL101*($BP101+$BR101+$BQ101+$BN101))/($BP101+$BR101+$BQ101+$BO101)</f>
        <v>115.80715419248074</v>
      </c>
      <c r="CN101">
        <f t="shared" si="58"/>
        <v>1.3808354586956522</v>
      </c>
      <c r="CO101">
        <f t="shared" si="59"/>
        <v>-2.084538124256774E-2</v>
      </c>
      <c r="CP101">
        <f t="shared" si="60"/>
        <v>139.8237353270942</v>
      </c>
      <c r="CQ101" s="207">
        <f t="shared" ref="CQ101" si="241" xml:space="preserve"> ($BQ$38-CP101*($BP101+$BR101+$BQ101+$BN101))/($BP101+$BR101+$BQ101+$BO101)</f>
        <v>115.80314313930353</v>
      </c>
      <c r="CR101">
        <f t="shared" si="62"/>
        <v>1.3808536944806553</v>
      </c>
      <c r="CS101">
        <f t="shared" si="63"/>
        <v>8.1839825773855068E-4</v>
      </c>
      <c r="CT101">
        <f t="shared" si="64"/>
        <v>139.82346252767496</v>
      </c>
      <c r="CU101" s="636">
        <f t="shared" si="65"/>
        <v>115.80330061490417</v>
      </c>
      <c r="CV101" s="575">
        <f t="shared" si="66"/>
        <v>1.3808529785362214</v>
      </c>
      <c r="CW101">
        <f t="shared" si="67"/>
        <v>-3.2140211638775895E-5</v>
      </c>
      <c r="CX101" s="576">
        <f t="shared" si="68"/>
        <v>0.33921055339570277</v>
      </c>
    </row>
    <row r="102" spans="1:102" x14ac:dyDescent="0.25">
      <c r="A102" s="186">
        <v>58</v>
      </c>
      <c r="B102" s="187">
        <f>A102/100*'Inputs-Imperial'!$E$5</f>
        <v>13.967192047999998</v>
      </c>
      <c r="C102" s="188">
        <f>'Inputs-Imperial'!$E$10+('Inputs-Imperial'!$E$9-'Inputs-Imperial'!$E$10)*(100-A102)/100</f>
        <v>4.0529856940000002</v>
      </c>
      <c r="D102" s="187">
        <f t="shared" si="69"/>
        <v>0.24081365600000026</v>
      </c>
      <c r="E102" s="188">
        <f t="shared" si="70"/>
        <v>0.9781573704791855</v>
      </c>
      <c r="F102" s="423">
        <f>Sizing!F118</f>
        <v>326.86216350946569</v>
      </c>
      <c r="G102" s="423">
        <f>Sizing!G118</f>
        <v>3268.6216350946565</v>
      </c>
      <c r="H102" s="423">
        <f>Sizing!H118</f>
        <v>15233.775977850451</v>
      </c>
      <c r="I102" s="423">
        <f>Sizing!I118</f>
        <v>-6196.6400079107225</v>
      </c>
      <c r="J102" s="189">
        <f>Sizing!J118</f>
        <v>1523.3775977850455</v>
      </c>
      <c r="K102" s="128">
        <v>58</v>
      </c>
      <c r="L102" s="12">
        <f t="shared" si="11"/>
        <v>167.60630457599996</v>
      </c>
      <c r="M102" s="11">
        <f t="shared" si="11"/>
        <v>48.635828328000002</v>
      </c>
      <c r="N102" s="11">
        <f t="shared" si="11"/>
        <v>2.8897638720000032</v>
      </c>
      <c r="O102" s="152">
        <f t="shared" si="71"/>
        <v>140.8546613490027</v>
      </c>
      <c r="P102" s="170">
        <f t="shared" si="162"/>
        <v>8.7544490990400003</v>
      </c>
      <c r="Q102" s="8">
        <f t="shared" si="163"/>
        <v>4.3772245495200002</v>
      </c>
      <c r="R102" s="170">
        <f>Sizing!X118</f>
        <v>12.158957082000001</v>
      </c>
      <c r="S102" s="8">
        <f>Sizing!Y118</f>
        <v>36.476871246000002</v>
      </c>
      <c r="T102" s="8">
        <f>Sizing!Z118</f>
        <v>24.317914164000001</v>
      </c>
      <c r="U102" s="17">
        <f>Sizing!CN118</f>
        <v>1.5</v>
      </c>
      <c r="V102" s="17">
        <f>Sizing!CO118</f>
        <v>2.3622047244094495E-2</v>
      </c>
      <c r="W102" s="17">
        <f>Sizing!CP118</f>
        <v>1.5748031496062995E-2</v>
      </c>
      <c r="X102" s="170">
        <f>Sizing!DU118</f>
        <v>0.85358264160295871</v>
      </c>
      <c r="Y102" s="170">
        <f>Sizing!DV118</f>
        <v>0.92389536290802909</v>
      </c>
      <c r="Z102" s="170">
        <f>Sizing!DW118</f>
        <v>0.85358264160295871</v>
      </c>
      <c r="AA102" s="272">
        <f>Sizing!DX118</f>
        <v>0.92389536290802909</v>
      </c>
      <c r="AB102" s="272">
        <f t="shared" si="12"/>
        <v>4.7518135786516567</v>
      </c>
      <c r="AC102" s="216">
        <f>Sizing!GJ118</f>
        <v>0.5</v>
      </c>
      <c r="AD102" s="216">
        <f>Sizing!GK118</f>
        <v>3.1496062992125991E-2</v>
      </c>
      <c r="AE102" s="17">
        <f>Sizing!GL118</f>
        <v>3.1496062992125991E-2</v>
      </c>
      <c r="AF102" s="170">
        <f>Sizing!JC118</f>
        <v>1.3798052057434758E-2</v>
      </c>
      <c r="AG102" s="272">
        <f>Sizing!JD118</f>
        <v>0.11746510995795627</v>
      </c>
      <c r="AH102" s="170">
        <f>Sizing!JC118</f>
        <v>1.3798052057434758E-2</v>
      </c>
      <c r="AI102" s="272">
        <f>Sizing!JD118</f>
        <v>0.11746510995795627</v>
      </c>
      <c r="AJ102" s="216">
        <f>Sizing!IT118</f>
        <v>0.25</v>
      </c>
      <c r="AK102" s="216">
        <f>Sizing!IU118</f>
        <v>1.5748031496062995E-2</v>
      </c>
      <c r="AL102" s="17">
        <f>Sizing!IV118</f>
        <v>1.5748031496062995E-2</v>
      </c>
      <c r="AM102" s="170">
        <f t="shared" si="13"/>
        <v>0</v>
      </c>
      <c r="AN102" s="11">
        <f t="shared" si="14"/>
        <v>4.8184168828979859</v>
      </c>
      <c r="AO102" s="11">
        <f t="shared" si="15"/>
        <v>4.8184168828979859</v>
      </c>
      <c r="AP102" s="11">
        <f t="shared" si="16"/>
        <v>9.6368337657959717</v>
      </c>
      <c r="AQ102" s="555">
        <f t="shared" si="17"/>
        <v>153747780.52958676</v>
      </c>
      <c r="AR102" s="311">
        <f t="shared" si="18"/>
        <v>12.545799731387442</v>
      </c>
      <c r="AS102" s="11">
        <f t="shared" si="19"/>
        <v>0.25547256497717802</v>
      </c>
      <c r="AT102" s="11">
        <f t="shared" si="20"/>
        <v>15.804183515368122</v>
      </c>
      <c r="AU102" s="11">
        <f t="shared" si="21"/>
        <v>16.059656080345299</v>
      </c>
      <c r="AV102" s="555">
        <f t="shared" si="22"/>
        <v>256218643.84392336</v>
      </c>
      <c r="AW102" s="138">
        <f t="shared" si="23"/>
        <v>3.9370078740157494E-2</v>
      </c>
      <c r="AX102" s="138">
        <f t="shared" si="24"/>
        <v>6.2992125984251982E-2</v>
      </c>
      <c r="AY102" s="554">
        <f t="shared" si="25"/>
        <v>3.1496062992125991E-2</v>
      </c>
      <c r="AZ102" s="12">
        <f t="shared" si="26"/>
        <v>1003.2202155070995</v>
      </c>
      <c r="BA102" s="11">
        <f t="shared" si="27"/>
        <v>155.77215950767481</v>
      </c>
      <c r="BB102">
        <f t="shared" si="28"/>
        <v>1017.4872686083913</v>
      </c>
      <c r="BC102" s="555">
        <f t="shared" si="29"/>
        <v>3836932280.0750208</v>
      </c>
      <c r="BD102">
        <f t="shared" si="30"/>
        <v>58</v>
      </c>
      <c r="BE102" s="207">
        <f t="shared" si="31"/>
        <v>4.0529856940000002</v>
      </c>
      <c r="BF102" s="207">
        <f>'Inputs-Imperial'!$E$15*BE102</f>
        <v>3.0397392705000001</v>
      </c>
      <c r="BG102" s="207">
        <f>'Inputs-Imperial'!$E$12*BE102</f>
        <v>1.0132464235</v>
      </c>
      <c r="BH102">
        <f>'Inputs-Imperial'!$E$11*BE102</f>
        <v>0.72953742491999996</v>
      </c>
      <c r="BI102">
        <f t="shared" si="32"/>
        <v>0.77379129043545558</v>
      </c>
      <c r="BJ102">
        <f>'Weight '!U104+'Weight '!V104 /12</f>
        <v>2.4934383202099744E-2</v>
      </c>
      <c r="BK102">
        <f>('Weight '!AK104+'Weight '!AL104)/12</f>
        <v>5.2493438320209982E-3</v>
      </c>
      <c r="BL102">
        <f>'Weight '!AG104/12</f>
        <v>7.6991280242335758E-2</v>
      </c>
      <c r="BM102">
        <f>'Weight '!AI104/12</f>
        <v>7.6991280242335758E-2</v>
      </c>
      <c r="BN102" s="554">
        <f t="shared" si="33"/>
        <v>2.1922870125108549</v>
      </c>
      <c r="BO102" s="554">
        <f t="shared" si="34"/>
        <v>4.3395891911732214</v>
      </c>
      <c r="BP102">
        <f t="shared" si="35"/>
        <v>7.6991280242335758E-2</v>
      </c>
      <c r="BQ102">
        <f t="shared" si="35"/>
        <v>7.6991280242335758E-2</v>
      </c>
      <c r="BR102">
        <f t="shared" si="36"/>
        <v>0.57555486443532833</v>
      </c>
      <c r="BS102">
        <f t="shared" si="37"/>
        <v>0.55440088995719228</v>
      </c>
      <c r="BT102">
        <f t="shared" si="38"/>
        <v>1.2929528012107756</v>
      </c>
      <c r="BU102">
        <f t="shared" si="39"/>
        <v>1.0668484692179434</v>
      </c>
      <c r="BV102">
        <f t="shared" si="40"/>
        <v>171.12595595909499</v>
      </c>
      <c r="BW102" s="207">
        <f t="shared" si="41"/>
        <v>98.636320981335089</v>
      </c>
      <c r="BX102">
        <f t="shared" si="42"/>
        <v>1.4545501847791105</v>
      </c>
      <c r="BY102" s="575">
        <f t="shared" si="43"/>
        <v>-50.976323873511959</v>
      </c>
      <c r="BZ102">
        <f t="shared" si="44"/>
        <v>188.11806391693233</v>
      </c>
      <c r="CA102" s="207">
        <f t="shared" si="45"/>
        <v>88.842137478983332</v>
      </c>
      <c r="CB102">
        <f t="shared" si="46"/>
        <v>1.4987178983171339</v>
      </c>
      <c r="CC102">
        <f t="shared" si="47"/>
        <v>159.69358140425277</v>
      </c>
      <c r="CD102">
        <f t="shared" si="48"/>
        <v>134.88687011551474</v>
      </c>
      <c r="CE102" s="207">
        <f t="shared" si="49"/>
        <v>119.5243860519078</v>
      </c>
      <c r="CF102">
        <f t="shared" si="50"/>
        <v>1.3603536574035386</v>
      </c>
      <c r="CG102">
        <f t="shared" si="51"/>
        <v>-17.089918581040788</v>
      </c>
      <c r="CH102">
        <f t="shared" si="52"/>
        <v>140.58350964252833</v>
      </c>
      <c r="CI102" s="207">
        <f t="shared" ref="CI102" si="242" xml:space="preserve"> ($BQ$38-CH102*($BP102+$BR102+$BQ102+$BN102))/($BP102+$BR102+$BQ102+$BO102)</f>
        <v>116.24086566628155</v>
      </c>
      <c r="CJ102">
        <f t="shared" si="54"/>
        <v>1.3751609752114782</v>
      </c>
      <c r="CK102">
        <f t="shared" si="55"/>
        <v>0.42119230467730162</v>
      </c>
      <c r="CL102">
        <f t="shared" si="56"/>
        <v>140.44311220763589</v>
      </c>
      <c r="CM102" s="207">
        <f t="shared" ref="CM102" si="243" xml:space="preserve"> ($BQ$38-CL102*($BP102+$BR102+$BQ102+$BN102))/($BP102+$BR102+$BQ102+$BO102)</f>
        <v>116.32179018983142</v>
      </c>
      <c r="CN102">
        <f t="shared" si="58"/>
        <v>1.3747960391069531</v>
      </c>
      <c r="CO102">
        <f t="shared" si="59"/>
        <v>-1.4435908579411461E-2</v>
      </c>
      <c r="CP102">
        <f t="shared" si="60"/>
        <v>140.44792417716235</v>
      </c>
      <c r="CQ102" s="207">
        <f t="shared" ref="CQ102" si="244" xml:space="preserve"> ($BQ$38-CP102*($BP102+$BR102+$BQ102+$BN102))/($BP102+$BR102+$BQ102+$BO102)</f>
        <v>116.31901658971854</v>
      </c>
      <c r="CR102">
        <f t="shared" si="62"/>
        <v>1.3748085468953997</v>
      </c>
      <c r="CS102">
        <f t="shared" si="63"/>
        <v>4.9138333195664075E-4</v>
      </c>
      <c r="CT102">
        <f t="shared" si="64"/>
        <v>140.44776038271837</v>
      </c>
      <c r="CU102" s="636">
        <f t="shared" si="65"/>
        <v>116.31911100018515</v>
      </c>
      <c r="CV102" s="575">
        <f t="shared" si="66"/>
        <v>1.3748081211432741</v>
      </c>
      <c r="CW102">
        <f t="shared" si="67"/>
        <v>-1.6730136087161895E-5</v>
      </c>
      <c r="CX102" s="576">
        <f t="shared" si="68"/>
        <v>0.33920872782218958</v>
      </c>
    </row>
    <row r="103" spans="1:102" x14ac:dyDescent="0.25">
      <c r="A103" s="186">
        <v>59</v>
      </c>
      <c r="B103" s="187">
        <f>A103/100*'Inputs-Imperial'!$E$5</f>
        <v>14.208005703999998</v>
      </c>
      <c r="C103" s="188">
        <f>'Inputs-Imperial'!$E$10+('Inputs-Imperial'!$E$9-'Inputs-Imperial'!$E$10)*(100-A103)/100</f>
        <v>4.0351871370000003</v>
      </c>
      <c r="D103" s="187">
        <f t="shared" si="69"/>
        <v>0.24081365600000026</v>
      </c>
      <c r="E103" s="188">
        <f t="shared" si="70"/>
        <v>0.9738712348964913</v>
      </c>
      <c r="F103" s="423">
        <f>Sizing!F119</f>
        <v>317.16932893861832</v>
      </c>
      <c r="G103" s="423">
        <f>Sizing!G119</f>
        <v>3171.6932893861831</v>
      </c>
      <c r="H103" s="423">
        <f>Sizing!H119</f>
        <v>14446.647251822609</v>
      </c>
      <c r="I103" s="423">
        <f>Sizing!I119</f>
        <v>-5974.1187741590966</v>
      </c>
      <c r="J103" s="189">
        <f>Sizing!J119</f>
        <v>1444.6647251822612</v>
      </c>
      <c r="K103" s="128">
        <v>59</v>
      </c>
      <c r="L103" s="12">
        <f t="shared" si="11"/>
        <v>170.49606844799996</v>
      </c>
      <c r="M103" s="11">
        <f t="shared" si="11"/>
        <v>48.422245644</v>
      </c>
      <c r="N103" s="11">
        <f t="shared" si="11"/>
        <v>2.8897638720000032</v>
      </c>
      <c r="O103" s="152">
        <f t="shared" si="71"/>
        <v>140.23745782509474</v>
      </c>
      <c r="P103" s="170">
        <f t="shared" si="162"/>
        <v>8.71600421592</v>
      </c>
      <c r="Q103" s="8">
        <f t="shared" si="163"/>
        <v>4.35800210796</v>
      </c>
      <c r="R103" s="170">
        <f>Sizing!X119</f>
        <v>12.105561411</v>
      </c>
      <c r="S103" s="8">
        <f>Sizing!Y119</f>
        <v>36.316684233000004</v>
      </c>
      <c r="T103" s="8">
        <f>Sizing!Z119</f>
        <v>24.211122822000004</v>
      </c>
      <c r="U103" s="17">
        <f>Sizing!CN119</f>
        <v>1.5</v>
      </c>
      <c r="V103" s="17">
        <f>Sizing!CO119</f>
        <v>2.3622047244094495E-2</v>
      </c>
      <c r="W103" s="17">
        <f>Sizing!CP119</f>
        <v>1.5748031496062995E-2</v>
      </c>
      <c r="X103" s="170">
        <f>Sizing!DU119</f>
        <v>0.85358264160295871</v>
      </c>
      <c r="Y103" s="170">
        <f>Sizing!DV119</f>
        <v>0.92389536290802909</v>
      </c>
      <c r="Z103" s="170">
        <f>Sizing!DW119</f>
        <v>0.85358264160295871</v>
      </c>
      <c r="AA103" s="272">
        <f>Sizing!DX119</f>
        <v>0.92389536290802909</v>
      </c>
      <c r="AB103" s="272">
        <f t="shared" si="12"/>
        <v>4.7133686955316563</v>
      </c>
      <c r="AC103" s="216">
        <f>Sizing!GJ119</f>
        <v>0.5</v>
      </c>
      <c r="AD103" s="216">
        <f>Sizing!GK119</f>
        <v>3.1496062992125991E-2</v>
      </c>
      <c r="AE103" s="17">
        <f>Sizing!GL119</f>
        <v>3.1496062992125991E-2</v>
      </c>
      <c r="AF103" s="170">
        <f>Sizing!JC119</f>
        <v>1.3798052057434758E-2</v>
      </c>
      <c r="AG103" s="272">
        <f>Sizing!JD119</f>
        <v>0.11746510995795627</v>
      </c>
      <c r="AH103" s="170">
        <f>Sizing!JC119</f>
        <v>1.3798052057434758E-2</v>
      </c>
      <c r="AI103" s="272">
        <f>Sizing!JD119</f>
        <v>0.11746510995795627</v>
      </c>
      <c r="AJ103" s="216">
        <f>Sizing!IT119</f>
        <v>0.25</v>
      </c>
      <c r="AK103" s="216">
        <f>Sizing!IU119</f>
        <v>1.5748031496062995E-2</v>
      </c>
      <c r="AL103" s="17">
        <f>Sizing!IV119</f>
        <v>1.5748031496062995E-2</v>
      </c>
      <c r="AM103" s="170">
        <f t="shared" si="13"/>
        <v>0</v>
      </c>
      <c r="AN103" s="11">
        <f t="shared" si="14"/>
        <v>4.7407647999056097</v>
      </c>
      <c r="AO103" s="11">
        <f t="shared" si="15"/>
        <v>4.7407647999056097</v>
      </c>
      <c r="AP103" s="11">
        <f t="shared" si="16"/>
        <v>9.4815295998112195</v>
      </c>
      <c r="AQ103" s="555">
        <f t="shared" si="17"/>
        <v>151270029.91071618</v>
      </c>
      <c r="AR103" s="311">
        <f t="shared" si="18"/>
        <v>12.490705253269677</v>
      </c>
      <c r="AS103" s="11">
        <f t="shared" si="19"/>
        <v>0.25323369257283768</v>
      </c>
      <c r="AT103" s="11">
        <f t="shared" si="20"/>
        <v>15.665681166402395</v>
      </c>
      <c r="AU103" s="11">
        <f t="shared" si="21"/>
        <v>15.918914858975233</v>
      </c>
      <c r="AV103" s="555">
        <f t="shared" si="22"/>
        <v>253973233.06476548</v>
      </c>
      <c r="AW103" s="138">
        <f t="shared" si="23"/>
        <v>3.9370078740157494E-2</v>
      </c>
      <c r="AX103" s="138">
        <f t="shared" si="24"/>
        <v>6.2992125984251982E-2</v>
      </c>
      <c r="AY103" s="554">
        <f t="shared" si="25"/>
        <v>3.1496062992125991E-2</v>
      </c>
      <c r="AZ103" s="12">
        <f t="shared" si="26"/>
        <v>994.42834364339149</v>
      </c>
      <c r="BA103" s="11">
        <f t="shared" si="27"/>
        <v>155.0880910531242</v>
      </c>
      <c r="BB103">
        <f t="shared" si="28"/>
        <v>1004.1412607803425</v>
      </c>
      <c r="BC103" s="555">
        <f t="shared" si="29"/>
        <v>3786604644.7075424</v>
      </c>
      <c r="BD103">
        <f t="shared" si="30"/>
        <v>59</v>
      </c>
      <c r="BE103" s="207">
        <f t="shared" si="31"/>
        <v>4.0351871370000003</v>
      </c>
      <c r="BF103" s="207">
        <f>'Inputs-Imperial'!$E$15*BE103</f>
        <v>3.02639035275</v>
      </c>
      <c r="BG103" s="207">
        <f>'Inputs-Imperial'!$E$12*BE103</f>
        <v>1.0087967842500001</v>
      </c>
      <c r="BH103">
        <f>'Inputs-Imperial'!$E$11*BE103</f>
        <v>0.72633368466000003</v>
      </c>
      <c r="BI103">
        <f t="shared" si="32"/>
        <v>0.77039321074094624</v>
      </c>
      <c r="BJ103">
        <f>'Weight '!U105+'Weight '!V105 /12</f>
        <v>2.4934383202099744E-2</v>
      </c>
      <c r="BK103">
        <f>('Weight '!AK105+'Weight '!AL105)/12</f>
        <v>5.2493438320209982E-3</v>
      </c>
      <c r="BL103">
        <f>'Weight '!AG105/12</f>
        <v>7.6991280242335758E-2</v>
      </c>
      <c r="BM103">
        <f>'Weight '!AI105/12</f>
        <v>7.6991280242335758E-2</v>
      </c>
      <c r="BN103" s="554">
        <f t="shared" si="33"/>
        <v>2.1798761297009119</v>
      </c>
      <c r="BO103" s="554">
        <f t="shared" si="34"/>
        <v>4.3233155486219417</v>
      </c>
      <c r="BP103">
        <f t="shared" si="35"/>
        <v>7.6991280242335758E-2</v>
      </c>
      <c r="BQ103">
        <f t="shared" si="35"/>
        <v>7.6991280242335758E-2</v>
      </c>
      <c r="BR103">
        <f t="shared" si="36"/>
        <v>0.57235112417532852</v>
      </c>
      <c r="BS103">
        <f t="shared" si="37"/>
        <v>0.54954231403309617</v>
      </c>
      <c r="BT103">
        <f t="shared" si="38"/>
        <v>1.2816218140771862</v>
      </c>
      <c r="BU103">
        <f t="shared" si="39"/>
        <v>1.0482314295167934</v>
      </c>
      <c r="BV103">
        <f t="shared" si="40"/>
        <v>172.0453896787738</v>
      </c>
      <c r="BW103" s="207">
        <f t="shared" si="41"/>
        <v>99.016778572366832</v>
      </c>
      <c r="BX103">
        <f t="shared" si="42"/>
        <v>1.4484834927446066</v>
      </c>
      <c r="BY103" s="575">
        <f t="shared" si="43"/>
        <v>-50.773789115673139</v>
      </c>
      <c r="BZ103">
        <f t="shared" si="44"/>
        <v>188.96998605066486</v>
      </c>
      <c r="CA103" s="207">
        <f t="shared" si="45"/>
        <v>89.276215256423612</v>
      </c>
      <c r="CB103">
        <f t="shared" si="46"/>
        <v>1.4920524933074026</v>
      </c>
      <c r="CC103">
        <f t="shared" si="47"/>
        <v>159.62726059626357</v>
      </c>
      <c r="CD103">
        <f t="shared" si="48"/>
        <v>135.76089918524366</v>
      </c>
      <c r="CE103" s="207">
        <f t="shared" si="49"/>
        <v>119.8994849762821</v>
      </c>
      <c r="CF103">
        <f t="shared" si="50"/>
        <v>1.3550763028774995</v>
      </c>
      <c r="CG103">
        <f t="shared" si="51"/>
        <v>-16.264481475594131</v>
      </c>
      <c r="CH103">
        <f t="shared" si="52"/>
        <v>141.1823930104417</v>
      </c>
      <c r="CI103" s="207">
        <f t="shared" ref="CI103" si="245" xml:space="preserve"> ($BQ$38-CH103*($BP103+$BR103+$BQ103+$BN103))/($BP103+$BR103+$BQ103+$BO103)</f>
        <v>116.77926853442693</v>
      </c>
      <c r="CJ103">
        <f t="shared" si="54"/>
        <v>1.369032858314978</v>
      </c>
      <c r="CK103">
        <f t="shared" si="55"/>
        <v>0.32329373713429277</v>
      </c>
      <c r="CL103">
        <f t="shared" si="56"/>
        <v>141.07462843139695</v>
      </c>
      <c r="CM103" s="207">
        <f t="shared" ref="CM103" si="246" xml:space="preserve"> ($BQ$38-CL103*($BP103+$BR103+$BQ103+$BN103))/($BP103+$BR103+$BQ103+$BO103)</f>
        <v>116.84128996656843</v>
      </c>
      <c r="CN103">
        <f t="shared" si="58"/>
        <v>1.3687554398819541</v>
      </c>
      <c r="CO103">
        <f t="shared" si="59"/>
        <v>-9.374454702603785E-3</v>
      </c>
      <c r="CP103">
        <f t="shared" si="60"/>
        <v>141.07775324963114</v>
      </c>
      <c r="CQ103" s="207">
        <f t="shared" ref="CQ103" si="247" xml:space="preserve"> ($BQ$38-CP103*($BP103+$BR103+$BQ103+$BN103))/($BP103+$BR103+$BQ103+$BO103)</f>
        <v>116.83949154909409</v>
      </c>
      <c r="CR103">
        <f t="shared" si="62"/>
        <v>1.3687634841037728</v>
      </c>
      <c r="CS103">
        <f t="shared" si="63"/>
        <v>2.7014485248955111E-4</v>
      </c>
      <c r="CT103">
        <f t="shared" si="64"/>
        <v>141.07766320134698</v>
      </c>
      <c r="CU103" s="636">
        <f t="shared" si="65"/>
        <v>116.83954337431901</v>
      </c>
      <c r="CV103" s="575">
        <f t="shared" si="66"/>
        <v>1.3687632522924105</v>
      </c>
      <c r="CW103">
        <f t="shared" si="67"/>
        <v>-7.7862055167798871E-6</v>
      </c>
      <c r="CX103" s="576">
        <f t="shared" si="68"/>
        <v>0.33920688330455745</v>
      </c>
    </row>
    <row r="104" spans="1:102" x14ac:dyDescent="0.25">
      <c r="A104" s="186">
        <v>60</v>
      </c>
      <c r="B104" s="187">
        <f>A104/100*'Inputs-Imperial'!$E$5</f>
        <v>14.448819359999998</v>
      </c>
      <c r="C104" s="188">
        <f>'Inputs-Imperial'!$E$10+('Inputs-Imperial'!$E$9-'Inputs-Imperial'!$E$10)*(100-A104)/100</f>
        <v>4.0173885800000004</v>
      </c>
      <c r="D104" s="187">
        <f t="shared" si="69"/>
        <v>0.24081365600000026</v>
      </c>
      <c r="E104" s="188">
        <f t="shared" si="70"/>
        <v>0.96958509931379677</v>
      </c>
      <c r="F104" s="423">
        <f>Sizing!F120</f>
        <v>307.54226498016192</v>
      </c>
      <c r="G104" s="423">
        <f>Sizing!G120</f>
        <v>3075.4226498016187</v>
      </c>
      <c r="H104" s="423">
        <f>Sizing!H120</f>
        <v>13682.860195094856</v>
      </c>
      <c r="I104" s="423">
        <f>Sizing!I120</f>
        <v>-5754.625620691304</v>
      </c>
      <c r="J104" s="189">
        <f>Sizing!J120</f>
        <v>1368.2860195094859</v>
      </c>
      <c r="K104" s="128">
        <v>60</v>
      </c>
      <c r="L104" s="12">
        <f t="shared" si="11"/>
        <v>173.38583231999996</v>
      </c>
      <c r="M104" s="11">
        <f t="shared" si="11"/>
        <v>48.208662960000005</v>
      </c>
      <c r="N104" s="11">
        <f t="shared" si="11"/>
        <v>2.8897638720000032</v>
      </c>
      <c r="O104" s="152">
        <f t="shared" si="71"/>
        <v>139.62025430118675</v>
      </c>
      <c r="P104" s="170">
        <f t="shared" si="162"/>
        <v>8.6775593328000014</v>
      </c>
      <c r="Q104" s="8">
        <f t="shared" si="163"/>
        <v>4.3387796664000007</v>
      </c>
      <c r="R104" s="170">
        <f>Sizing!X120</f>
        <v>12.052165740000001</v>
      </c>
      <c r="S104" s="8">
        <f>Sizing!Y120</f>
        <v>36.156497220000006</v>
      </c>
      <c r="T104" s="8">
        <f>Sizing!Z120</f>
        <v>24.104331480000006</v>
      </c>
      <c r="U104" s="17">
        <f>Sizing!CN120</f>
        <v>1.5</v>
      </c>
      <c r="V104" s="17">
        <f>Sizing!CO120</f>
        <v>2.3622047244094495E-2</v>
      </c>
      <c r="W104" s="17">
        <f>Sizing!CP120</f>
        <v>1.5748031496062995E-2</v>
      </c>
      <c r="X104" s="170">
        <f>Sizing!DU120</f>
        <v>0.53422373583376614</v>
      </c>
      <c r="Y104" s="170">
        <f>Sizing!DV120</f>
        <v>0.73090610603125084</v>
      </c>
      <c r="Z104" s="170">
        <f>Sizing!DW120</f>
        <v>0.53422373583376614</v>
      </c>
      <c r="AA104" s="272">
        <f>Sizing!DX120</f>
        <v>0.73090610603125084</v>
      </c>
      <c r="AB104" s="272">
        <f t="shared" si="12"/>
        <v>4.867913069288436</v>
      </c>
      <c r="AC104" s="216">
        <f>Sizing!GJ120</f>
        <v>0.5</v>
      </c>
      <c r="AD104" s="216">
        <f>Sizing!GK120</f>
        <v>3.1496062992125991E-2</v>
      </c>
      <c r="AE104" s="17">
        <f>Sizing!GL120</f>
        <v>3.1496062992125991E-2</v>
      </c>
      <c r="AF104" s="170">
        <f>Sizing!JC120</f>
        <v>8.8060777215215446E-3</v>
      </c>
      <c r="AG104" s="272">
        <f>Sizing!JD120</f>
        <v>9.3840703969660974E-2</v>
      </c>
      <c r="AH104" s="170">
        <f>Sizing!JC120</f>
        <v>8.8060777215215446E-3</v>
      </c>
      <c r="AI104" s="272">
        <f>Sizing!JD120</f>
        <v>9.3840703969660974E-2</v>
      </c>
      <c r="AJ104" s="216">
        <f>Sizing!IT120</f>
        <v>0.25</v>
      </c>
      <c r="AK104" s="216">
        <f>Sizing!IU120</f>
        <v>1.5748031496062995E-2</v>
      </c>
      <c r="AL104" s="17">
        <f>Sizing!IV120</f>
        <v>1.5748031496062995E-2</v>
      </c>
      <c r="AM104" s="170">
        <f t="shared" si="13"/>
        <v>0</v>
      </c>
      <c r="AN104" s="11">
        <f t="shared" si="14"/>
        <v>3.1648185596844032</v>
      </c>
      <c r="AO104" s="11">
        <f t="shared" si="15"/>
        <v>3.1648185596844032</v>
      </c>
      <c r="AP104" s="11">
        <f t="shared" si="16"/>
        <v>6.3296371193688064</v>
      </c>
      <c r="AQ104" s="555">
        <f t="shared" si="17"/>
        <v>100984169.93709143</v>
      </c>
      <c r="AR104" s="311">
        <f t="shared" si="18"/>
        <v>12.44305517394926</v>
      </c>
      <c r="AS104" s="11">
        <f t="shared" si="19"/>
        <v>0.16325295017603461</v>
      </c>
      <c r="AT104" s="11">
        <f t="shared" si="20"/>
        <v>9.9037964104927845</v>
      </c>
      <c r="AU104" s="11">
        <f t="shared" si="21"/>
        <v>10.067049360668818</v>
      </c>
      <c r="AV104" s="555">
        <f t="shared" si="22"/>
        <v>160611517.56899524</v>
      </c>
      <c r="AW104" s="138">
        <f t="shared" si="23"/>
        <v>3.9370078740157494E-2</v>
      </c>
      <c r="AX104" s="138">
        <f t="shared" si="24"/>
        <v>6.2992125984251982E-2</v>
      </c>
      <c r="AY104" s="554">
        <f t="shared" si="25"/>
        <v>3.1496062992125991E-2</v>
      </c>
      <c r="AZ104" s="12">
        <f t="shared" si="26"/>
        <v>985.67516596581754</v>
      </c>
      <c r="BA104" s="11">
        <f t="shared" si="27"/>
        <v>154.40402259857353</v>
      </c>
      <c r="BB104">
        <f t="shared" si="28"/>
        <v>990.91246932820843</v>
      </c>
      <c r="BC104" s="555">
        <f t="shared" si="29"/>
        <v>3736719030.8870425</v>
      </c>
      <c r="BD104">
        <f t="shared" si="30"/>
        <v>60</v>
      </c>
      <c r="BE104" s="207">
        <f t="shared" si="31"/>
        <v>4.0173885800000004</v>
      </c>
      <c r="BF104" s="207">
        <f>'Inputs-Imperial'!$E$15*BE104</f>
        <v>3.0130414350000003</v>
      </c>
      <c r="BG104" s="207">
        <f>'Inputs-Imperial'!$E$12*BE104</f>
        <v>1.0043471450000001</v>
      </c>
      <c r="BH104">
        <f>'Inputs-Imperial'!$E$11*BE104</f>
        <v>0.7231299444</v>
      </c>
      <c r="BI104">
        <f t="shared" si="32"/>
        <v>0.76699513104643657</v>
      </c>
      <c r="BJ104">
        <f>'Weight '!U106+'Weight '!V106 /12</f>
        <v>2.4934383202099744E-2</v>
      </c>
      <c r="BK104">
        <f>('Weight '!AK106+'Weight '!AL106)/12</f>
        <v>5.2493438320209982E-3</v>
      </c>
      <c r="BL104">
        <f>'Weight '!AG106/12</f>
        <v>6.0908842169270901E-2</v>
      </c>
      <c r="BM104">
        <f>'Weight '!AI106/12</f>
        <v>6.0908842169270901E-2</v>
      </c>
      <c r="BN104" s="554">
        <f t="shared" si="33"/>
        <v>2.1674636750844511</v>
      </c>
      <c r="BO104" s="554">
        <f t="shared" si="34"/>
        <v>4.3070434778771807</v>
      </c>
      <c r="BP104">
        <f t="shared" si="35"/>
        <v>6.0908842169270901E-2</v>
      </c>
      <c r="BQ104">
        <f t="shared" si="35"/>
        <v>6.0908842169270901E-2</v>
      </c>
      <c r="BR104">
        <f t="shared" si="36"/>
        <v>0.6013122600614581</v>
      </c>
      <c r="BS104">
        <f t="shared" si="37"/>
        <v>0.54470512134161153</v>
      </c>
      <c r="BT104">
        <f t="shared" si="38"/>
        <v>1.2703406961104848</v>
      </c>
      <c r="BU104">
        <f t="shared" si="39"/>
        <v>1.0298591169123219</v>
      </c>
      <c r="BV104">
        <f t="shared" si="40"/>
        <v>172.97485078140349</v>
      </c>
      <c r="BW104" s="207">
        <f t="shared" si="41"/>
        <v>99.40015145116962</v>
      </c>
      <c r="BX104">
        <f t="shared" si="42"/>
        <v>1.4424171764919305</v>
      </c>
      <c r="BY104" s="575">
        <f t="shared" si="43"/>
        <v>-50.569232178180627</v>
      </c>
      <c r="BZ104">
        <f t="shared" si="44"/>
        <v>189.83126150746369</v>
      </c>
      <c r="CA104" s="207">
        <f t="shared" si="45"/>
        <v>89.713600073761882</v>
      </c>
      <c r="CB104">
        <f t="shared" si="46"/>
        <v>1.4853911638311479</v>
      </c>
      <c r="CC104">
        <f t="shared" si="47"/>
        <v>159.56604605226264</v>
      </c>
      <c r="CD104">
        <f t="shared" si="48"/>
        <v>136.64257949004281</v>
      </c>
      <c r="CE104" s="207">
        <f t="shared" si="49"/>
        <v>120.27852337987373</v>
      </c>
      <c r="CF104">
        <f t="shared" si="50"/>
        <v>1.3497911369480493</v>
      </c>
      <c r="CG104">
        <f t="shared" si="51"/>
        <v>-15.439879946575173</v>
      </c>
      <c r="CH104">
        <f t="shared" si="52"/>
        <v>141.78920613890119</v>
      </c>
      <c r="CI104" s="207">
        <f t="shared" ref="CI104" si="248" xml:space="preserve"> ($BQ$38-CH104*($BP104+$BR104+$BQ104+$BN104))/($BP104+$BR104+$BQ104+$BO104)</f>
        <v>117.32100981042628</v>
      </c>
      <c r="CJ104">
        <f t="shared" si="54"/>
        <v>1.3629120244277182</v>
      </c>
      <c r="CK104">
        <f t="shared" si="55"/>
        <v>0.23328003894415872</v>
      </c>
      <c r="CL104">
        <f t="shared" si="56"/>
        <v>141.71144612591979</v>
      </c>
      <c r="CM104" s="207">
        <f t="shared" ref="CM104" si="249" xml:space="preserve"> ($BQ$38-CL104*($BP104+$BR104+$BQ104+$BN104))/($BP104+$BR104+$BQ104+$BO104)</f>
        <v>117.36569467086858</v>
      </c>
      <c r="CN104">
        <f t="shared" si="58"/>
        <v>1.3627137818796653</v>
      </c>
      <c r="CO104">
        <f t="shared" si="59"/>
        <v>-5.5343414555988346E-3</v>
      </c>
      <c r="CP104">
        <f t="shared" si="60"/>
        <v>141.71329090640498</v>
      </c>
      <c r="CQ104" s="207">
        <f t="shared" ref="CQ104" si="250" xml:space="preserve"> ($BQ$38-CP104*($BP104+$BR104+$BQ104+$BN104))/($BP104+$BR104+$BQ104+$BO104)</f>
        <v>117.36463456612623</v>
      </c>
      <c r="CR104">
        <f t="shared" si="62"/>
        <v>1.362718484990814</v>
      </c>
      <c r="CS104">
        <f t="shared" si="63"/>
        <v>1.3058277895261483E-4</v>
      </c>
      <c r="CT104">
        <f t="shared" si="64"/>
        <v>141.71324737881199</v>
      </c>
      <c r="CU104" s="636">
        <f t="shared" si="65"/>
        <v>117.36465957929614</v>
      </c>
      <c r="CV104" s="575">
        <f t="shared" si="66"/>
        <v>1.362718374020913</v>
      </c>
      <c r="CW104">
        <f t="shared" si="67"/>
        <v>-3.0815002638462374E-6</v>
      </c>
      <c r="CX104" s="576">
        <f t="shared" si="68"/>
        <v>0.33920502009813369</v>
      </c>
    </row>
    <row r="105" spans="1:102" x14ac:dyDescent="0.25">
      <c r="A105" s="186">
        <v>61</v>
      </c>
      <c r="B105" s="187">
        <f>A105/100*'Inputs-Imperial'!$E$5</f>
        <v>14.689633015999998</v>
      </c>
      <c r="C105" s="188">
        <f>'Inputs-Imperial'!$E$10+('Inputs-Imperial'!$E$9-'Inputs-Imperial'!$E$10)*(100-A105)/100</f>
        <v>3.9995900230000005</v>
      </c>
      <c r="D105" s="187">
        <f t="shared" si="69"/>
        <v>0.24081365600000026</v>
      </c>
      <c r="E105" s="188">
        <f t="shared" si="70"/>
        <v>0.96529896373110258</v>
      </c>
      <c r="F105" s="423">
        <f>Sizing!F121</f>
        <v>297.98216264181809</v>
      </c>
      <c r="G105" s="423">
        <f>Sizing!G121</f>
        <v>2979.8216264181801</v>
      </c>
      <c r="H105" s="423">
        <f>Sizing!H121</f>
        <v>12942.25642305092</v>
      </c>
      <c r="I105" s="423">
        <f>Sizing!I121</f>
        <v>-5538.1942032832612</v>
      </c>
      <c r="J105" s="189">
        <f>Sizing!J121</f>
        <v>1294.2256423050922</v>
      </c>
      <c r="K105" s="128">
        <v>61</v>
      </c>
      <c r="L105" s="12">
        <f t="shared" si="11"/>
        <v>176.27559619199997</v>
      </c>
      <c r="M105" s="11">
        <f t="shared" si="11"/>
        <v>47.99508027600001</v>
      </c>
      <c r="N105" s="11">
        <f t="shared" si="11"/>
        <v>2.8897638720000032</v>
      </c>
      <c r="O105" s="152">
        <f t="shared" si="71"/>
        <v>139.00305077727876</v>
      </c>
      <c r="P105" s="170">
        <f t="shared" si="162"/>
        <v>8.639114449680001</v>
      </c>
      <c r="Q105" s="8">
        <f t="shared" si="163"/>
        <v>4.3195572248400005</v>
      </c>
      <c r="R105" s="170">
        <f>Sizing!X121</f>
        <v>11.998770069000003</v>
      </c>
      <c r="S105" s="8">
        <f>Sizing!Y121</f>
        <v>35.996310207000008</v>
      </c>
      <c r="T105" s="8">
        <f>Sizing!Z121</f>
        <v>23.997540138000005</v>
      </c>
      <c r="U105" s="17">
        <f>Sizing!CN121</f>
        <v>1.5</v>
      </c>
      <c r="V105" s="17">
        <f>Sizing!CO121</f>
        <v>2.3622047244094495E-2</v>
      </c>
      <c r="W105" s="17">
        <f>Sizing!CP121</f>
        <v>1.5748031496062995E-2</v>
      </c>
      <c r="X105" s="170">
        <f>Sizing!DU121</f>
        <v>0.53422373583376614</v>
      </c>
      <c r="Y105" s="170">
        <f>Sizing!DV121</f>
        <v>0.73090610603125084</v>
      </c>
      <c r="Z105" s="170">
        <f>Sizing!DW121</f>
        <v>0.53422373583376614</v>
      </c>
      <c r="AA105" s="272">
        <f>Sizing!DX121</f>
        <v>0.73090610603125084</v>
      </c>
      <c r="AB105" s="272">
        <f t="shared" si="12"/>
        <v>4.8294681861684357</v>
      </c>
      <c r="AC105" s="216">
        <f>Sizing!GJ121</f>
        <v>0.5</v>
      </c>
      <c r="AD105" s="216">
        <f>Sizing!GK121</f>
        <v>3.1496062992125991E-2</v>
      </c>
      <c r="AE105" s="17">
        <f>Sizing!GL121</f>
        <v>3.1496062992125991E-2</v>
      </c>
      <c r="AF105" s="170">
        <f>Sizing!JC121</f>
        <v>8.8060777215215446E-3</v>
      </c>
      <c r="AG105" s="272">
        <f>Sizing!JD121</f>
        <v>9.3840703969660974E-2</v>
      </c>
      <c r="AH105" s="170">
        <f>Sizing!JC121</f>
        <v>8.8060777215215446E-3</v>
      </c>
      <c r="AI105" s="272">
        <f>Sizing!JD121</f>
        <v>9.3840703969660974E-2</v>
      </c>
      <c r="AJ105" s="216">
        <f>Sizing!IT121</f>
        <v>0.25</v>
      </c>
      <c r="AK105" s="216">
        <f>Sizing!IU121</f>
        <v>1.5748031496062995E-2</v>
      </c>
      <c r="AL105" s="17">
        <f>Sizing!IV121</f>
        <v>1.5748031496062995E-2</v>
      </c>
      <c r="AM105" s="170">
        <f t="shared" si="13"/>
        <v>0</v>
      </c>
      <c r="AN105" s="11">
        <f t="shared" si="14"/>
        <v>3.1150269457101132</v>
      </c>
      <c r="AO105" s="11">
        <f t="shared" si="15"/>
        <v>3.1150269457101132</v>
      </c>
      <c r="AP105" s="11">
        <f t="shared" si="16"/>
        <v>6.2300538914202264</v>
      </c>
      <c r="AQ105" s="555">
        <f t="shared" si="17"/>
        <v>99395401.193418741</v>
      </c>
      <c r="AR105" s="311">
        <f t="shared" si="18"/>
        <v>12.387927714317842</v>
      </c>
      <c r="AS105" s="11">
        <f t="shared" si="19"/>
        <v>0.16180960942001316</v>
      </c>
      <c r="AT105" s="11">
        <f t="shared" si="20"/>
        <v>9.8162356467626193</v>
      </c>
      <c r="AU105" s="11">
        <f t="shared" si="21"/>
        <v>9.9780452561826323</v>
      </c>
      <c r="AV105" s="555">
        <f t="shared" si="22"/>
        <v>159191530.06528383</v>
      </c>
      <c r="AW105" s="138">
        <f t="shared" si="23"/>
        <v>3.9370078740157494E-2</v>
      </c>
      <c r="AX105" s="138">
        <f t="shared" si="24"/>
        <v>6.2992125984251982E-2</v>
      </c>
      <c r="AY105" s="554">
        <f t="shared" si="25"/>
        <v>3.1496062992125991E-2</v>
      </c>
      <c r="AZ105" s="12">
        <f t="shared" si="26"/>
        <v>976.96068247437711</v>
      </c>
      <c r="BA105" s="11">
        <f t="shared" si="27"/>
        <v>153.71995414402286</v>
      </c>
      <c r="BB105">
        <f t="shared" si="28"/>
        <v>977.80037722953534</v>
      </c>
      <c r="BC105" s="555">
        <f t="shared" si="29"/>
        <v>3687273488.9280515</v>
      </c>
      <c r="BD105">
        <f t="shared" si="30"/>
        <v>61</v>
      </c>
      <c r="BE105" s="207">
        <f t="shared" si="31"/>
        <v>3.9995900230000005</v>
      </c>
      <c r="BF105" s="207">
        <f>'Inputs-Imperial'!$E$15*BE105</f>
        <v>2.9996925172500006</v>
      </c>
      <c r="BG105" s="207">
        <f>'Inputs-Imperial'!$E$12*BE105</f>
        <v>0.99989750575000014</v>
      </c>
      <c r="BH105">
        <f>'Inputs-Imperial'!$E$11*BE105</f>
        <v>0.71992620414000008</v>
      </c>
      <c r="BI105">
        <f t="shared" si="32"/>
        <v>0.76359705135192713</v>
      </c>
      <c r="BJ105">
        <f>'Weight '!U107+'Weight '!V107 /12</f>
        <v>2.4934383202099744E-2</v>
      </c>
      <c r="BK105">
        <f>('Weight '!AK107+'Weight '!AL107)/12</f>
        <v>5.2493438320209982E-3</v>
      </c>
      <c r="BL105">
        <f>'Weight '!AG107/12</f>
        <v>6.0908842169270901E-2</v>
      </c>
      <c r="BM105">
        <f>'Weight '!AI107/12</f>
        <v>6.0908842169270901E-2</v>
      </c>
      <c r="BN105" s="554">
        <f t="shared" si="33"/>
        <v>2.1550497020764992</v>
      </c>
      <c r="BO105" s="554">
        <f t="shared" si="34"/>
        <v>4.2907729255239113</v>
      </c>
      <c r="BP105">
        <f t="shared" si="35"/>
        <v>6.0908842169270901E-2</v>
      </c>
      <c r="BQ105">
        <f t="shared" si="35"/>
        <v>6.0908842169270901E-2</v>
      </c>
      <c r="BR105">
        <f t="shared" si="36"/>
        <v>0.59810851980145818</v>
      </c>
      <c r="BS105">
        <f t="shared" si="37"/>
        <v>0.53988931188273859</v>
      </c>
      <c r="BT105">
        <f t="shared" si="38"/>
        <v>1.2591094473106716</v>
      </c>
      <c r="BU105">
        <f t="shared" si="39"/>
        <v>1.0117293772696159</v>
      </c>
      <c r="BV105">
        <f t="shared" si="40"/>
        <v>173.91450095942045</v>
      </c>
      <c r="BW105" s="207">
        <f t="shared" si="41"/>
        <v>99.786474314520859</v>
      </c>
      <c r="BX105">
        <f t="shared" si="42"/>
        <v>1.4363512340773492</v>
      </c>
      <c r="BY105" s="575">
        <f t="shared" si="43"/>
        <v>-50.36262747573943</v>
      </c>
      <c r="BZ105">
        <f t="shared" si="44"/>
        <v>190.70204345133359</v>
      </c>
      <c r="CA105" s="207">
        <f t="shared" si="45"/>
        <v>90.15432939025095</v>
      </c>
      <c r="CB105">
        <f t="shared" si="46"/>
        <v>1.4787339129496992</v>
      </c>
      <c r="CC105">
        <f t="shared" si="47"/>
        <v>159.51001257290625</v>
      </c>
      <c r="CD105">
        <f t="shared" si="48"/>
        <v>137.53203926036485</v>
      </c>
      <c r="CE105" s="207">
        <f t="shared" si="49"/>
        <v>120.66154545467238</v>
      </c>
      <c r="CF105">
        <f t="shared" si="50"/>
        <v>1.3444982310830487</v>
      </c>
      <c r="CG105">
        <f t="shared" si="51"/>
        <v>-14.616054250701994</v>
      </c>
      <c r="CH105">
        <f t="shared" si="52"/>
        <v>142.40405734393218</v>
      </c>
      <c r="CI105" s="207">
        <f t="shared" ref="CI105" si="251" xml:space="preserve"> ($BQ$38-CH105*($BP105+$BR105+$BQ105+$BN105))/($BP105+$BR105+$BQ105+$BO105)</f>
        <v>117.8661402143169</v>
      </c>
      <c r="CJ105">
        <f t="shared" si="54"/>
        <v>1.3567983743586702</v>
      </c>
      <c r="CK105">
        <f t="shared" si="55"/>
        <v>0.15113866235626539</v>
      </c>
      <c r="CL105">
        <f t="shared" si="56"/>
        <v>142.35367778981342</v>
      </c>
      <c r="CM105" s="207">
        <f t="shared" ref="CM105" si="252" xml:space="preserve"> ($BQ$38-CL105*($BP105+$BR105+$BQ105+$BN105))/($BP105+$BR105+$BQ105+$BO105)</f>
        <v>117.895046361046</v>
      </c>
      <c r="CN105">
        <f t="shared" si="58"/>
        <v>1.3566711835881939</v>
      </c>
      <c r="CO105">
        <f t="shared" si="59"/>
        <v>-2.7893991719345479E-3</v>
      </c>
      <c r="CP105">
        <f t="shared" si="60"/>
        <v>142.35460758953741</v>
      </c>
      <c r="CQ105" s="207">
        <f t="shared" ref="CQ105" si="253" xml:space="preserve"> ($BQ$38-CP105*($BP105+$BR105+$BQ105+$BN105))/($BP105+$BR105+$BQ105+$BO105)</f>
        <v>117.89451287225832</v>
      </c>
      <c r="CR105">
        <f t="shared" si="62"/>
        <v>1.3566735310076055</v>
      </c>
      <c r="CS105">
        <f t="shared" si="63"/>
        <v>5.1248697610972727E-5</v>
      </c>
      <c r="CT105">
        <f t="shared" si="64"/>
        <v>142.3545905066382</v>
      </c>
      <c r="CU105" s="636">
        <f t="shared" si="65"/>
        <v>117.8945226738693</v>
      </c>
      <c r="CV105" s="575">
        <f t="shared" si="66"/>
        <v>1.3566734878792541</v>
      </c>
      <c r="CW105">
        <f t="shared" si="67"/>
        <v>-9.4165389974421032E-7</v>
      </c>
      <c r="CX105" s="576">
        <f t="shared" si="68"/>
        <v>0.33920313834107541</v>
      </c>
    </row>
    <row r="106" spans="1:102" x14ac:dyDescent="0.25">
      <c r="A106" s="186">
        <v>62</v>
      </c>
      <c r="B106" s="187">
        <f>A106/100*'Inputs-Imperial'!$E$5</f>
        <v>14.930446671999999</v>
      </c>
      <c r="C106" s="188">
        <f>'Inputs-Imperial'!$E$10+('Inputs-Imperial'!$E$9-'Inputs-Imperial'!$E$10)*(100-A106)/100</f>
        <v>3.9817914660000007</v>
      </c>
      <c r="D106" s="187">
        <f t="shared" si="69"/>
        <v>0.24081365600000026</v>
      </c>
      <c r="E106" s="188">
        <f t="shared" si="70"/>
        <v>0.96101282814840805</v>
      </c>
      <c r="F106" s="423">
        <f>Sizing!F122</f>
        <v>288.49024693236646</v>
      </c>
      <c r="G106" s="423">
        <f>Sizing!G122</f>
        <v>2884.9024693236638</v>
      </c>
      <c r="H106" s="423">
        <f>Sizing!H122</f>
        <v>12224.674682965291</v>
      </c>
      <c r="I106" s="423">
        <f>Sizing!I122</f>
        <v>-5324.8585830968495</v>
      </c>
      <c r="J106" s="189">
        <f>Sizing!J122</f>
        <v>1222.4674682965292</v>
      </c>
      <c r="K106" s="128">
        <v>62</v>
      </c>
      <c r="L106" s="12">
        <f t="shared" si="11"/>
        <v>179.16536006399997</v>
      </c>
      <c r="M106" s="11">
        <f t="shared" si="11"/>
        <v>47.781497592000008</v>
      </c>
      <c r="N106" s="11">
        <f t="shared" si="11"/>
        <v>2.8897638720000032</v>
      </c>
      <c r="O106" s="152">
        <f t="shared" si="71"/>
        <v>138.38584725337077</v>
      </c>
      <c r="P106" s="170">
        <f t="shared" si="162"/>
        <v>8.6006695665600006</v>
      </c>
      <c r="Q106" s="8">
        <f t="shared" si="163"/>
        <v>4.3003347832800003</v>
      </c>
      <c r="R106" s="170">
        <f>Sizing!X122</f>
        <v>11.945374398000002</v>
      </c>
      <c r="S106" s="8">
        <f>Sizing!Y122</f>
        <v>35.83612319400001</v>
      </c>
      <c r="T106" s="8">
        <f>Sizing!Z122</f>
        <v>23.890748796000008</v>
      </c>
      <c r="U106" s="17">
        <f>Sizing!CN122</f>
        <v>1.5</v>
      </c>
      <c r="V106" s="17">
        <f>Sizing!CO122</f>
        <v>2.3622047244094495E-2</v>
      </c>
      <c r="W106" s="17">
        <f>Sizing!CP122</f>
        <v>1.5748031496062995E-2</v>
      </c>
      <c r="X106" s="170">
        <f>Sizing!DU122</f>
        <v>0.53422373583376614</v>
      </c>
      <c r="Y106" s="170">
        <f>Sizing!DV122</f>
        <v>0.73090610603125084</v>
      </c>
      <c r="Z106" s="170">
        <f>Sizing!DW122</f>
        <v>0.53422373583376614</v>
      </c>
      <c r="AA106" s="272">
        <f>Sizing!DX122</f>
        <v>0.73090610603125084</v>
      </c>
      <c r="AB106" s="272">
        <f t="shared" si="12"/>
        <v>4.7910233030484353</v>
      </c>
      <c r="AC106" s="216">
        <f>Sizing!GJ122</f>
        <v>0.5</v>
      </c>
      <c r="AD106" s="216">
        <f>Sizing!GK122</f>
        <v>3.1496062992125991E-2</v>
      </c>
      <c r="AE106" s="17">
        <f>Sizing!GL122</f>
        <v>3.1496062992125991E-2</v>
      </c>
      <c r="AF106" s="170">
        <f>Sizing!JC122</f>
        <v>8.8060777215215446E-3</v>
      </c>
      <c r="AG106" s="272">
        <f>Sizing!JD122</f>
        <v>9.3840703969660974E-2</v>
      </c>
      <c r="AH106" s="170">
        <f>Sizing!JC122</f>
        <v>8.8060777215215446E-3</v>
      </c>
      <c r="AI106" s="272">
        <f>Sizing!JD122</f>
        <v>9.3840703969660974E-2</v>
      </c>
      <c r="AJ106" s="216">
        <f>Sizing!IT122</f>
        <v>0.25</v>
      </c>
      <c r="AK106" s="216">
        <f>Sizing!IU122</f>
        <v>1.5748031496062995E-2</v>
      </c>
      <c r="AL106" s="17">
        <f>Sizing!IV122</f>
        <v>1.5748031496062995E-2</v>
      </c>
      <c r="AM106" s="170">
        <f t="shared" si="13"/>
        <v>0</v>
      </c>
      <c r="AN106" s="11">
        <f t="shared" si="14"/>
        <v>3.0656301254907921</v>
      </c>
      <c r="AO106" s="11">
        <f t="shared" si="15"/>
        <v>3.0656301254907921</v>
      </c>
      <c r="AP106" s="11">
        <f t="shared" si="16"/>
        <v>6.1312602509815841</v>
      </c>
      <c r="AQ106" s="555">
        <f t="shared" si="17"/>
        <v>97819229.671005368</v>
      </c>
      <c r="AR106" s="311">
        <f t="shared" si="18"/>
        <v>12.33280025468642</v>
      </c>
      <c r="AS106" s="11">
        <f t="shared" si="19"/>
        <v>0.16037267740822878</v>
      </c>
      <c r="AT106" s="11">
        <f t="shared" si="20"/>
        <v>9.7290636717074399</v>
      </c>
      <c r="AU106" s="11">
        <f t="shared" si="21"/>
        <v>9.8894363491156678</v>
      </c>
      <c r="AV106" s="555">
        <f t="shared" si="22"/>
        <v>157777847.61233419</v>
      </c>
      <c r="AW106" s="138">
        <f t="shared" si="23"/>
        <v>3.9370078740157494E-2</v>
      </c>
      <c r="AX106" s="138">
        <f t="shared" si="24"/>
        <v>6.2992125984251982E-2</v>
      </c>
      <c r="AY106" s="554">
        <f t="shared" si="25"/>
        <v>3.1496062992125991E-2</v>
      </c>
      <c r="AZ106" s="12">
        <f t="shared" si="26"/>
        <v>968.28489316907076</v>
      </c>
      <c r="BA106" s="11">
        <f t="shared" si="27"/>
        <v>153.0358856894722</v>
      </c>
      <c r="BB106">
        <f t="shared" si="28"/>
        <v>964.80446746187283</v>
      </c>
      <c r="BC106" s="555">
        <f t="shared" si="29"/>
        <v>3638266069.1451135</v>
      </c>
      <c r="BD106">
        <f t="shared" si="30"/>
        <v>62</v>
      </c>
      <c r="BE106" s="207">
        <f t="shared" si="31"/>
        <v>3.9817914660000007</v>
      </c>
      <c r="BF106" s="207">
        <f>'Inputs-Imperial'!$E$15*BE106</f>
        <v>2.9863435995000005</v>
      </c>
      <c r="BG106" s="207">
        <f>'Inputs-Imperial'!$E$12*BE106</f>
        <v>0.99544786650000017</v>
      </c>
      <c r="BH106">
        <f>'Inputs-Imperial'!$E$11*BE106</f>
        <v>0.71672246388000005</v>
      </c>
      <c r="BI106">
        <f t="shared" si="32"/>
        <v>0.76019897165741757</v>
      </c>
      <c r="BJ106">
        <f>'Weight '!U108+'Weight '!V108 /12</f>
        <v>2.4934383202099744E-2</v>
      </c>
      <c r="BK106">
        <f>('Weight '!AK108+'Weight '!AL108)/12</f>
        <v>5.2493438320209982E-3</v>
      </c>
      <c r="BL106">
        <f>'Weight '!AG108/12</f>
        <v>6.0908842169270901E-2</v>
      </c>
      <c r="BM106">
        <f>'Weight '!AI108/12</f>
        <v>6.0908842169270901E-2</v>
      </c>
      <c r="BN106" s="554">
        <f t="shared" si="33"/>
        <v>2.1426342657754942</v>
      </c>
      <c r="BO106" s="554">
        <f t="shared" si="34"/>
        <v>4.2745038364636931</v>
      </c>
      <c r="BP106">
        <f t="shared" si="35"/>
        <v>6.0908842169270901E-2</v>
      </c>
      <c r="BQ106">
        <f t="shared" si="35"/>
        <v>6.0908842169270901E-2</v>
      </c>
      <c r="BR106">
        <f t="shared" si="36"/>
        <v>0.59490477954145815</v>
      </c>
      <c r="BS106">
        <f t="shared" si="37"/>
        <v>0.53509488565647711</v>
      </c>
      <c r="BT106">
        <f t="shared" si="38"/>
        <v>1.247928067677746</v>
      </c>
      <c r="BU106">
        <f t="shared" si="39"/>
        <v>0.99384006597630226</v>
      </c>
      <c r="BV106">
        <f t="shared" si="40"/>
        <v>174.86450529740017</v>
      </c>
      <c r="BW106" s="207">
        <f t="shared" si="41"/>
        <v>100.17578244560265</v>
      </c>
      <c r="BX106">
        <f t="shared" si="42"/>
        <v>1.4302856634540835</v>
      </c>
      <c r="BY106" s="575">
        <f t="shared" si="43"/>
        <v>-50.153949034155559</v>
      </c>
      <c r="BZ106">
        <f t="shared" si="44"/>
        <v>191.58248830878534</v>
      </c>
      <c r="CA106" s="207">
        <f t="shared" si="45"/>
        <v>90.598441256608936</v>
      </c>
      <c r="CB106">
        <f t="shared" si="46"/>
        <v>1.4720807436367944</v>
      </c>
      <c r="CC106">
        <f t="shared" si="47"/>
        <v>159.45923629191802</v>
      </c>
      <c r="CD106">
        <f t="shared" si="48"/>
        <v>138.42940954481267</v>
      </c>
      <c r="CE106" s="207">
        <f t="shared" si="49"/>
        <v>121.04859605227672</v>
      </c>
      <c r="CF106">
        <f t="shared" si="50"/>
        <v>1.3391976567605073</v>
      </c>
      <c r="CG106">
        <f t="shared" si="51"/>
        <v>-13.792943216442588</v>
      </c>
      <c r="CH106">
        <f t="shared" si="52"/>
        <v>143.02705728362687</v>
      </c>
      <c r="CI106" s="207">
        <f t="shared" ref="CI106" si="254" xml:space="preserve"> ($BQ$38-CH106*($BP106+$BR106+$BQ106+$BN106))/($BP106+$BR106+$BQ106+$BO106)</f>
        <v>118.41471126896037</v>
      </c>
      <c r="CJ106">
        <f t="shared" si="54"/>
        <v>1.3506918098389458</v>
      </c>
      <c r="CK106">
        <f t="shared" si="55"/>
        <v>7.6858192207968301E-2</v>
      </c>
      <c r="CL106">
        <f t="shared" si="56"/>
        <v>143.00143788622421</v>
      </c>
      <c r="CM106" s="207">
        <f t="shared" ref="CM106" si="255" xml:space="preserve"> ($BQ$38-CL106*($BP106+$BR106+$BQ106+$BN106))/($BP106+$BR106+$BQ106+$BO106)</f>
        <v>118.4293880221198</v>
      </c>
      <c r="CN106">
        <f t="shared" si="58"/>
        <v>1.3506277611574782</v>
      </c>
      <c r="CO106">
        <f t="shared" si="59"/>
        <v>-1.0139404229079219E-3</v>
      </c>
      <c r="CP106">
        <f t="shared" si="60"/>
        <v>143.00177586636516</v>
      </c>
      <c r="CQ106" s="207">
        <f t="shared" ref="CQ106" si="256" xml:space="preserve"> ($BQ$38-CP106*($BP106+$BR106+$BQ106+$BN106))/($BP106+$BR106+$BQ106+$BO106)</f>
        <v>118.42919440120733</v>
      </c>
      <c r="CR106">
        <f t="shared" si="62"/>
        <v>1.3506286061103103</v>
      </c>
      <c r="CS106">
        <f t="shared" si="63"/>
        <v>1.3333537038917598E-5</v>
      </c>
      <c r="CT106">
        <f t="shared" si="64"/>
        <v>143.00177142185282</v>
      </c>
      <c r="CU106" s="636">
        <f t="shared" si="65"/>
        <v>118.42919694736445</v>
      </c>
      <c r="CV106" s="575">
        <f t="shared" si="66"/>
        <v>1.3506285949989969</v>
      </c>
      <c r="CW106">
        <f t="shared" si="67"/>
        <v>-1.753463330089744E-7</v>
      </c>
      <c r="CX106" s="576">
        <f t="shared" si="68"/>
        <v>0.33920123806880365</v>
      </c>
    </row>
    <row r="107" spans="1:102" x14ac:dyDescent="0.25">
      <c r="A107" s="186">
        <v>63</v>
      </c>
      <c r="B107" s="187">
        <f>A107/100*'Inputs-Imperial'!$E$5</f>
        <v>15.171260327999999</v>
      </c>
      <c r="C107" s="188">
        <f>'Inputs-Imperial'!$E$10+('Inputs-Imperial'!$E$9-'Inputs-Imperial'!$E$10)*(100-A107)/100</f>
        <v>3.9639929090000003</v>
      </c>
      <c r="D107" s="187">
        <f t="shared" si="69"/>
        <v>0.24081365600000026</v>
      </c>
      <c r="E107" s="188">
        <f t="shared" si="70"/>
        <v>0.95672669256571363</v>
      </c>
      <c r="F107" s="423">
        <f>Sizing!F123</f>
        <v>279.06777912029941</v>
      </c>
      <c r="G107" s="423">
        <f>Sizing!G123</f>
        <v>2790.6777912029929</v>
      </c>
      <c r="H107" s="423">
        <f>Sizing!H123</f>
        <v>11529.950772124032</v>
      </c>
      <c r="I107" s="423">
        <f>Sizing!I123</f>
        <v>-5114.6532635484818</v>
      </c>
      <c r="J107" s="189">
        <f>Sizing!J123</f>
        <v>1152.9950772124032</v>
      </c>
      <c r="K107" s="128">
        <v>63</v>
      </c>
      <c r="L107" s="12">
        <f t="shared" si="11"/>
        <v>182.05512393599997</v>
      </c>
      <c r="M107" s="11">
        <f t="shared" si="11"/>
        <v>47.567914908000006</v>
      </c>
      <c r="N107" s="11">
        <f t="shared" si="11"/>
        <v>2.8897638720000032</v>
      </c>
      <c r="O107" s="152">
        <f t="shared" si="71"/>
        <v>137.76864372946275</v>
      </c>
      <c r="P107" s="170">
        <f t="shared" si="162"/>
        <v>8.5622246834400002</v>
      </c>
      <c r="Q107" s="8">
        <f t="shared" si="163"/>
        <v>4.2811123417200001</v>
      </c>
      <c r="R107" s="170">
        <f>Sizing!X123</f>
        <v>11.891978727000001</v>
      </c>
      <c r="S107" s="8">
        <f>Sizing!Y123</f>
        <v>35.675936181000004</v>
      </c>
      <c r="T107" s="8">
        <f>Sizing!Z123</f>
        <v>23.783957454000003</v>
      </c>
      <c r="U107" s="17">
        <f>Sizing!CN123</f>
        <v>1.5</v>
      </c>
      <c r="V107" s="17">
        <f>Sizing!CO123</f>
        <v>2.3622047244094495E-2</v>
      </c>
      <c r="W107" s="17">
        <f>Sizing!CP123</f>
        <v>1.5748031496062995E-2</v>
      </c>
      <c r="X107" s="170">
        <f>Sizing!DU123</f>
        <v>0.53422373583376614</v>
      </c>
      <c r="Y107" s="170">
        <f>Sizing!DV123</f>
        <v>0.73090610603125084</v>
      </c>
      <c r="Z107" s="170">
        <f>Sizing!DW123</f>
        <v>0.53422373583376614</v>
      </c>
      <c r="AA107" s="272">
        <f>Sizing!DX123</f>
        <v>0.73090610603125084</v>
      </c>
      <c r="AB107" s="272">
        <f t="shared" si="12"/>
        <v>4.7525784199284349</v>
      </c>
      <c r="AC107" s="216">
        <f>Sizing!GJ123</f>
        <v>0.5</v>
      </c>
      <c r="AD107" s="216">
        <f>Sizing!GK123</f>
        <v>3.1496062992125991E-2</v>
      </c>
      <c r="AE107" s="17">
        <f>Sizing!GL123</f>
        <v>3.1496062992125991E-2</v>
      </c>
      <c r="AF107" s="170">
        <f>Sizing!JC123</f>
        <v>8.8060777215215446E-3</v>
      </c>
      <c r="AG107" s="272">
        <f>Sizing!JD123</f>
        <v>9.3840703969660974E-2</v>
      </c>
      <c r="AH107" s="170">
        <f>Sizing!JC123</f>
        <v>8.8060777215215446E-3</v>
      </c>
      <c r="AI107" s="272">
        <f>Sizing!JD123</f>
        <v>9.3840703969660974E-2</v>
      </c>
      <c r="AJ107" s="216">
        <f>Sizing!IT123</f>
        <v>0.25</v>
      </c>
      <c r="AK107" s="216">
        <f>Sizing!IU123</f>
        <v>1.5748031496062995E-2</v>
      </c>
      <c r="AL107" s="17">
        <f>Sizing!IV123</f>
        <v>1.5748031496062995E-2</v>
      </c>
      <c r="AM107" s="170">
        <f t="shared" si="13"/>
        <v>0</v>
      </c>
      <c r="AN107" s="11">
        <f t="shared" si="14"/>
        <v>3.0166280990264371</v>
      </c>
      <c r="AO107" s="11">
        <f t="shared" si="15"/>
        <v>3.0166280990264371</v>
      </c>
      <c r="AP107" s="11">
        <f t="shared" si="16"/>
        <v>6.0332561980528743</v>
      </c>
      <c r="AQ107" s="555">
        <f t="shared" si="17"/>
        <v>96255655.369851202</v>
      </c>
      <c r="AR107" s="311">
        <f t="shared" si="18"/>
        <v>12.277672795054999</v>
      </c>
      <c r="AS107" s="11">
        <f t="shared" si="19"/>
        <v>0.15894215414068302</v>
      </c>
      <c r="AT107" s="11">
        <f t="shared" si="20"/>
        <v>9.6422804853272357</v>
      </c>
      <c r="AU107" s="11">
        <f t="shared" si="21"/>
        <v>9.8012226394679196</v>
      </c>
      <c r="AV107" s="555">
        <f t="shared" si="22"/>
        <v>156370470.21014631</v>
      </c>
      <c r="AW107" s="138">
        <f t="shared" si="23"/>
        <v>3.9370078740157494E-2</v>
      </c>
      <c r="AX107" s="138">
        <f t="shared" si="24"/>
        <v>6.2992125984251982E-2</v>
      </c>
      <c r="AY107" s="554">
        <f t="shared" si="25"/>
        <v>3.1496062992125991E-2</v>
      </c>
      <c r="AZ107" s="12">
        <f t="shared" si="26"/>
        <v>959.64779804989803</v>
      </c>
      <c r="BA107" s="11">
        <f t="shared" si="27"/>
        <v>152.35181723492158</v>
      </c>
      <c r="BB107">
        <f t="shared" si="28"/>
        <v>951.92422300276712</v>
      </c>
      <c r="BC107" s="555">
        <f t="shared" si="29"/>
        <v>3589694821.8527594</v>
      </c>
      <c r="BD107">
        <f t="shared" si="30"/>
        <v>63</v>
      </c>
      <c r="BE107" s="207">
        <f t="shared" si="31"/>
        <v>3.9639929090000003</v>
      </c>
      <c r="BF107" s="207">
        <f>'Inputs-Imperial'!$E$15*BE107</f>
        <v>2.9729946817500004</v>
      </c>
      <c r="BG107" s="207">
        <f>'Inputs-Imperial'!$E$12*BE107</f>
        <v>0.99099822725000009</v>
      </c>
      <c r="BH107">
        <f>'Inputs-Imperial'!$E$11*BE107</f>
        <v>0.71351872362000002</v>
      </c>
      <c r="BI107">
        <f t="shared" si="32"/>
        <v>0.75680089196290801</v>
      </c>
      <c r="BJ107">
        <f>'Weight '!U109+'Weight '!V109 /12</f>
        <v>2.4934383202099744E-2</v>
      </c>
      <c r="BK107">
        <f>('Weight '!AK109+'Weight '!AL109)/12</f>
        <v>5.2493438320209982E-3</v>
      </c>
      <c r="BL107">
        <f>'Weight '!AG109/12</f>
        <v>6.0908842169270901E-2</v>
      </c>
      <c r="BM107">
        <f>'Weight '!AI109/12</f>
        <v>6.0908842169270901E-2</v>
      </c>
      <c r="BN107" s="554">
        <f t="shared" si="33"/>
        <v>2.1302174230039204</v>
      </c>
      <c r="BO107" s="554">
        <f t="shared" si="34"/>
        <v>4.2582361538740443</v>
      </c>
      <c r="BP107">
        <f t="shared" si="35"/>
        <v>6.0908842169270901E-2</v>
      </c>
      <c r="BQ107">
        <f t="shared" si="35"/>
        <v>6.0908842169270901E-2</v>
      </c>
      <c r="BR107">
        <f t="shared" si="36"/>
        <v>0.59170103928145812</v>
      </c>
      <c r="BS107">
        <f t="shared" si="37"/>
        <v>0.53032184266282711</v>
      </c>
      <c r="BT107">
        <f t="shared" si="38"/>
        <v>1.2367965572117077</v>
      </c>
      <c r="BU107">
        <f t="shared" si="39"/>
        <v>0.97618904794255212</v>
      </c>
      <c r="BV107">
        <f t="shared" si="40"/>
        <v>175.82503235878593</v>
      </c>
      <c r="BW107" s="207">
        <f t="shared" si="41"/>
        <v>100.5681117271854</v>
      </c>
      <c r="BX107">
        <f t="shared" si="42"/>
        <v>1.4242204624695947</v>
      </c>
      <c r="BY107" s="575">
        <f t="shared" si="43"/>
        <v>-49.943170483380626</v>
      </c>
      <c r="BZ107">
        <f t="shared" si="44"/>
        <v>192.47275585324616</v>
      </c>
      <c r="CA107" s="207">
        <f t="shared" si="45"/>
        <v>91.045974327672482</v>
      </c>
      <c r="CB107">
        <f t="shared" si="46"/>
        <v>1.4654316587750704</v>
      </c>
      <c r="CC107">
        <f t="shared" si="47"/>
        <v>159.41379470379053</v>
      </c>
      <c r="CD107">
        <f t="shared" si="48"/>
        <v>139.33482428531599</v>
      </c>
      <c r="CE107" s="207">
        <f t="shared" si="49"/>
        <v>121.43972069690552</v>
      </c>
      <c r="CF107">
        <f t="shared" si="50"/>
        <v>1.3338894854658119</v>
      </c>
      <c r="CG107">
        <f t="shared" si="51"/>
        <v>-12.970484215046497</v>
      </c>
      <c r="CH107">
        <f t="shared" si="52"/>
        <v>143.65831902366483</v>
      </c>
      <c r="CI107" s="207">
        <f t="shared" ref="CI107" si="257" xml:space="preserve"> ($BQ$38-CH107*($BP107+$BR107+$BQ107+$BN107))/($BP107+$BR107+$BQ107+$BO107)</f>
        <v>118.96677531441352</v>
      </c>
      <c r="CJ107">
        <f t="shared" si="54"/>
        <v>1.3445922335290577</v>
      </c>
      <c r="CK107">
        <f t="shared" si="55"/>
        <v>1.042837550827258E-2</v>
      </c>
      <c r="CL107">
        <f t="shared" si="56"/>
        <v>143.65484289849542</v>
      </c>
      <c r="CM107" s="207">
        <f t="shared" ref="CM107" si="258" xml:space="preserve"> ($BQ$38-CL107*($BP107+$BR107+$BQ107+$BN107))/($BP107+$BR107+$BQ107+$BO107)</f>
        <v>118.96876358274898</v>
      </c>
      <c r="CN107">
        <f t="shared" si="58"/>
        <v>1.3445836284319832</v>
      </c>
      <c r="CO107">
        <f t="shared" si="59"/>
        <v>-8.2732858352585481E-5</v>
      </c>
      <c r="CP107">
        <f t="shared" si="60"/>
        <v>143.65487047611487</v>
      </c>
      <c r="CQ107" s="207">
        <f t="shared" ref="CQ107" si="259" xml:space="preserve"> ($BQ$38-CP107*($BP107+$BR107+$BQ107+$BN107))/($BP107+$BR107+$BQ107+$BO107)</f>
        <v>118.96874780894773</v>
      </c>
      <c r="CR107">
        <f t="shared" si="62"/>
        <v>1.3445836966999773</v>
      </c>
      <c r="CS107">
        <f t="shared" si="63"/>
        <v>6.5588508846303739E-7</v>
      </c>
      <c r="CT107">
        <f t="shared" si="64"/>
        <v>143.65487025748649</v>
      </c>
      <c r="CU107" s="636">
        <f t="shared" si="65"/>
        <v>118.96874793399842</v>
      </c>
      <c r="CV107" s="575">
        <f t="shared" si="66"/>
        <v>1.3445836961587661</v>
      </c>
      <c r="CW107">
        <f t="shared" si="67"/>
        <v>-5.1997446348650556E-9</v>
      </c>
      <c r="CX107" s="576">
        <f t="shared" si="68"/>
        <v>0.33919931922833968</v>
      </c>
    </row>
    <row r="108" spans="1:102" x14ac:dyDescent="0.25">
      <c r="A108" s="186">
        <v>64</v>
      </c>
      <c r="B108" s="187">
        <f>A108/100*'Inputs-Imperial'!$E$5</f>
        <v>15.412073983999999</v>
      </c>
      <c r="C108" s="188">
        <f>'Inputs-Imperial'!$E$10+('Inputs-Imperial'!$E$9-'Inputs-Imperial'!$E$10)*(100-A108)/100</f>
        <v>3.946194352</v>
      </c>
      <c r="D108" s="187">
        <f t="shared" si="69"/>
        <v>0.24081365600000026</v>
      </c>
      <c r="E108" s="188">
        <f t="shared" si="70"/>
        <v>0.95244055698301922</v>
      </c>
      <c r="F108" s="423">
        <f>Sizing!F124</f>
        <v>269.71605919969051</v>
      </c>
      <c r="G108" s="423">
        <f>Sizing!G124</f>
        <v>2697.1605919969038</v>
      </c>
      <c r="H108" s="423">
        <f>Sizing!H124</f>
        <v>10857.917450506433</v>
      </c>
      <c r="I108" s="423">
        <f>Sizing!I124</f>
        <v>-4907.613230683909</v>
      </c>
      <c r="J108" s="189">
        <f>Sizing!J124</f>
        <v>1085.7917450506434</v>
      </c>
      <c r="K108" s="128">
        <v>64</v>
      </c>
      <c r="L108" s="12">
        <f t="shared" si="11"/>
        <v>184.94488780799998</v>
      </c>
      <c r="M108" s="11">
        <f t="shared" si="11"/>
        <v>47.354332224000004</v>
      </c>
      <c r="N108" s="11">
        <f t="shared" si="11"/>
        <v>2.8897638720000032</v>
      </c>
      <c r="O108" s="152">
        <f t="shared" si="71"/>
        <v>137.15144020555476</v>
      </c>
      <c r="P108" s="170">
        <f t="shared" ref="P108:P144" si="260">M108*$E$17</f>
        <v>8.5237798003199998</v>
      </c>
      <c r="Q108" s="8">
        <f t="shared" ref="Q108:Q144" si="261">M108*$E$19</f>
        <v>4.2618899001599999</v>
      </c>
      <c r="R108" s="170">
        <f>Sizing!X124</f>
        <v>11.838583056000001</v>
      </c>
      <c r="S108" s="8">
        <f>Sizing!Y124</f>
        <v>35.515749167999999</v>
      </c>
      <c r="T108" s="8">
        <f>Sizing!Z124</f>
        <v>23.677166111999998</v>
      </c>
      <c r="U108" s="17">
        <f>Sizing!CN124</f>
        <v>1.5</v>
      </c>
      <c r="V108" s="17">
        <f>Sizing!CO124</f>
        <v>2.3622047244094495E-2</v>
      </c>
      <c r="W108" s="17">
        <f>Sizing!CP124</f>
        <v>1.5748031496062995E-2</v>
      </c>
      <c r="X108" s="170">
        <f>Sizing!DU124</f>
        <v>0.53422373583376614</v>
      </c>
      <c r="Y108" s="170">
        <f>Sizing!DV124</f>
        <v>0.73090610603125084</v>
      </c>
      <c r="Z108" s="170">
        <f>Sizing!DW124</f>
        <v>0.53422373583376614</v>
      </c>
      <c r="AA108" s="272">
        <f>Sizing!DX124</f>
        <v>0.73090610603125084</v>
      </c>
      <c r="AB108" s="272">
        <f t="shared" si="12"/>
        <v>4.7141335368084345</v>
      </c>
      <c r="AC108" s="216">
        <f>Sizing!GJ124</f>
        <v>0.5</v>
      </c>
      <c r="AD108" s="216">
        <f>Sizing!GK124</f>
        <v>3.1496062992125991E-2</v>
      </c>
      <c r="AE108" s="17">
        <f>Sizing!GL124</f>
        <v>3.1496062992125991E-2</v>
      </c>
      <c r="AF108" s="170">
        <f>Sizing!JC124</f>
        <v>8.8060777215215446E-3</v>
      </c>
      <c r="AG108" s="272">
        <f>Sizing!JD124</f>
        <v>9.3840703969660974E-2</v>
      </c>
      <c r="AH108" s="170">
        <f>Sizing!JC124</f>
        <v>8.8060777215215446E-3</v>
      </c>
      <c r="AI108" s="272">
        <f>Sizing!JD124</f>
        <v>9.3840703969660974E-2</v>
      </c>
      <c r="AJ108" s="216">
        <f>Sizing!IT124</f>
        <v>0.25</v>
      </c>
      <c r="AK108" s="216">
        <f>Sizing!IU124</f>
        <v>1.5748031496062995E-2</v>
      </c>
      <c r="AL108" s="17">
        <f>Sizing!IV124</f>
        <v>1.5748031496062995E-2</v>
      </c>
      <c r="AM108" s="170">
        <f t="shared" si="13"/>
        <v>0</v>
      </c>
      <c r="AN108" s="11">
        <f t="shared" si="14"/>
        <v>2.9680208663170511</v>
      </c>
      <c r="AO108" s="11">
        <f t="shared" si="15"/>
        <v>2.9680208663170511</v>
      </c>
      <c r="AP108" s="11">
        <f t="shared" si="16"/>
        <v>5.9360417326341022</v>
      </c>
      <c r="AQ108" s="555">
        <f t="shared" si="17"/>
        <v>94704678.289956346</v>
      </c>
      <c r="AR108" s="311">
        <f t="shared" si="18"/>
        <v>12.222545335423579</v>
      </c>
      <c r="AS108" s="11">
        <f t="shared" si="19"/>
        <v>0.15751803961737734</v>
      </c>
      <c r="AT108" s="11">
        <f t="shared" si="20"/>
        <v>9.5558860876220137</v>
      </c>
      <c r="AU108" s="11">
        <f t="shared" si="21"/>
        <v>9.7134041272393912</v>
      </c>
      <c r="AV108" s="555">
        <f t="shared" si="22"/>
        <v>154969397.85872015</v>
      </c>
      <c r="AW108" s="138">
        <f t="shared" si="23"/>
        <v>3.9370078740157494E-2</v>
      </c>
      <c r="AX108" s="138">
        <f t="shared" si="24"/>
        <v>6.2992125984251982E-2</v>
      </c>
      <c r="AY108" s="554">
        <f t="shared" si="25"/>
        <v>3.1496062992125991E-2</v>
      </c>
      <c r="AZ108" s="12">
        <f t="shared" si="26"/>
        <v>951.04939711685927</v>
      </c>
      <c r="BA108" s="11">
        <f t="shared" si="27"/>
        <v>151.66774878037094</v>
      </c>
      <c r="BB108">
        <f t="shared" si="28"/>
        <v>939.15912682976762</v>
      </c>
      <c r="BC108" s="555">
        <f t="shared" si="29"/>
        <v>3541557797.3655319</v>
      </c>
      <c r="BD108">
        <f t="shared" si="30"/>
        <v>64</v>
      </c>
      <c r="BE108" s="207">
        <f t="shared" si="31"/>
        <v>3.946194352</v>
      </c>
      <c r="BF108" s="207">
        <f>'Inputs-Imperial'!$E$15*BE108</f>
        <v>2.9596457640000002</v>
      </c>
      <c r="BG108" s="207">
        <f>'Inputs-Imperial'!$E$12*BE108</f>
        <v>0.986548588</v>
      </c>
      <c r="BH108">
        <f>'Inputs-Imperial'!$E$11*BE108</f>
        <v>0.71031498335999999</v>
      </c>
      <c r="BI108">
        <f t="shared" si="32"/>
        <v>0.75340281226839845</v>
      </c>
      <c r="BJ108">
        <f>'Weight '!U110+'Weight '!V110 /12</f>
        <v>2.4934383202099744E-2</v>
      </c>
      <c r="BK108">
        <f>('Weight '!AK110+'Weight '!AL110)/12</f>
        <v>5.2493438320209982E-3</v>
      </c>
      <c r="BL108">
        <f>'Weight '!AG110/12</f>
        <v>6.0908842169270901E-2</v>
      </c>
      <c r="BM108">
        <f>'Weight '!AI110/12</f>
        <v>6.0908842169270901E-2</v>
      </c>
      <c r="BN108" s="554">
        <f t="shared" si="33"/>
        <v>2.117799232349832</v>
      </c>
      <c r="BO108" s="554">
        <f t="shared" si="34"/>
        <v>4.2419698191669095</v>
      </c>
      <c r="BP108">
        <f t="shared" si="35"/>
        <v>6.0908842169270901E-2</v>
      </c>
      <c r="BQ108">
        <f t="shared" si="35"/>
        <v>6.0908842169270901E-2</v>
      </c>
      <c r="BR108">
        <f t="shared" si="36"/>
        <v>0.58849729902145809</v>
      </c>
      <c r="BS108">
        <f t="shared" si="37"/>
        <v>0.52557018290178859</v>
      </c>
      <c r="BT108">
        <f t="shared" si="38"/>
        <v>1.2257149159125578</v>
      </c>
      <c r="BU108">
        <f t="shared" si="39"/>
        <v>0.95877419760107618</v>
      </c>
      <c r="BV108">
        <f t="shared" si="40"/>
        <v>176.79625427522006</v>
      </c>
      <c r="BW108" s="207">
        <f t="shared" si="41"/>
        <v>100.9634986551812</v>
      </c>
      <c r="BX108">
        <f t="shared" si="42"/>
        <v>1.418155628862811</v>
      </c>
      <c r="BY108" s="575">
        <f t="shared" si="43"/>
        <v>-49.730265050409983</v>
      </c>
      <c r="BZ108">
        <f t="shared" si="44"/>
        <v>193.3730092920234</v>
      </c>
      <c r="CA108" s="207">
        <f t="shared" si="45"/>
        <v>91.496967875400586</v>
      </c>
      <c r="CB108">
        <f t="shared" si="46"/>
        <v>1.4587866611524549</v>
      </c>
      <c r="CC108">
        <f t="shared" si="47"/>
        <v>159.37376669215513</v>
      </c>
      <c r="CD108">
        <f t="shared" si="48"/>
        <v>140.24842039463834</v>
      </c>
      <c r="CE108" s="207">
        <f t="shared" si="49"/>
        <v>121.83496559874921</v>
      </c>
      <c r="CF108">
        <f t="shared" si="50"/>
        <v>1.3285737886888336</v>
      </c>
      <c r="CG108">
        <f t="shared" si="51"/>
        <v>-12.148613130880971</v>
      </c>
      <c r="CH108">
        <f t="shared" si="52"/>
        <v>144.29795810493201</v>
      </c>
      <c r="CI108" s="207">
        <f t="shared" ref="CI108" si="262" xml:space="preserve"> ($BQ$38-CH108*($BP108+$BR108+$BQ108+$BN108))/($BP108+$BR108+$BQ108+$BO108)</f>
        <v>119.52238552264156</v>
      </c>
      <c r="CJ108">
        <f t="shared" si="54"/>
        <v>1.3384995490260219</v>
      </c>
      <c r="CK108">
        <f t="shared" si="55"/>
        <v>-4.8159848206656974E-2</v>
      </c>
      <c r="CL108">
        <f t="shared" si="56"/>
        <v>144.31401138766756</v>
      </c>
      <c r="CM108" s="207">
        <f t="shared" ref="CM108" si="263" xml:space="preserve"> ($BQ$38-CL108*($BP108+$BR108+$BQ108+$BN108))/($BP108+$BR108+$BQ108+$BO108)</f>
        <v>119.51321793254452</v>
      </c>
      <c r="CN108">
        <f t="shared" si="58"/>
        <v>1.3385388969833587</v>
      </c>
      <c r="CO108">
        <f t="shared" si="59"/>
        <v>1.2902887886845349E-4</v>
      </c>
      <c r="CP108">
        <f t="shared" si="60"/>
        <v>144.31396837804127</v>
      </c>
      <c r="CQ108" s="207">
        <f t="shared" ref="CQ108" si="264" xml:space="preserve"> ($BQ$38-CP108*($BP108+$BR108+$BQ108+$BN108))/($BP108+$BR108+$BQ108+$BO108)</f>
        <v>119.51324249416413</v>
      </c>
      <c r="CR108">
        <f t="shared" si="62"/>
        <v>1.3385387915631173</v>
      </c>
      <c r="CS108">
        <f t="shared" si="63"/>
        <v>-3.4906720358662824E-7</v>
      </c>
      <c r="CT108">
        <f t="shared" si="64"/>
        <v>144.31396849439699</v>
      </c>
      <c r="CU108" s="636">
        <f t="shared" si="65"/>
        <v>119.51324242771658</v>
      </c>
      <c r="CV108" s="575">
        <f t="shared" si="66"/>
        <v>1.3385387918483149</v>
      </c>
      <c r="CW108">
        <f t="shared" si="67"/>
        <v>9.4427221597470634E-10</v>
      </c>
      <c r="CX108" s="576">
        <f t="shared" si="68"/>
        <v>0.33919738169254643</v>
      </c>
    </row>
    <row r="109" spans="1:102" x14ac:dyDescent="0.25">
      <c r="A109" s="186">
        <v>65</v>
      </c>
      <c r="B109" s="187">
        <f>A109/100*'Inputs-Imperial'!$E$5</f>
        <v>15.652887639999999</v>
      </c>
      <c r="C109" s="188">
        <f>'Inputs-Imperial'!$E$10+('Inputs-Imperial'!$E$9-'Inputs-Imperial'!$E$10)*(100-A109)/100</f>
        <v>3.9283957950000001</v>
      </c>
      <c r="D109" s="187">
        <f t="shared" si="69"/>
        <v>0.24081365600000026</v>
      </c>
      <c r="E109" s="188">
        <f t="shared" si="70"/>
        <v>0.9481544214003248</v>
      </c>
      <c r="F109" s="423">
        <f>Sizing!F125</f>
        <v>260.43642858887421</v>
      </c>
      <c r="G109" s="423">
        <f>Sizing!G125</f>
        <v>2604.3642858887411</v>
      </c>
      <c r="H109" s="423">
        <f>Sizing!H125</f>
        <v>10208.404347528534</v>
      </c>
      <c r="I109" s="423">
        <f>Sizing!I125</f>
        <v>-4703.7739975081004</v>
      </c>
      <c r="J109" s="189">
        <f>Sizing!J125</f>
        <v>1020.8404347528535</v>
      </c>
      <c r="K109" s="128">
        <v>65</v>
      </c>
      <c r="L109" s="12">
        <f t="shared" ref="L109:N144" si="265">B109*12</f>
        <v>187.83465167999998</v>
      </c>
      <c r="M109" s="11">
        <f t="shared" si="265"/>
        <v>47.140749540000002</v>
      </c>
      <c r="N109" s="11">
        <f t="shared" si="265"/>
        <v>2.8897638720000032</v>
      </c>
      <c r="O109" s="152">
        <f t="shared" si="71"/>
        <v>136.53423668164675</v>
      </c>
      <c r="P109" s="170">
        <f t="shared" si="260"/>
        <v>8.4853349171999994</v>
      </c>
      <c r="Q109" s="8">
        <f t="shared" si="261"/>
        <v>4.2426674585999997</v>
      </c>
      <c r="R109" s="170">
        <f>Sizing!X125</f>
        <v>11.785187385</v>
      </c>
      <c r="S109" s="8">
        <f>Sizing!Y125</f>
        <v>35.355562155000001</v>
      </c>
      <c r="T109" s="8">
        <f>Sizing!Z125</f>
        <v>23.570374770000001</v>
      </c>
      <c r="U109" s="17">
        <f>Sizing!CN125</f>
        <v>1.5</v>
      </c>
      <c r="V109" s="17">
        <f>Sizing!CO125</f>
        <v>2.3622047244094495E-2</v>
      </c>
      <c r="W109" s="17">
        <f>Sizing!CP125</f>
        <v>1.5748031496062995E-2</v>
      </c>
      <c r="X109" s="170">
        <f>Sizing!DU125</f>
        <v>0.53422373583376614</v>
      </c>
      <c r="Y109" s="170">
        <f>Sizing!DV125</f>
        <v>0.73090610603125084</v>
      </c>
      <c r="Z109" s="170">
        <f>Sizing!DW125</f>
        <v>0.53422373583376614</v>
      </c>
      <c r="AA109" s="272">
        <f>Sizing!DX125</f>
        <v>0.73090610603125084</v>
      </c>
      <c r="AB109" s="272">
        <f t="shared" ref="AB109:AB144" si="266">P109-2*(U109+V109+W109)-Y109/2-AA109/2</f>
        <v>4.6756886536884341</v>
      </c>
      <c r="AC109" s="216">
        <f>Sizing!GJ125</f>
        <v>0.5</v>
      </c>
      <c r="AD109" s="216">
        <f>Sizing!GK125</f>
        <v>3.1496062992125991E-2</v>
      </c>
      <c r="AE109" s="17">
        <f>Sizing!GL125</f>
        <v>3.1496062992125991E-2</v>
      </c>
      <c r="AF109" s="170">
        <f>Sizing!JC125</f>
        <v>8.8060777215215446E-3</v>
      </c>
      <c r="AG109" s="272">
        <f>Sizing!JD125</f>
        <v>9.3840703969660974E-2</v>
      </c>
      <c r="AH109" s="170">
        <f>Sizing!JC125</f>
        <v>8.8060777215215446E-3</v>
      </c>
      <c r="AI109" s="272">
        <f>Sizing!JD125</f>
        <v>9.3840703969660974E-2</v>
      </c>
      <c r="AJ109" s="216">
        <f>Sizing!IT125</f>
        <v>0.25</v>
      </c>
      <c r="AK109" s="216">
        <f>Sizing!IU125</f>
        <v>1.5748031496062995E-2</v>
      </c>
      <c r="AL109" s="17">
        <f>Sizing!IV125</f>
        <v>1.5748031496062995E-2</v>
      </c>
      <c r="AM109" s="170">
        <f t="shared" ref="AM109:AM144" si="267">(X109*AB109/2-Z109*AB109/2)/(X109+Z109)</f>
        <v>0</v>
      </c>
      <c r="AN109" s="11">
        <f t="shared" ref="AN109:AN144" si="268">X109*((AB109/2-AM109)^2)</f>
        <v>2.9198084273626326</v>
      </c>
      <c r="AO109" s="11">
        <f t="shared" ref="AO109:AO144" si="269">Z109*((AB109/2+AM109)^2)</f>
        <v>2.9198084273626326</v>
      </c>
      <c r="AP109" s="11">
        <f t="shared" ref="AP109:AP144" si="270">AN109+AO109</f>
        <v>5.8396168547252651</v>
      </c>
      <c r="AQ109" s="555">
        <f t="shared" ref="AQ109:AQ144" si="271">AP109*$E$23</f>
        <v>93166298.431320727</v>
      </c>
      <c r="AR109" s="311">
        <f t="shared" ref="AR109:AR144" si="272">((X109+Z109)*R109+(AF109+AH109)*S109)/(X109+Z109+AF109+AH109)</f>
        <v>12.167417875792157</v>
      </c>
      <c r="AS109" s="11">
        <f t="shared" ref="AS109:AS144" si="273">(X109+Z109)*(AR109-R109)^2</f>
        <v>0.15610033383830879</v>
      </c>
      <c r="AT109" s="11">
        <f t="shared" ref="AT109:AT144" si="274">(AF109+AH109)*(S109-AR109)^2</f>
        <v>9.4698804785917847</v>
      </c>
      <c r="AU109" s="11">
        <f t="shared" ref="AU109:AU144" si="275">AS109+AT109</f>
        <v>9.6259808124300932</v>
      </c>
      <c r="AV109" s="555">
        <f t="shared" ref="AV109:AV144" si="276">AU109*$E$23</f>
        <v>153574630.55805594</v>
      </c>
      <c r="AW109" s="138">
        <f t="shared" ref="AW109:AW144" si="277">V109+W109</f>
        <v>3.9370078740157494E-2</v>
      </c>
      <c r="AX109" s="138">
        <f t="shared" ref="AX109:AX144" si="278">AD109+AE109</f>
        <v>6.2992125984251982E-2</v>
      </c>
      <c r="AY109" s="554">
        <f t="shared" ref="AY109:AY144" si="279">AK109+AL109</f>
        <v>3.1496062992125991E-2</v>
      </c>
      <c r="AZ109" s="12">
        <f t="shared" ref="AZ109:AZ144" si="280">PI()*S109*P109</f>
        <v>942.48969036995459</v>
      </c>
      <c r="BA109" s="11">
        <f t="shared" ref="BA109:BA144" si="281">PI()*(3*(S109+P109)-SQRT((3*S109+P109)*(S109+3*P109)))</f>
        <v>150.98368032582033</v>
      </c>
      <c r="BB109">
        <f t="shared" ref="BB109:BB144" si="282">4*(AZ109^2)*AW109/BA109</f>
        <v>926.50866192042224</v>
      </c>
      <c r="BC109" s="555">
        <f t="shared" ref="BC109:BC144" si="283">BB109*$E$25</f>
        <v>3493853045.9979696</v>
      </c>
      <c r="BD109">
        <f t="shared" ref="BD109:BD144" si="284">K109</f>
        <v>65</v>
      </c>
      <c r="BE109" s="207">
        <f t="shared" ref="BE109:BE144" si="285">C109</f>
        <v>3.9283957950000001</v>
      </c>
      <c r="BF109" s="207">
        <f>'Inputs-Imperial'!$E$15*BE109</f>
        <v>2.9462968462500001</v>
      </c>
      <c r="BG109" s="207">
        <f>'Inputs-Imperial'!$E$12*BE109</f>
        <v>0.98209894875000003</v>
      </c>
      <c r="BH109">
        <f>'Inputs-Imperial'!$E$11*BE109</f>
        <v>0.70711124309999995</v>
      </c>
      <c r="BI109">
        <f t="shared" ref="BI109:BI144" si="286">BH109 /SQRT(1 - ((BG109-BF109/2)/(BF109/2))^2)</f>
        <v>0.75000473257388889</v>
      </c>
      <c r="BJ109">
        <f>'Weight '!U111+'Weight '!V111 /12</f>
        <v>2.4934383202099744E-2</v>
      </c>
      <c r="BK109">
        <f>('Weight '!AK111+'Weight '!AL111)/12</f>
        <v>5.2493438320209982E-3</v>
      </c>
      <c r="BL109">
        <f>'Weight '!AG111/12</f>
        <v>6.0908842169270901E-2</v>
      </c>
      <c r="BM109">
        <f>'Weight '!AI111/12</f>
        <v>6.0908842169270901E-2</v>
      </c>
      <c r="BN109" s="554">
        <f t="shared" ref="BN109:BN144" si="287">(SQRT(BH109^2/4+BG109^2/4)/SQRT(1+BF109^2/4+BI109^2/4))*PI()*(BF109/2+BI109/2)*(1+3*((BF109/2-BI109/2)^2)/((BF109/2+BI109/2)^2)/(10+SQRT(4-3*((BF109/2-BI109/2)^2)/((BF109/2+BI109/2)^2))))</f>
        <v>2.1053797542093071</v>
      </c>
      <c r="BO109" s="554">
        <f t="shared" ref="BO109:BO144" si="288">PI()*(BF109/2+BI109/2)*(1+3*((BF109/2-BI109/2)^2)/((BF109/2+BI109/2)^2)/(10+SQRT(4-3*((BF109/2-BI109/2)^2)/((BF109/2+BI109/2)^2))))-BN109</f>
        <v>4.2257047719462122</v>
      </c>
      <c r="BP109">
        <f t="shared" ref="BP109:BQ144" si="289">BL109</f>
        <v>6.0908842169270901E-2</v>
      </c>
      <c r="BQ109">
        <f t="shared" si="289"/>
        <v>6.0908842169270901E-2</v>
      </c>
      <c r="BR109">
        <f t="shared" ref="BR109:BR144" si="290">BH109-BP109-BQ109</f>
        <v>0.58529355876145805</v>
      </c>
      <c r="BS109">
        <f t="shared" ref="BS109:BS144" si="291">3/4*BH109*BG109</f>
        <v>0.52083990637336175</v>
      </c>
      <c r="BT109">
        <f t="shared" ref="BT109:BT144" si="292">PI()/4*BF109*BI109-BS109</f>
        <v>1.2146831437802956</v>
      </c>
      <c r="BU109">
        <f t="shared" ref="BU109:BU144" si="293">PI()/4*(BF109/2)^3*(BI109/2)</f>
        <v>0.94159339890712745</v>
      </c>
      <c r="BV109">
        <f t="shared" ref="BV109:BV144" si="294">$BQ$38/(BP109+BR109+BQ109+BN109)/2</f>
        <v>177.77834683856656</v>
      </c>
      <c r="BW109" s="207">
        <f t="shared" ref="BW109:BW144" si="295" xml:space="preserve"> ($BQ$38-BV109*($BP109+$BR109+$BQ109+$BN109))/($BP109+$BR109+$BQ109+$BO109)</f>
        <v>101.36198035257877</v>
      </c>
      <c r="BX109">
        <f t="shared" ref="BX109:BX144" si="296">2*(BV109*$BS109-BW109*$BT109 )/$BQ$38 + $BF109/2</f>
        <v>1.4120911602612862</v>
      </c>
      <c r="BY109" s="575">
        <f t="shared" ref="BY109:BY144" si="297">BV109*(BX109-$BG109/3)+BW109*(-$BF109+BX109+$BG109/3)+(BV109+BW109)*($BG109-BX109)</f>
        <v>-49.515205552030196</v>
      </c>
      <c r="BZ109">
        <f t="shared" ref="BZ109:BZ144" si="298">BV109-BY109/3</f>
        <v>194.28341535590997</v>
      </c>
      <c r="CA109" s="207">
        <f t="shared" ref="CA109:CA144" si="299" xml:space="preserve"> ($BQ$38-BZ109*($BP109+$BR109+$BQ109+$BN109))/($BP109+$BR109+$BQ109+$BO109)</f>
        <v>91.951461802239791</v>
      </c>
      <c r="CB109">
        <f t="shared" ref="CB109:CB144" si="300">2*(BZ109*$BS109-CA109*$BT109 )/$BQ$38 + $BF109/2</f>
        <v>1.4521457534584614</v>
      </c>
      <c r="CC109">
        <f t="shared" ref="CC109:CC144" si="301">BZ109*(CB109-$BG109/3)+CA109*(-$BF109+CB109+$BG109/3)+(BZ109-CA109)*(CB109-$BG109)</f>
        <v>159.33923255884133</v>
      </c>
      <c r="CD109">
        <f t="shared" ref="CD109:CD144" si="302">BZ109-CC109/3</f>
        <v>141.1703378362962</v>
      </c>
      <c r="CE109" s="207">
        <f t="shared" ref="CE109:CE144" si="303" xml:space="preserve"> ($BQ$38-CD109*($BP109+$BR109+$BQ109+$BN109))/($BP109+$BR109+$BQ109+$BO109)</f>
        <v>122.2343776676728</v>
      </c>
      <c r="CF109">
        <f t="shared" ref="CF109:CF144" si="304">2*(CD109*$BS109-CE109*$BT109 )/$BQ$38 + $BF109/2</f>
        <v>1.3232506379209112</v>
      </c>
      <c r="CG109">
        <f t="shared" ref="CG109:CG144" si="305">CD109*(CF109-$BG109/3)+CE109*(-$BF109+CF109+$BG109/3)+(CD109-CE109)*(CF109-$BG109)</f>
        <v>-11.327264331052717</v>
      </c>
      <c r="CH109">
        <f t="shared" ref="CH109:CH144" si="306">CD109-CG109/3</f>
        <v>144.94609261331377</v>
      </c>
      <c r="CI109" s="207">
        <f t="shared" ref="CI109" si="307" xml:space="preserve"> ($BQ$38-CH109*($BP109+$BR109+$BQ109+$BN109))/($BP109+$BR109+$BQ109+$BO109)</f>
        <v>120.08159591258234</v>
      </c>
      <c r="CJ109">
        <f t="shared" ref="CJ109:CJ144" si="308">2*(CH109*$BS109-CI109*$BT109 )/$BQ$38 + $BF109/2</f>
        <v>1.3324136608703048</v>
      </c>
      <c r="CK109">
        <f t="shared" ref="CK109:CK144" si="309">CH109*(CJ109-$BG109/3)+CI109*(-$BF109+CJ109+$BG109/3)+(CH109-CI109)*(CJ109-$BG109)</f>
        <v>-9.891431571988818E-2</v>
      </c>
      <c r="CL109">
        <f t="shared" ref="CL109:CL144" si="310">CH109-CK109/3</f>
        <v>144.97906405188706</v>
      </c>
      <c r="CM109" s="207">
        <f t="shared" ref="CM109" si="311" xml:space="preserve"> ($BQ$38-CL109*($BP109+$BR109+$BQ109+$BN109))/($BP109+$BR109+$BQ109+$BO109)</f>
        <v>120.06279693976988</v>
      </c>
      <c r="CN109">
        <f t="shared" ref="CN109:CN144" si="312">2*(CL109*$BS109-CM109*$BT109 )/$BQ$38 + $BF109/2</f>
        <v>1.3324936761430553</v>
      </c>
      <c r="CO109">
        <f t="shared" ref="CO109:CO144" si="313">CL109*(CN109-$BG109/3)+CM109*(-$BF109+CN109+$BG109/3)+(CL109-CM109)*(CN109-$BG109)</f>
        <v>-2.5424782056049366E-4</v>
      </c>
      <c r="CP109">
        <f t="shared" ref="CP109:CP144" si="314">CL109-CO109/3</f>
        <v>144.97914880116059</v>
      </c>
      <c r="CQ109" s="207">
        <f t="shared" ref="CQ109" si="315" xml:space="preserve"> ($BQ$38-CP109*($BP109+$BR109+$BQ109+$BN109))/($BP109+$BR109+$BQ109+$BO109)</f>
        <v>120.06274861918219</v>
      </c>
      <c r="CR109">
        <f t="shared" ref="CR109:CR144" si="316">2*(CP109*$BS109-CQ109*$BT109 )/$BQ$38 + $BF109/2</f>
        <v>1.3324938818130692</v>
      </c>
      <c r="CS109">
        <f t="shared" ref="CS109:CS144" si="317">CP109*(CR109-$BG109/3)+CQ109*(-$BF109+CR109+$BG109/3)+(CP109-CQ109)*(CR109-$BG109)</f>
        <v>-6.3991733867396761E-7</v>
      </c>
      <c r="CT109">
        <f t="shared" ref="CT109:CT144" si="318">CP109-CS109/3</f>
        <v>144.97914901446637</v>
      </c>
      <c r="CU109" s="636">
        <f t="shared" ref="CU109:CU144" si="319" xml:space="preserve"> ($BQ$38-CT109*($BP109+$BR109+$BQ109+$BN109))/($BP109+$BR109+$BQ109+$BO109)</f>
        <v>120.06274849756392</v>
      </c>
      <c r="CV109" s="575">
        <f t="shared" ref="CV109:CV144" si="320">2*(CT109*$BS109-CU109*$BT109 )/$BQ$38 + $BF109/2</f>
        <v>1.3324938823307209</v>
      </c>
      <c r="CW109">
        <f t="shared" ref="CW109:CW144" si="321">CT109*(CV109-$BG109/3)+CU109*(-$BF109+CV109+$BG109/3)+(CT109-CU109)*(CV109-$BG109)</f>
        <v>-1.6105108358033249E-9</v>
      </c>
      <c r="CX109" s="576">
        <f t="shared" ref="CX109:CX144" si="322">CV109/BE109</f>
        <v>0.33919542527428065</v>
      </c>
    </row>
    <row r="110" spans="1:102" x14ac:dyDescent="0.25">
      <c r="A110" s="186">
        <v>66</v>
      </c>
      <c r="B110" s="187">
        <f>A110/100*'Inputs-Imperial'!$E$5</f>
        <v>15.893701296</v>
      </c>
      <c r="C110" s="188">
        <f>'Inputs-Imperial'!$E$10+('Inputs-Imperial'!$E$9-'Inputs-Imperial'!$E$10)*(100-A110)/100</f>
        <v>3.9105972380000003</v>
      </c>
      <c r="D110" s="187">
        <f t="shared" ref="D110:D144" si="323">B110-B109</f>
        <v>0.24081365600000026</v>
      </c>
      <c r="E110" s="188">
        <f t="shared" ref="E110:E144" si="324">D110*AVERAGE(C109:C110)</f>
        <v>0.94386828581763038</v>
      </c>
      <c r="F110" s="423">
        <f>Sizing!F126</f>
        <v>251.23027309151016</v>
      </c>
      <c r="G110" s="423">
        <f>Sizing!G126</f>
        <v>2512.3027309151007</v>
      </c>
      <c r="H110" s="423">
        <f>Sizing!H126</f>
        <v>9581.2378622878368</v>
      </c>
      <c r="I110" s="423">
        <f>Sizing!I126</f>
        <v>-4503.1716527902945</v>
      </c>
      <c r="J110" s="189">
        <f>Sizing!J126</f>
        <v>958.12378622878373</v>
      </c>
      <c r="K110" s="128">
        <v>66</v>
      </c>
      <c r="L110" s="12">
        <f t="shared" si="265"/>
        <v>190.72441555199998</v>
      </c>
      <c r="M110" s="11">
        <f t="shared" si="265"/>
        <v>46.927166855999999</v>
      </c>
      <c r="N110" s="11">
        <f t="shared" si="265"/>
        <v>2.8897638720000032</v>
      </c>
      <c r="O110" s="152">
        <f t="shared" ref="O110:O144" si="325">E110*12*12</f>
        <v>135.91703315773879</v>
      </c>
      <c r="P110" s="170">
        <f t="shared" si="260"/>
        <v>8.4468900340799991</v>
      </c>
      <c r="Q110" s="8">
        <f t="shared" si="261"/>
        <v>4.2234450170399995</v>
      </c>
      <c r="R110" s="170">
        <f>Sizing!X126</f>
        <v>11.731791714</v>
      </c>
      <c r="S110" s="8">
        <f>Sizing!Y126</f>
        <v>35.195375142000003</v>
      </c>
      <c r="T110" s="8">
        <f>Sizing!Z126</f>
        <v>23.463583428000003</v>
      </c>
      <c r="U110" s="17">
        <f>Sizing!CN126</f>
        <v>1.5</v>
      </c>
      <c r="V110" s="17">
        <f>Sizing!CO126</f>
        <v>2.3622047244094495E-2</v>
      </c>
      <c r="W110" s="17">
        <f>Sizing!CP126</f>
        <v>1.5748031496062995E-2</v>
      </c>
      <c r="X110" s="170">
        <f>Sizing!DU126</f>
        <v>0.53422373583376614</v>
      </c>
      <c r="Y110" s="170">
        <f>Sizing!DV126</f>
        <v>0.73090610603125084</v>
      </c>
      <c r="Z110" s="170">
        <f>Sizing!DW126</f>
        <v>0.53422373583376614</v>
      </c>
      <c r="AA110" s="272">
        <f>Sizing!DX126</f>
        <v>0.73090610603125084</v>
      </c>
      <c r="AB110" s="272">
        <f t="shared" si="266"/>
        <v>4.6372437705684337</v>
      </c>
      <c r="AC110" s="216">
        <f>Sizing!GJ126</f>
        <v>0.5</v>
      </c>
      <c r="AD110" s="216">
        <f>Sizing!GK126</f>
        <v>3.1496062992125991E-2</v>
      </c>
      <c r="AE110" s="17">
        <f>Sizing!GL126</f>
        <v>3.1496062992125991E-2</v>
      </c>
      <c r="AF110" s="170">
        <f>Sizing!JC126</f>
        <v>8.8060777215215446E-3</v>
      </c>
      <c r="AG110" s="272">
        <f>Sizing!JD126</f>
        <v>9.3840703969660974E-2</v>
      </c>
      <c r="AH110" s="170">
        <f>Sizing!JC126</f>
        <v>8.8060777215215446E-3</v>
      </c>
      <c r="AI110" s="272">
        <f>Sizing!JD126</f>
        <v>9.3840703969660974E-2</v>
      </c>
      <c r="AJ110" s="216">
        <f>Sizing!IT126</f>
        <v>0.25</v>
      </c>
      <c r="AK110" s="216">
        <f>Sizing!IU126</f>
        <v>1.5748031496062995E-2</v>
      </c>
      <c r="AL110" s="17">
        <f>Sizing!IV126</f>
        <v>1.5748031496062995E-2</v>
      </c>
      <c r="AM110" s="170">
        <f t="shared" si="267"/>
        <v>0</v>
      </c>
      <c r="AN110" s="11">
        <f t="shared" si="268"/>
        <v>2.8719907821631812</v>
      </c>
      <c r="AO110" s="11">
        <f t="shared" si="269"/>
        <v>2.8719907821631812</v>
      </c>
      <c r="AP110" s="11">
        <f t="shared" si="270"/>
        <v>5.7439815643263623</v>
      </c>
      <c r="AQ110" s="555">
        <f t="shared" si="271"/>
        <v>91640515.793944359</v>
      </c>
      <c r="AR110" s="311">
        <f t="shared" si="272"/>
        <v>12.112290416160736</v>
      </c>
      <c r="AS110" s="11">
        <f t="shared" si="273"/>
        <v>0.15468903680347887</v>
      </c>
      <c r="AT110" s="11">
        <f t="shared" si="274"/>
        <v>9.3842636582365362</v>
      </c>
      <c r="AU110" s="11">
        <f t="shared" si="275"/>
        <v>9.538952695040015</v>
      </c>
      <c r="AV110" s="555">
        <f t="shared" si="276"/>
        <v>152186168.30815351</v>
      </c>
      <c r="AW110" s="138">
        <f t="shared" si="277"/>
        <v>3.9370078740157494E-2</v>
      </c>
      <c r="AX110" s="138">
        <f t="shared" si="278"/>
        <v>6.2992125984251982E-2</v>
      </c>
      <c r="AY110" s="554">
        <f t="shared" si="279"/>
        <v>3.1496062992125991E-2</v>
      </c>
      <c r="AZ110" s="12">
        <f t="shared" si="280"/>
        <v>933.96867780918376</v>
      </c>
      <c r="BA110" s="11">
        <f t="shared" si="281"/>
        <v>150.29961187126966</v>
      </c>
      <c r="BB110">
        <f t="shared" si="282"/>
        <v>913.9723112522787</v>
      </c>
      <c r="BC110" s="555">
        <f t="shared" si="283"/>
        <v>3446578618.0646086</v>
      </c>
      <c r="BD110">
        <f t="shared" si="284"/>
        <v>66</v>
      </c>
      <c r="BE110" s="207">
        <f t="shared" si="285"/>
        <v>3.9105972380000003</v>
      </c>
      <c r="BF110" s="207">
        <f>'Inputs-Imperial'!$E$15*BE110</f>
        <v>2.9329479285</v>
      </c>
      <c r="BG110" s="207">
        <f>'Inputs-Imperial'!$E$12*BE110</f>
        <v>0.97764930950000006</v>
      </c>
      <c r="BH110">
        <f>'Inputs-Imperial'!$E$11*BE110</f>
        <v>0.70390750284000003</v>
      </c>
      <c r="BI110">
        <f t="shared" si="286"/>
        <v>0.74660665287937944</v>
      </c>
      <c r="BJ110">
        <f>'Weight '!U112+'Weight '!V112 /12</f>
        <v>2.4934383202099744E-2</v>
      </c>
      <c r="BK110">
        <f>('Weight '!AK112+'Weight '!AL112)/12</f>
        <v>5.2493438320209982E-3</v>
      </c>
      <c r="BL110">
        <f>'Weight '!AG112/12</f>
        <v>6.0908842169270901E-2</v>
      </c>
      <c r="BM110">
        <f>'Weight '!AI112/12</f>
        <v>6.0908842169270901E-2</v>
      </c>
      <c r="BN110" s="554">
        <f t="shared" si="287"/>
        <v>2.0929590508298284</v>
      </c>
      <c r="BO110" s="554">
        <f t="shared" si="288"/>
        <v>4.2094409499644687</v>
      </c>
      <c r="BP110">
        <f t="shared" si="289"/>
        <v>6.0908842169270901E-2</v>
      </c>
      <c r="BQ110">
        <f t="shared" si="289"/>
        <v>6.0908842169270901E-2</v>
      </c>
      <c r="BR110">
        <f t="shared" si="290"/>
        <v>0.58208981850145813</v>
      </c>
      <c r="BS110">
        <f t="shared" si="291"/>
        <v>0.5161310130775465</v>
      </c>
      <c r="BT110">
        <f t="shared" si="292"/>
        <v>1.2037012408149212</v>
      </c>
      <c r="BU110">
        <f t="shared" si="293"/>
        <v>0.92464454533849949</v>
      </c>
      <c r="BV110">
        <f t="shared" si="294"/>
        <v>178.77148959571895</v>
      </c>
      <c r="BW110" s="207">
        <f t="shared" si="295"/>
        <v>101.76359458377253</v>
      </c>
      <c r="BX110">
        <f t="shared" si="296"/>
        <v>1.4060270541782938</v>
      </c>
      <c r="BY110" s="575">
        <f t="shared" si="297"/>
        <v>-49.297964387411213</v>
      </c>
      <c r="BZ110">
        <f t="shared" si="298"/>
        <v>195.20414439152268</v>
      </c>
      <c r="CA110" s="207">
        <f t="shared" si="299"/>
        <v>92.409496654863744</v>
      </c>
      <c r="CB110">
        <f t="shared" si="300"/>
        <v>1.445508938280381</v>
      </c>
      <c r="CC110">
        <f t="shared" si="301"/>
        <v>159.31027405364281</v>
      </c>
      <c r="CD110">
        <f t="shared" si="302"/>
        <v>142.10071970697507</v>
      </c>
      <c r="CE110" s="207">
        <f t="shared" si="303"/>
        <v>122.6380045272824</v>
      </c>
      <c r="CF110">
        <f t="shared" si="304"/>
        <v>1.3179201046517075</v>
      </c>
      <c r="CG110">
        <f t="shared" si="305"/>
        <v>-10.50637063429641</v>
      </c>
      <c r="CH110">
        <f t="shared" si="306"/>
        <v>145.60284325174055</v>
      </c>
      <c r="CI110" s="207">
        <f t="shared" ref="CI110" si="326" xml:space="preserve"> ($BQ$38-CH110*($BP110+$BR110+$BQ110+$BN110))/($BP110+$BR110+$BQ110+$BO110)</f>
        <v>120.64446136557494</v>
      </c>
      <c r="CJ110">
        <f t="shared" si="308"/>
        <v>1.3263344745526033</v>
      </c>
      <c r="CK110">
        <f t="shared" si="309"/>
        <v>-0.1418416081660272</v>
      </c>
      <c r="CL110">
        <f t="shared" si="310"/>
        <v>145.65012378779591</v>
      </c>
      <c r="CM110" s="207">
        <f t="shared" ref="CM110" si="327" xml:space="preserve"> ($BQ$38-CL110*($BP110+$BR110+$BQ110+$BN110))/($BP110+$BR110+$BQ110+$BO110)</f>
        <v>120.61754746944017</v>
      </c>
      <c r="CN110">
        <f t="shared" si="312"/>
        <v>1.3264480730348946</v>
      </c>
      <c r="CO110">
        <f t="shared" si="313"/>
        <v>-1.1085235421717243E-3</v>
      </c>
      <c r="CP110">
        <f t="shared" si="314"/>
        <v>145.65049329564329</v>
      </c>
      <c r="CQ110" s="207">
        <f t="shared" ref="CQ110" si="328" xml:space="preserve"> ($BQ$38-CP110*($BP110+$BR110+$BQ110+$BN110))/($BP110+$BR110+$BQ110+$BO110)</f>
        <v>120.61733713138872</v>
      </c>
      <c r="CR110">
        <f t="shared" si="316"/>
        <v>1.326448960832161</v>
      </c>
      <c r="CS110">
        <f t="shared" si="317"/>
        <v>-8.5787495276434811E-6</v>
      </c>
      <c r="CT110">
        <f t="shared" si="318"/>
        <v>145.65049615522645</v>
      </c>
      <c r="CU110" s="636">
        <f t="shared" si="319"/>
        <v>120.61733550360421</v>
      </c>
      <c r="CV110" s="575">
        <f t="shared" si="320"/>
        <v>1.3264489677027327</v>
      </c>
      <c r="CW110">
        <f t="shared" si="321"/>
        <v>-6.6384954422460396E-8</v>
      </c>
      <c r="CX110" s="576">
        <f t="shared" si="322"/>
        <v>0.33919344974045945</v>
      </c>
    </row>
    <row r="111" spans="1:102" x14ac:dyDescent="0.25">
      <c r="A111" s="186">
        <v>67</v>
      </c>
      <c r="B111" s="187">
        <f>A111/100*'Inputs-Imperial'!$E$5</f>
        <v>16.134514952</v>
      </c>
      <c r="C111" s="188">
        <f>'Inputs-Imperial'!$E$10+('Inputs-Imperial'!$E$9-'Inputs-Imperial'!$E$10)*(100-A111)/100</f>
        <v>3.8927986810000004</v>
      </c>
      <c r="D111" s="187">
        <f t="shared" si="323"/>
        <v>0.24081365600000026</v>
      </c>
      <c r="E111" s="188">
        <f t="shared" si="324"/>
        <v>0.93958215023493608</v>
      </c>
      <c r="F111" s="423">
        <f>Sizing!F127</f>
        <v>242.0990261543362</v>
      </c>
      <c r="G111" s="423">
        <f>Sizing!G127</f>
        <v>2420.9902615433612</v>
      </c>
      <c r="H111" s="423">
        <f>Sizing!H127</f>
        <v>8976.241056677387</v>
      </c>
      <c r="I111" s="423">
        <f>Sizing!I127</f>
        <v>-4305.8429149492904</v>
      </c>
      <c r="J111" s="189">
        <f>Sizing!J127</f>
        <v>897.62410566773872</v>
      </c>
      <c r="K111" s="128">
        <v>67</v>
      </c>
      <c r="L111" s="12">
        <f t="shared" si="265"/>
        <v>193.61417942399999</v>
      </c>
      <c r="M111" s="11">
        <f t="shared" si="265"/>
        <v>46.713584172000004</v>
      </c>
      <c r="N111" s="11">
        <f t="shared" si="265"/>
        <v>2.8897638720000032</v>
      </c>
      <c r="O111" s="152">
        <f t="shared" si="325"/>
        <v>135.2998296338308</v>
      </c>
      <c r="P111" s="170">
        <f t="shared" si="260"/>
        <v>8.4084451509600004</v>
      </c>
      <c r="Q111" s="8">
        <f t="shared" si="261"/>
        <v>4.2042225754800002</v>
      </c>
      <c r="R111" s="170">
        <f>Sizing!X127</f>
        <v>11.678396043000001</v>
      </c>
      <c r="S111" s="8">
        <f>Sizing!Y127</f>
        <v>35.035188129000005</v>
      </c>
      <c r="T111" s="8">
        <f>Sizing!Z127</f>
        <v>23.356792086000006</v>
      </c>
      <c r="U111" s="17">
        <f>Sizing!CN127</f>
        <v>1.5</v>
      </c>
      <c r="V111" s="17">
        <f>Sizing!CO127</f>
        <v>2.3622047244094495E-2</v>
      </c>
      <c r="W111" s="17">
        <f>Sizing!CP127</f>
        <v>1.5748031496062995E-2</v>
      </c>
      <c r="X111" s="170">
        <f>Sizing!DU127</f>
        <v>0.53422373583376614</v>
      </c>
      <c r="Y111" s="170">
        <f>Sizing!DV127</f>
        <v>0.73090610603125084</v>
      </c>
      <c r="Z111" s="170">
        <f>Sizing!DW127</f>
        <v>0.53422373583376614</v>
      </c>
      <c r="AA111" s="272">
        <f>Sizing!DX127</f>
        <v>0.73090610603125084</v>
      </c>
      <c r="AB111" s="272">
        <f t="shared" si="266"/>
        <v>4.5987988874484351</v>
      </c>
      <c r="AC111" s="216">
        <f>Sizing!GJ127</f>
        <v>0.5</v>
      </c>
      <c r="AD111" s="216">
        <f>Sizing!GK127</f>
        <v>3.1496062992125991E-2</v>
      </c>
      <c r="AE111" s="17">
        <f>Sizing!GL127</f>
        <v>3.1496062992125991E-2</v>
      </c>
      <c r="AF111" s="170">
        <f>Sizing!JC127</f>
        <v>8.8060777215215446E-3</v>
      </c>
      <c r="AG111" s="272">
        <f>Sizing!JD127</f>
        <v>9.3840703969660974E-2</v>
      </c>
      <c r="AH111" s="170">
        <f>Sizing!JC127</f>
        <v>8.8060777215215446E-3</v>
      </c>
      <c r="AI111" s="272">
        <f>Sizing!JD127</f>
        <v>9.3840703969660974E-2</v>
      </c>
      <c r="AJ111" s="216">
        <f>Sizing!IT127</f>
        <v>0.25</v>
      </c>
      <c r="AK111" s="216">
        <f>Sizing!IU127</f>
        <v>1.5748031496062995E-2</v>
      </c>
      <c r="AL111" s="17">
        <f>Sizing!IV127</f>
        <v>1.5748031496062995E-2</v>
      </c>
      <c r="AM111" s="170">
        <f t="shared" si="267"/>
        <v>0</v>
      </c>
      <c r="AN111" s="11">
        <f t="shared" si="268"/>
        <v>2.8245679307187004</v>
      </c>
      <c r="AO111" s="11">
        <f t="shared" si="269"/>
        <v>2.8245679307187004</v>
      </c>
      <c r="AP111" s="11">
        <f t="shared" si="270"/>
        <v>5.6491358614374008</v>
      </c>
      <c r="AQ111" s="555">
        <f t="shared" si="271"/>
        <v>90127330.377827346</v>
      </c>
      <c r="AR111" s="311">
        <f t="shared" si="272"/>
        <v>12.057162956529316</v>
      </c>
      <c r="AS111" s="11">
        <f t="shared" si="273"/>
        <v>0.15328414851288749</v>
      </c>
      <c r="AT111" s="11">
        <f t="shared" si="274"/>
        <v>9.2990356265562699</v>
      </c>
      <c r="AU111" s="11">
        <f t="shared" si="275"/>
        <v>9.4523197750691565</v>
      </c>
      <c r="AV111" s="555">
        <f t="shared" si="276"/>
        <v>150804011.10901284</v>
      </c>
      <c r="AW111" s="138">
        <f t="shared" si="277"/>
        <v>3.9370078740157494E-2</v>
      </c>
      <c r="AX111" s="138">
        <f t="shared" si="278"/>
        <v>6.2992125984251982E-2</v>
      </c>
      <c r="AY111" s="554">
        <f t="shared" si="279"/>
        <v>3.1496062992125991E-2</v>
      </c>
      <c r="AZ111" s="12">
        <f t="shared" si="280"/>
        <v>925.48635943454713</v>
      </c>
      <c r="BA111" s="11">
        <f t="shared" si="281"/>
        <v>149.61554341671894</v>
      </c>
      <c r="BB111">
        <f t="shared" si="282"/>
        <v>901.54955780288583</v>
      </c>
      <c r="BC111" s="555">
        <f t="shared" si="283"/>
        <v>3399732563.8799891</v>
      </c>
      <c r="BD111">
        <f t="shared" si="284"/>
        <v>67</v>
      </c>
      <c r="BE111" s="207">
        <f t="shared" si="285"/>
        <v>3.8927986810000004</v>
      </c>
      <c r="BF111" s="207">
        <f>'Inputs-Imperial'!$E$15*BE111</f>
        <v>2.9195990107500003</v>
      </c>
      <c r="BG111" s="207">
        <f>'Inputs-Imperial'!$E$12*BE111</f>
        <v>0.97319967025000009</v>
      </c>
      <c r="BH111">
        <f>'Inputs-Imperial'!$E$11*BE111</f>
        <v>0.70070376258</v>
      </c>
      <c r="BI111">
        <f t="shared" si="286"/>
        <v>0.74320857318486988</v>
      </c>
      <c r="BJ111">
        <f>'Weight '!U113+'Weight '!V113 /12</f>
        <v>2.4934383202099744E-2</v>
      </c>
      <c r="BK111">
        <f>('Weight '!AK113+'Weight '!AL113)/12</f>
        <v>5.2493438320209982E-3</v>
      </c>
      <c r="BL111">
        <f>'Weight '!AG113/12</f>
        <v>6.0908842169270901E-2</v>
      </c>
      <c r="BM111">
        <f>'Weight '!AI113/12</f>
        <v>6.0908842169270901E-2</v>
      </c>
      <c r="BN111" s="554">
        <f t="shared" si="287"/>
        <v>2.0805371863546309</v>
      </c>
      <c r="BO111" s="554">
        <f t="shared" si="288"/>
        <v>4.1931782890784426</v>
      </c>
      <c r="BP111">
        <f t="shared" si="289"/>
        <v>6.0908842169270901E-2</v>
      </c>
      <c r="BQ111">
        <f t="shared" si="289"/>
        <v>6.0908842169270901E-2</v>
      </c>
      <c r="BR111">
        <f t="shared" si="290"/>
        <v>0.5788860782414581</v>
      </c>
      <c r="BS111">
        <f t="shared" si="291"/>
        <v>0.51144350301434283</v>
      </c>
      <c r="BT111">
        <f t="shared" si="292"/>
        <v>1.1927692070164349</v>
      </c>
      <c r="BU111">
        <f t="shared" si="293"/>
        <v>0.90792553989552871</v>
      </c>
      <c r="BV111">
        <f t="shared" si="294"/>
        <v>179.77586594628835</v>
      </c>
      <c r="BW111" s="207">
        <f t="shared" si="295"/>
        <v>102.16837976929983</v>
      </c>
      <c r="BX111">
        <f t="shared" si="296"/>
        <v>1.3999633080098499</v>
      </c>
      <c r="BY111" s="575">
        <f t="shared" si="297"/>
        <v>-49.078513530541599</v>
      </c>
      <c r="BZ111">
        <f t="shared" si="298"/>
        <v>196.13537045646888</v>
      </c>
      <c r="CA111" s="207">
        <f t="shared" si="299"/>
        <v>92.871113638299434</v>
      </c>
      <c r="CB111">
        <f t="shared" si="300"/>
        <v>1.4388762180993695</v>
      </c>
      <c r="CC111">
        <f t="shared" si="301"/>
        <v>159.28697440481048</v>
      </c>
      <c r="CD111">
        <f t="shared" si="302"/>
        <v>143.03971232153205</v>
      </c>
      <c r="CE111" s="207">
        <f t="shared" si="303"/>
        <v>123.04589452936672</v>
      </c>
      <c r="CF111">
        <f t="shared" si="304"/>
        <v>1.3125822603659354</v>
      </c>
      <c r="CG111">
        <f t="shared" si="305"/>
        <v>-9.6858632791070995</v>
      </c>
      <c r="CH111">
        <f t="shared" si="306"/>
        <v>146.26833341456776</v>
      </c>
      <c r="CI111" s="207">
        <f t="shared" ref="CI111" si="329" xml:space="preserve"> ($BQ$38-CH111*($BP111+$BR111+$BQ111+$BN111))/($BP111+$BR111+$BQ111+$BO111)</f>
        <v>121.21103764116241</v>
      </c>
      <c r="CJ111">
        <f t="shared" si="308"/>
        <v>1.320261896520456</v>
      </c>
      <c r="CK111">
        <f t="shared" si="309"/>
        <v>-0.17694701822467351</v>
      </c>
      <c r="CL111">
        <f t="shared" si="310"/>
        <v>146.32731575397599</v>
      </c>
      <c r="CM111" s="207">
        <f t="shared" ref="CM111" si="330" xml:space="preserve"> ($BQ$38-CL111*($BP111+$BR111+$BQ111+$BN111))/($BP111+$BR111+$BQ111+$BO111)</f>
        <v>121.17751740183206</v>
      </c>
      <c r="CN111">
        <f t="shared" si="312"/>
        <v>1.3204021926075917</v>
      </c>
      <c r="CO111">
        <f t="shared" si="313"/>
        <v>-2.3100958771902214E-3</v>
      </c>
      <c r="CP111">
        <f t="shared" si="314"/>
        <v>146.32808578593506</v>
      </c>
      <c r="CQ111" s="207">
        <f t="shared" ref="CQ111" si="331" xml:space="preserve"> ($BQ$38-CP111*($BP111+$BR111+$BQ111+$BN111))/($BP111+$BR111+$BQ111+$BO111)</f>
        <v>121.17707978515189</v>
      </c>
      <c r="CR111">
        <f t="shared" si="316"/>
        <v>1.3204040242146782</v>
      </c>
      <c r="CS111">
        <f t="shared" si="317"/>
        <v>-2.9940101976322353E-5</v>
      </c>
      <c r="CT111">
        <f t="shared" si="318"/>
        <v>146.32809576596904</v>
      </c>
      <c r="CU111" s="636">
        <f t="shared" si="319"/>
        <v>121.17707411340115</v>
      </c>
      <c r="CV111" s="575">
        <f t="shared" si="320"/>
        <v>1.3204040479533046</v>
      </c>
      <c r="CW111">
        <f t="shared" si="321"/>
        <v>-3.8800303769903621E-7</v>
      </c>
      <c r="CX111" s="576">
        <f t="shared" si="322"/>
        <v>0.3391914548260464</v>
      </c>
    </row>
    <row r="112" spans="1:102" x14ac:dyDescent="0.25">
      <c r="A112" s="186">
        <v>68</v>
      </c>
      <c r="B112" s="187">
        <f>A112/100*'Inputs-Imperial'!$E$5</f>
        <v>16.375328608</v>
      </c>
      <c r="C112" s="188">
        <f>'Inputs-Imperial'!$E$10+('Inputs-Imperial'!$E$9-'Inputs-Imperial'!$E$10)*(100-A112)/100</f>
        <v>3.8750001240000005</v>
      </c>
      <c r="D112" s="187">
        <f t="shared" si="323"/>
        <v>0.24081365600000026</v>
      </c>
      <c r="E112" s="188">
        <f t="shared" si="324"/>
        <v>0.93529601465224166</v>
      </c>
      <c r="F112" s="423">
        <f>Sizing!F128</f>
        <v>233.04417246156717</v>
      </c>
      <c r="G112" s="423">
        <f>Sizing!G128</f>
        <v>2330.4417246156709</v>
      </c>
      <c r="H112" s="423">
        <f>Sizing!H128</f>
        <v>8393.2335406547336</v>
      </c>
      <c r="I112" s="423">
        <f>Sizing!I128</f>
        <v>-4111.8251917259577</v>
      </c>
      <c r="J112" s="189">
        <f>Sizing!J128</f>
        <v>839.32335406547338</v>
      </c>
      <c r="K112" s="128">
        <v>68</v>
      </c>
      <c r="L112" s="12">
        <f t="shared" si="265"/>
        <v>196.50394329599999</v>
      </c>
      <c r="M112" s="11">
        <f t="shared" si="265"/>
        <v>46.500001488000009</v>
      </c>
      <c r="N112" s="11">
        <f t="shared" si="265"/>
        <v>2.8897638720000032</v>
      </c>
      <c r="O112" s="152">
        <f t="shared" si="325"/>
        <v>134.68262610992281</v>
      </c>
      <c r="P112" s="170">
        <f t="shared" si="260"/>
        <v>8.3700002678400018</v>
      </c>
      <c r="Q112" s="8">
        <f t="shared" si="261"/>
        <v>4.1850001339200009</v>
      </c>
      <c r="R112" s="170">
        <f>Sizing!X128</f>
        <v>11.625000372000002</v>
      </c>
      <c r="S112" s="8">
        <f>Sizing!Y128</f>
        <v>34.875001116000007</v>
      </c>
      <c r="T112" s="8">
        <f>Sizing!Z128</f>
        <v>23.250000744000005</v>
      </c>
      <c r="U112" s="17">
        <f>Sizing!CN128</f>
        <v>1.5</v>
      </c>
      <c r="V112" s="17">
        <f>Sizing!CO128</f>
        <v>2.3622047244094495E-2</v>
      </c>
      <c r="W112" s="17">
        <f>Sizing!CP128</f>
        <v>1.5748031496062995E-2</v>
      </c>
      <c r="X112" s="170">
        <f>Sizing!DU128</f>
        <v>0.53422373583376614</v>
      </c>
      <c r="Y112" s="170">
        <f>Sizing!DV128</f>
        <v>0.73090610603125084</v>
      </c>
      <c r="Z112" s="170">
        <f>Sizing!DW128</f>
        <v>0.53422373583376614</v>
      </c>
      <c r="AA112" s="272">
        <f>Sizing!DX128</f>
        <v>0.73090610603125084</v>
      </c>
      <c r="AB112" s="272">
        <f t="shared" si="266"/>
        <v>4.5603540043284365</v>
      </c>
      <c r="AC112" s="216">
        <f>Sizing!GJ128</f>
        <v>0.5</v>
      </c>
      <c r="AD112" s="216">
        <f>Sizing!GK128</f>
        <v>3.1496062992125991E-2</v>
      </c>
      <c r="AE112" s="17">
        <f>Sizing!GL128</f>
        <v>3.1496062992125991E-2</v>
      </c>
      <c r="AF112" s="170">
        <f>Sizing!JC128</f>
        <v>8.8060777215215446E-3</v>
      </c>
      <c r="AG112" s="272">
        <f>Sizing!JD128</f>
        <v>9.3840703969660974E-2</v>
      </c>
      <c r="AH112" s="170">
        <f>Sizing!JC128</f>
        <v>8.8060777215215446E-3</v>
      </c>
      <c r="AI112" s="272">
        <f>Sizing!JD128</f>
        <v>9.3840703969660974E-2</v>
      </c>
      <c r="AJ112" s="216">
        <f>Sizing!IT128</f>
        <v>0.25</v>
      </c>
      <c r="AK112" s="216">
        <f>Sizing!IU128</f>
        <v>1.5748031496062995E-2</v>
      </c>
      <c r="AL112" s="17">
        <f>Sizing!IV128</f>
        <v>1.5748031496062995E-2</v>
      </c>
      <c r="AM112" s="170">
        <f t="shared" si="267"/>
        <v>0</v>
      </c>
      <c r="AN112" s="11">
        <f t="shared" si="268"/>
        <v>2.7775398730291867</v>
      </c>
      <c r="AO112" s="11">
        <f t="shared" si="269"/>
        <v>2.7775398730291867</v>
      </c>
      <c r="AP112" s="11">
        <f t="shared" si="270"/>
        <v>5.5550797460583734</v>
      </c>
      <c r="AQ112" s="555">
        <f t="shared" si="271"/>
        <v>88626742.182969585</v>
      </c>
      <c r="AR112" s="311">
        <f t="shared" si="272"/>
        <v>12.002035496897896</v>
      </c>
      <c r="AS112" s="11">
        <f t="shared" si="273"/>
        <v>0.1518856689665348</v>
      </c>
      <c r="AT112" s="11">
        <f t="shared" si="274"/>
        <v>9.2141963835509895</v>
      </c>
      <c r="AU112" s="11">
        <f t="shared" si="275"/>
        <v>9.366082052517525</v>
      </c>
      <c r="AV112" s="555">
        <f t="shared" si="276"/>
        <v>149428158.96063405</v>
      </c>
      <c r="AW112" s="138">
        <f t="shared" si="277"/>
        <v>3.9370078740157494E-2</v>
      </c>
      <c r="AX112" s="138">
        <f t="shared" si="278"/>
        <v>6.2992125984251982E-2</v>
      </c>
      <c r="AY112" s="554">
        <f t="shared" si="279"/>
        <v>3.1496062992125991E-2</v>
      </c>
      <c r="AZ112" s="12">
        <f t="shared" si="280"/>
        <v>917.04273524604412</v>
      </c>
      <c r="BA112" s="11">
        <f t="shared" si="281"/>
        <v>148.93147496216832</v>
      </c>
      <c r="BB112">
        <f t="shared" si="282"/>
        <v>889.23988454978951</v>
      </c>
      <c r="BC112" s="555">
        <f t="shared" si="283"/>
        <v>3353312933.7586422</v>
      </c>
      <c r="BD112">
        <f t="shared" si="284"/>
        <v>68</v>
      </c>
      <c r="BE112" s="207">
        <f t="shared" si="285"/>
        <v>3.8750001240000005</v>
      </c>
      <c r="BF112" s="207">
        <f>'Inputs-Imperial'!$E$15*BE112</f>
        <v>2.9062500930000006</v>
      </c>
      <c r="BG112" s="207">
        <f>'Inputs-Imperial'!$E$12*BE112</f>
        <v>0.96875003100000012</v>
      </c>
      <c r="BH112">
        <f>'Inputs-Imperial'!$E$11*BE112</f>
        <v>0.69750002232000008</v>
      </c>
      <c r="BI112">
        <f t="shared" si="286"/>
        <v>0.73981049349036043</v>
      </c>
      <c r="BJ112">
        <f>'Weight '!U114+'Weight '!V114 /12</f>
        <v>2.4934383202099744E-2</v>
      </c>
      <c r="BK112">
        <f>('Weight '!AK114+'Weight '!AL114)/12</f>
        <v>5.2493438320209982E-3</v>
      </c>
      <c r="BL112">
        <f>'Weight '!AG114/12</f>
        <v>6.0908842169270901E-2</v>
      </c>
      <c r="BM112">
        <f>'Weight '!AI114/12</f>
        <v>6.0908842169270901E-2</v>
      </c>
      <c r="BN112" s="554">
        <f t="shared" si="287"/>
        <v>2.0681142268680226</v>
      </c>
      <c r="BO112" s="554">
        <f t="shared" si="288"/>
        <v>4.1769167232038305</v>
      </c>
      <c r="BP112">
        <f t="shared" si="289"/>
        <v>6.0908842169270901E-2</v>
      </c>
      <c r="BQ112">
        <f t="shared" si="289"/>
        <v>6.0908842169270901E-2</v>
      </c>
      <c r="BR112">
        <f t="shared" si="290"/>
        <v>0.57568233798145818</v>
      </c>
      <c r="BS112">
        <f t="shared" si="291"/>
        <v>0.50677737618375074</v>
      </c>
      <c r="BT112">
        <f t="shared" si="292"/>
        <v>1.1818870423848367</v>
      </c>
      <c r="BU112">
        <f t="shared" si="293"/>
        <v>0.89143429510109129</v>
      </c>
      <c r="BV112">
        <f t="shared" si="294"/>
        <v>180.79166324327363</v>
      </c>
      <c r="BW112" s="207">
        <f t="shared" si="295"/>
        <v>102.57637500099868</v>
      </c>
      <c r="BX112">
        <f t="shared" si="296"/>
        <v>1.3938999190316688</v>
      </c>
      <c r="BY112" s="575">
        <f t="shared" si="297"/>
        <v>-48.856824522499934</v>
      </c>
      <c r="BZ112">
        <f t="shared" si="298"/>
        <v>197.07727141744027</v>
      </c>
      <c r="CA112" s="207">
        <f t="shared" si="299"/>
        <v>93.336354630453215</v>
      </c>
      <c r="CB112">
        <f t="shared" si="300"/>
        <v>1.4322475952864298</v>
      </c>
      <c r="CC112">
        <f t="shared" si="301"/>
        <v>159.26941835029453</v>
      </c>
      <c r="CD112">
        <f t="shared" si="302"/>
        <v>143.98746530067544</v>
      </c>
      <c r="CE112" s="207">
        <f t="shared" si="303"/>
        <v>123.45809676872734</v>
      </c>
      <c r="CF112">
        <f t="shared" si="304"/>
        <v>1.3072371765399464</v>
      </c>
      <c r="CG112">
        <f t="shared" si="305"/>
        <v>-8.8656718911001882</v>
      </c>
      <c r="CH112">
        <f t="shared" si="306"/>
        <v>146.9426892643755</v>
      </c>
      <c r="CI112" s="207">
        <f t="shared" ref="CI112" si="332" xml:space="preserve"> ($BQ$38-CH112*($BP112+$BR112+$BQ112+$BN112))/($BP112+$BR112+$BQ112+$BO112)</f>
        <v>121.78138139328144</v>
      </c>
      <c r="CJ112">
        <f t="shared" si="308"/>
        <v>1.3141958341846789</v>
      </c>
      <c r="CK112">
        <f t="shared" si="309"/>
        <v>-0.20423451645125112</v>
      </c>
      <c r="CL112">
        <f t="shared" si="310"/>
        <v>147.01076743652592</v>
      </c>
      <c r="CM112" s="207">
        <f t="shared" ref="CM112" si="333" xml:space="preserve"> ($BQ$38-CL112*($BP112+$BR112+$BQ112+$BN112))/($BP112+$BR112+$BQ112+$BO112)</f>
        <v>121.74275565141586</v>
      </c>
      <c r="CN112">
        <f t="shared" si="312"/>
        <v>1.3143561376672213</v>
      </c>
      <c r="CO112">
        <f t="shared" si="313"/>
        <v>-3.7355674493735336E-3</v>
      </c>
      <c r="CP112">
        <f t="shared" si="314"/>
        <v>147.01201262567571</v>
      </c>
      <c r="CQ112" s="207">
        <f t="shared" ref="CQ112" si="334" xml:space="preserve"> ($BQ$38-CP112*($BP112+$BR112+$BQ112+$BN112))/($BP112+$BR112+$BQ112+$BO112)</f>
        <v>121.74204916425332</v>
      </c>
      <c r="CR112">
        <f t="shared" si="316"/>
        <v>1.3143590697106475</v>
      </c>
      <c r="CS112">
        <f t="shared" si="317"/>
        <v>-6.7919171392816224E-5</v>
      </c>
      <c r="CT112">
        <f t="shared" si="318"/>
        <v>147.0120352653995</v>
      </c>
      <c r="CU112" s="636">
        <f t="shared" si="319"/>
        <v>121.74203631907695</v>
      </c>
      <c r="CV112" s="575">
        <f t="shared" si="320"/>
        <v>1.3143591230203422</v>
      </c>
      <c r="CW112">
        <f t="shared" si="321"/>
        <v>-1.2347545350621658E-6</v>
      </c>
      <c r="CX112" s="576">
        <f t="shared" si="322"/>
        <v>0.33918944024796166</v>
      </c>
    </row>
    <row r="113" spans="1:102" x14ac:dyDescent="0.25">
      <c r="A113" s="186">
        <v>69</v>
      </c>
      <c r="B113" s="187">
        <f>A113/100*'Inputs-Imperial'!$E$5</f>
        <v>16.616142263999997</v>
      </c>
      <c r="C113" s="188">
        <f>'Inputs-Imperial'!$E$10+('Inputs-Imperial'!$E$9-'Inputs-Imperial'!$E$10)*(100-A113)/100</f>
        <v>3.8572015670000006</v>
      </c>
      <c r="D113" s="187">
        <f t="shared" si="323"/>
        <v>0.24081365599999671</v>
      </c>
      <c r="E113" s="188">
        <f t="shared" si="324"/>
        <v>0.93100987906953359</v>
      </c>
      <c r="F113" s="423">
        <f>Sizing!F129</f>
        <v>224.06725191268799</v>
      </c>
      <c r="G113" s="423">
        <f>Sizing!G129</f>
        <v>2240.6725191268793</v>
      </c>
      <c r="H113" s="423">
        <f>Sizing!H129</f>
        <v>7832.0313488550964</v>
      </c>
      <c r="I113" s="423">
        <f>Sizing!I129</f>
        <v>-3921.1566464726652</v>
      </c>
      <c r="J113" s="189">
        <f>Sizing!J129</f>
        <v>783.2031348855096</v>
      </c>
      <c r="K113" s="128">
        <v>69</v>
      </c>
      <c r="L113" s="12">
        <f t="shared" si="265"/>
        <v>199.39370716799996</v>
      </c>
      <c r="M113" s="11">
        <f t="shared" si="265"/>
        <v>46.286418804000007</v>
      </c>
      <c r="N113" s="11">
        <f t="shared" si="265"/>
        <v>2.8897638719999605</v>
      </c>
      <c r="O113" s="152">
        <f t="shared" si="325"/>
        <v>134.06542258601283</v>
      </c>
      <c r="P113" s="170">
        <f t="shared" si="260"/>
        <v>8.3315553847200015</v>
      </c>
      <c r="Q113" s="8">
        <f t="shared" si="261"/>
        <v>4.1657776923600007</v>
      </c>
      <c r="R113" s="170">
        <f>Sizing!X129</f>
        <v>11.571604701000002</v>
      </c>
      <c r="S113" s="8">
        <f>Sizing!Y129</f>
        <v>34.714814103000009</v>
      </c>
      <c r="T113" s="8">
        <f>Sizing!Z129</f>
        <v>23.143209402000007</v>
      </c>
      <c r="U113" s="17">
        <f>Sizing!CN129</f>
        <v>1.5</v>
      </c>
      <c r="V113" s="17">
        <f>Sizing!CO129</f>
        <v>2.3622047244094495E-2</v>
      </c>
      <c r="W113" s="17">
        <f>Sizing!CP129</f>
        <v>1.5748031496062995E-2</v>
      </c>
      <c r="X113" s="170">
        <f>Sizing!DU129</f>
        <v>0.53422373583376614</v>
      </c>
      <c r="Y113" s="170">
        <f>Sizing!DV129</f>
        <v>0.73090610603125084</v>
      </c>
      <c r="Z113" s="170">
        <f>Sizing!DW129</f>
        <v>0.53422373583376614</v>
      </c>
      <c r="AA113" s="272">
        <f>Sizing!DX129</f>
        <v>0.73090610603125084</v>
      </c>
      <c r="AB113" s="272">
        <f t="shared" si="266"/>
        <v>4.5219091212084361</v>
      </c>
      <c r="AC113" s="216">
        <f>Sizing!GJ129</f>
        <v>0.5</v>
      </c>
      <c r="AD113" s="216">
        <f>Sizing!GK129</f>
        <v>3.1496062992125991E-2</v>
      </c>
      <c r="AE113" s="17">
        <f>Sizing!GL129</f>
        <v>3.1496062992125991E-2</v>
      </c>
      <c r="AF113" s="170">
        <f>Sizing!JC129</f>
        <v>8.8060777215215446E-3</v>
      </c>
      <c r="AG113" s="272">
        <f>Sizing!JD129</f>
        <v>9.3840703969660974E-2</v>
      </c>
      <c r="AH113" s="170">
        <f>Sizing!JC129</f>
        <v>8.8060777215215446E-3</v>
      </c>
      <c r="AI113" s="272">
        <f>Sizing!JD129</f>
        <v>9.3840703969660974E-2</v>
      </c>
      <c r="AJ113" s="216">
        <f>Sizing!IT129</f>
        <v>0.25</v>
      </c>
      <c r="AK113" s="216">
        <f>Sizing!IU129</f>
        <v>1.5748031496062995E-2</v>
      </c>
      <c r="AL113" s="17">
        <f>Sizing!IV129</f>
        <v>1.5748031496062995E-2</v>
      </c>
      <c r="AM113" s="170">
        <f t="shared" si="267"/>
        <v>0</v>
      </c>
      <c r="AN113" s="11">
        <f t="shared" si="268"/>
        <v>2.7309066090946388</v>
      </c>
      <c r="AO113" s="11">
        <f t="shared" si="269"/>
        <v>2.7309066090946388</v>
      </c>
      <c r="AP113" s="11">
        <f t="shared" si="270"/>
        <v>5.4618132181892776</v>
      </c>
      <c r="AQ113" s="555">
        <f t="shared" si="271"/>
        <v>87138751.209371015</v>
      </c>
      <c r="AR113" s="311">
        <f t="shared" si="272"/>
        <v>11.946908037266475</v>
      </c>
      <c r="AS113" s="11">
        <f t="shared" si="273"/>
        <v>0.15049359816442065</v>
      </c>
      <c r="AT113" s="11">
        <f t="shared" si="274"/>
        <v>9.1297459292206913</v>
      </c>
      <c r="AU113" s="11">
        <f t="shared" si="275"/>
        <v>9.2802395273851115</v>
      </c>
      <c r="AV113" s="555">
        <f t="shared" si="276"/>
        <v>148058611.86301699</v>
      </c>
      <c r="AW113" s="138">
        <f t="shared" si="277"/>
        <v>3.9370078740157494E-2</v>
      </c>
      <c r="AX113" s="138">
        <f t="shared" si="278"/>
        <v>6.2992125984251982E-2</v>
      </c>
      <c r="AY113" s="554">
        <f t="shared" si="279"/>
        <v>3.1496062992125991E-2</v>
      </c>
      <c r="AZ113" s="12">
        <f t="shared" si="280"/>
        <v>908.63780524367507</v>
      </c>
      <c r="BA113" s="11">
        <f t="shared" si="281"/>
        <v>148.24740650761774</v>
      </c>
      <c r="BB113">
        <f t="shared" si="282"/>
        <v>877.04277447053869</v>
      </c>
      <c r="BC113" s="555">
        <f t="shared" si="283"/>
        <v>3307317778.0151081</v>
      </c>
      <c r="BD113">
        <f t="shared" si="284"/>
        <v>69</v>
      </c>
      <c r="BE113" s="207">
        <f t="shared" si="285"/>
        <v>3.8572015670000006</v>
      </c>
      <c r="BF113" s="207">
        <f>'Inputs-Imperial'!$E$15*BE113</f>
        <v>2.8929011752500005</v>
      </c>
      <c r="BG113" s="207">
        <f>'Inputs-Imperial'!$E$12*BE113</f>
        <v>0.96430039175000015</v>
      </c>
      <c r="BH113">
        <f>'Inputs-Imperial'!$E$11*BE113</f>
        <v>0.69429628206000005</v>
      </c>
      <c r="BI113">
        <f t="shared" si="286"/>
        <v>0.73641241379585087</v>
      </c>
      <c r="BJ113">
        <f>'Weight '!U115+'Weight '!V115 /12</f>
        <v>2.4934383202099744E-2</v>
      </c>
      <c r="BK113">
        <f>('Weight '!AK115+'Weight '!AL115)/12</f>
        <v>5.2493438320209982E-3</v>
      </c>
      <c r="BL113">
        <f>'Weight '!AG115/12</f>
        <v>6.0908842169270901E-2</v>
      </c>
      <c r="BM113">
        <f>'Weight '!AI115/12</f>
        <v>6.0908842169270901E-2</v>
      </c>
      <c r="BN113" s="554">
        <f t="shared" si="287"/>
        <v>2.055690240441685</v>
      </c>
      <c r="BO113" s="554">
        <f t="shared" si="288"/>
        <v>4.1606561842689445</v>
      </c>
      <c r="BP113">
        <f t="shared" si="289"/>
        <v>6.0908842169270901E-2</v>
      </c>
      <c r="BQ113">
        <f t="shared" si="289"/>
        <v>6.0908842169270901E-2</v>
      </c>
      <c r="BR113">
        <f t="shared" si="290"/>
        <v>0.57247859772145815</v>
      </c>
      <c r="BS113">
        <f t="shared" si="291"/>
        <v>0.50213263258577001</v>
      </c>
      <c r="BT113">
        <f t="shared" si="292"/>
        <v>1.1710547469201258</v>
      </c>
      <c r="BU113">
        <f t="shared" si="293"/>
        <v>0.87516873300060549</v>
      </c>
      <c r="BV113">
        <f t="shared" si="294"/>
        <v>181.81907289681766</v>
      </c>
      <c r="BW113" s="207">
        <f t="shared" si="295"/>
        <v>102.98762005760136</v>
      </c>
      <c r="BX113">
        <f t="shared" si="296"/>
        <v>1.3878368843960456</v>
      </c>
      <c r="BY113" s="575">
        <f t="shared" si="297"/>
        <v>-48.632868463559888</v>
      </c>
      <c r="BZ113">
        <f t="shared" si="298"/>
        <v>198.03002905133764</v>
      </c>
      <c r="CA113" s="207">
        <f t="shared" si="299"/>
        <v>93.805262197050652</v>
      </c>
      <c r="CB113">
        <f t="shared" si="300"/>
        <v>1.4256230720982832</v>
      </c>
      <c r="CC113">
        <f t="shared" si="301"/>
        <v>159.25769216975635</v>
      </c>
      <c r="CD113">
        <f t="shared" si="302"/>
        <v>144.94413166141885</v>
      </c>
      <c r="CE113" s="207">
        <f t="shared" si="303"/>
        <v>123.87466109841013</v>
      </c>
      <c r="CF113">
        <f t="shared" si="304"/>
        <v>1.3018849246381836</v>
      </c>
      <c r="CG113">
        <f t="shared" si="305"/>
        <v>-8.0457244495722176</v>
      </c>
      <c r="CH113">
        <f t="shared" si="306"/>
        <v>147.62603981127626</v>
      </c>
      <c r="CI113" s="207">
        <f t="shared" ref="CI113" si="335" xml:space="preserve"> ($BQ$38-CH113*($BP113+$BR113+$BQ113+$BN113))/($BP113+$BR113+$BQ113+$BO113)</f>
        <v>122.3555501868522</v>
      </c>
      <c r="CJ113">
        <f t="shared" si="308"/>
        <v>1.3081361959256219</v>
      </c>
      <c r="CK113">
        <f t="shared" si="309"/>
        <v>-0.22370671672569387</v>
      </c>
      <c r="CL113">
        <f t="shared" si="310"/>
        <v>147.70060871685149</v>
      </c>
      <c r="CM113" s="207">
        <f t="shared" ref="CM113" si="336" xml:space="preserve"> ($BQ$38-CL113*($BP113+$BR113+$BQ113+$BN113))/($BP113+$BR113+$BQ113+$BO113)</f>
        <v>122.3133121862226</v>
      </c>
      <c r="CN113">
        <f t="shared" si="312"/>
        <v>1.3083100089096285</v>
      </c>
      <c r="CO113">
        <f t="shared" si="313"/>
        <v>-5.2618129189987428E-3</v>
      </c>
      <c r="CP113">
        <f t="shared" si="314"/>
        <v>147.70236265449117</v>
      </c>
      <c r="CQ113" s="207">
        <f t="shared" ref="CQ113" si="337" xml:space="preserve"> ($BQ$38-CP113*($BP113+$BR113+$BQ113+$BN113))/($BP113+$BR113+$BQ113+$BO113)</f>
        <v>122.31231870484373</v>
      </c>
      <c r="CR113">
        <f t="shared" si="316"/>
        <v>1.3083140971704466</v>
      </c>
      <c r="CS113">
        <f t="shared" si="317"/>
        <v>-1.2313921638273939E-4</v>
      </c>
      <c r="CT113">
        <f t="shared" si="318"/>
        <v>147.70240370089664</v>
      </c>
      <c r="CU113" s="636">
        <f t="shared" si="319"/>
        <v>122.31229545496382</v>
      </c>
      <c r="CV113" s="575">
        <f t="shared" si="320"/>
        <v>1.3083141928456905</v>
      </c>
      <c r="CW113">
        <f t="shared" si="321"/>
        <v>-2.8814135379917616E-6</v>
      </c>
      <c r="CX113" s="576">
        <f t="shared" si="322"/>
        <v>0.33918740571892192</v>
      </c>
    </row>
    <row r="114" spans="1:102" x14ac:dyDescent="0.25">
      <c r="A114" s="186">
        <v>70</v>
      </c>
      <c r="B114" s="187">
        <f>A114/100*'Inputs-Imperial'!$E$5</f>
        <v>16.856955919999997</v>
      </c>
      <c r="C114" s="188">
        <f>'Inputs-Imperial'!$E$10+('Inputs-Imperial'!$E$9-'Inputs-Imperial'!$E$10)*(100-A114)/100</f>
        <v>3.8394030100000003</v>
      </c>
      <c r="D114" s="187">
        <f t="shared" si="323"/>
        <v>0.24081365600000026</v>
      </c>
      <c r="E114" s="188">
        <f t="shared" si="324"/>
        <v>0.92672374348685282</v>
      </c>
      <c r="F114" s="423">
        <f>Sizing!F130</f>
        <v>215.1698640385913</v>
      </c>
      <c r="G114" s="423">
        <f>Sizing!G130</f>
        <v>2151.6986403859123</v>
      </c>
      <c r="H114" s="423">
        <f>Sizing!H130</f>
        <v>7292.4468076254225</v>
      </c>
      <c r="I114" s="423">
        <f>Sizing!I130</f>
        <v>-3733.876272038046</v>
      </c>
      <c r="J114" s="189">
        <f>Sizing!J130</f>
        <v>729.2446807625422</v>
      </c>
      <c r="K114" s="128">
        <v>70</v>
      </c>
      <c r="L114" s="12">
        <f t="shared" si="265"/>
        <v>202.28347103999997</v>
      </c>
      <c r="M114" s="11">
        <f t="shared" si="265"/>
        <v>46.072836120000005</v>
      </c>
      <c r="N114" s="11">
        <f t="shared" si="265"/>
        <v>2.8897638720000032</v>
      </c>
      <c r="O114" s="152">
        <f t="shared" si="325"/>
        <v>133.4482190621068</v>
      </c>
      <c r="P114" s="170">
        <f t="shared" si="260"/>
        <v>8.2931105016000011</v>
      </c>
      <c r="Q114" s="8">
        <f t="shared" si="261"/>
        <v>4.1465552508000005</v>
      </c>
      <c r="R114" s="170">
        <f>Sizing!X130</f>
        <v>11.518209030000001</v>
      </c>
      <c r="S114" s="8">
        <f>Sizing!Y130</f>
        <v>34.554627090000004</v>
      </c>
      <c r="T114" s="8">
        <f>Sizing!Z130</f>
        <v>23.036418060000003</v>
      </c>
      <c r="U114" s="17">
        <f>Sizing!CN130</f>
        <v>1.5</v>
      </c>
      <c r="V114" s="17">
        <f>Sizing!CO130</f>
        <v>2.3622047244094495E-2</v>
      </c>
      <c r="W114" s="17">
        <f>Sizing!CP130</f>
        <v>1.5748031496062995E-2</v>
      </c>
      <c r="X114" s="170">
        <f>Sizing!DU130</f>
        <v>0.29183693344119632</v>
      </c>
      <c r="Y114" s="170">
        <f>Sizing!DV130</f>
        <v>0.54021933827029589</v>
      </c>
      <c r="Z114" s="170">
        <f>Sizing!DW130</f>
        <v>0.29183693344119632</v>
      </c>
      <c r="AA114" s="272">
        <f>Sizing!DX130</f>
        <v>0.54021933827029589</v>
      </c>
      <c r="AB114" s="272">
        <f t="shared" si="266"/>
        <v>4.6741510058493905</v>
      </c>
      <c r="AC114" s="216">
        <f>Sizing!GJ130</f>
        <v>0.5</v>
      </c>
      <c r="AD114" s="216">
        <f>Sizing!GK130</f>
        <v>3.1496062992125991E-2</v>
      </c>
      <c r="AE114" s="17">
        <f>Sizing!GL130</f>
        <v>3.1496062992125991E-2</v>
      </c>
      <c r="AF114" s="170">
        <f>Sizing!JC130</f>
        <v>4.9108767457898697E-3</v>
      </c>
      <c r="AG114" s="272">
        <f>Sizing!JD130</f>
        <v>7.0077647975583982E-2</v>
      </c>
      <c r="AH114" s="170">
        <f>Sizing!JC130</f>
        <v>4.9108767457898697E-3</v>
      </c>
      <c r="AI114" s="272">
        <f>Sizing!JD130</f>
        <v>7.0077647975583982E-2</v>
      </c>
      <c r="AJ114" s="216">
        <f>Sizing!IT130</f>
        <v>0.25</v>
      </c>
      <c r="AK114" s="216">
        <f>Sizing!IU130</f>
        <v>1.5748031496062995E-2</v>
      </c>
      <c r="AL114" s="17">
        <f>Sizing!IV130</f>
        <v>1.5748031496062995E-2</v>
      </c>
      <c r="AM114" s="170">
        <f t="shared" si="267"/>
        <v>0</v>
      </c>
      <c r="AN114" s="11">
        <f t="shared" si="268"/>
        <v>1.5939905398505232</v>
      </c>
      <c r="AO114" s="11">
        <f t="shared" si="269"/>
        <v>1.5939905398505232</v>
      </c>
      <c r="AP114" s="11">
        <f t="shared" si="270"/>
        <v>3.1879810797010464</v>
      </c>
      <c r="AQ114" s="555">
        <f t="shared" si="271"/>
        <v>50861623.98214484</v>
      </c>
      <c r="AR114" s="311">
        <f t="shared" si="272"/>
        <v>11.899438497829481</v>
      </c>
      <c r="AS114" s="11">
        <f t="shared" si="273"/>
        <v>8.482877091816772E-2</v>
      </c>
      <c r="AT114" s="11">
        <f t="shared" si="274"/>
        <v>5.0410893316691983</v>
      </c>
      <c r="AU114" s="11">
        <f t="shared" si="275"/>
        <v>5.1259181025873657</v>
      </c>
      <c r="AV114" s="555">
        <f t="shared" si="276"/>
        <v>81779820.073937297</v>
      </c>
      <c r="AW114" s="138">
        <f t="shared" si="277"/>
        <v>3.9370078740157494E-2</v>
      </c>
      <c r="AX114" s="138">
        <f t="shared" si="278"/>
        <v>6.2992125984251982E-2</v>
      </c>
      <c r="AY114" s="554">
        <f t="shared" si="279"/>
        <v>3.1496062992125991E-2</v>
      </c>
      <c r="AZ114" s="12">
        <f t="shared" si="280"/>
        <v>900.27156942743954</v>
      </c>
      <c r="BA114" s="11">
        <f t="shared" si="281"/>
        <v>147.56333805306713</v>
      </c>
      <c r="BB114">
        <f t="shared" si="282"/>
        <v>864.95771054268084</v>
      </c>
      <c r="BC114" s="555">
        <f t="shared" si="283"/>
        <v>3261745146.9639235</v>
      </c>
      <c r="BD114">
        <f t="shared" si="284"/>
        <v>70</v>
      </c>
      <c r="BE114" s="207">
        <f t="shared" si="285"/>
        <v>3.8394030100000003</v>
      </c>
      <c r="BF114" s="207">
        <f>'Inputs-Imperial'!$E$15*BE114</f>
        <v>2.8795522575000003</v>
      </c>
      <c r="BG114" s="207">
        <f>'Inputs-Imperial'!$E$12*BE114</f>
        <v>0.95985075250000007</v>
      </c>
      <c r="BH114">
        <f>'Inputs-Imperial'!$E$11*BE114</f>
        <v>0.69109254180000002</v>
      </c>
      <c r="BI114">
        <f t="shared" si="286"/>
        <v>0.73301433410134131</v>
      </c>
      <c r="BJ114">
        <f>'Weight '!U116+'Weight '!V116 /12</f>
        <v>2.4934383202099744E-2</v>
      </c>
      <c r="BK114">
        <f>('Weight '!AK116+'Weight '!AL116)/12</f>
        <v>5.2493438320209982E-3</v>
      </c>
      <c r="BL114">
        <f>'Weight '!AG116/12</f>
        <v>4.5018278189191324E-2</v>
      </c>
      <c r="BM114">
        <f>'Weight '!AI116/12</f>
        <v>4.5018278189191324E-2</v>
      </c>
      <c r="BN114" s="554">
        <f t="shared" si="287"/>
        <v>2.0432652971820091</v>
      </c>
      <c r="BO114" s="554">
        <f t="shared" si="288"/>
        <v>4.144396602167399</v>
      </c>
      <c r="BP114">
        <f t="shared" si="289"/>
        <v>4.5018278189191324E-2</v>
      </c>
      <c r="BQ114">
        <f t="shared" si="289"/>
        <v>4.5018278189191324E-2</v>
      </c>
      <c r="BR114">
        <f t="shared" si="290"/>
        <v>0.60105598542161731</v>
      </c>
      <c r="BS114">
        <f t="shared" si="291"/>
        <v>0.49750927222040087</v>
      </c>
      <c r="BT114">
        <f t="shared" si="292"/>
        <v>1.1602723206223027</v>
      </c>
      <c r="BU114">
        <f t="shared" si="293"/>
        <v>0.85912678516203178</v>
      </c>
      <c r="BV114">
        <f t="shared" si="294"/>
        <v>182.85829048115664</v>
      </c>
      <c r="BW114" s="207">
        <f t="shared" si="295"/>
        <v>103.40215542077765</v>
      </c>
      <c r="BX114">
        <f t="shared" si="296"/>
        <v>1.3817742011286667</v>
      </c>
      <c r="BY114" s="575">
        <f t="shared" si="297"/>
        <v>-48.406616005124462</v>
      </c>
      <c r="BZ114">
        <f t="shared" si="298"/>
        <v>198.99382914953145</v>
      </c>
      <c r="CA114" s="207">
        <f t="shared" si="299"/>
        <v>94.277879607003754</v>
      </c>
      <c r="CB114">
        <f t="shared" si="300"/>
        <v>1.4190026506731319</v>
      </c>
      <c r="CC114">
        <f t="shared" si="301"/>
        <v>159.25188371737238</v>
      </c>
      <c r="CD114">
        <f t="shared" si="302"/>
        <v>145.90986791040731</v>
      </c>
      <c r="CE114" s="207">
        <f t="shared" si="303"/>
        <v>124.29563814535169</v>
      </c>
      <c r="CF114">
        <f t="shared" si="304"/>
        <v>1.2965255761094889</v>
      </c>
      <c r="CG114">
        <f t="shared" si="305"/>
        <v>-7.2259472532454421</v>
      </c>
      <c r="CH114">
        <f t="shared" si="306"/>
        <v>148.31851699482246</v>
      </c>
      <c r="CI114" s="207">
        <f t="shared" ref="CI114" si="338" xml:space="preserve"> ($BQ$38-CH114*($BP114+$BR114+$BQ114+$BN114))/($BP114+$BR114+$BQ114+$BO114)</f>
        <v>122.93360251477975</v>
      </c>
      <c r="CJ114">
        <f t="shared" si="308"/>
        <v>1.3020828910992401</v>
      </c>
      <c r="CK114">
        <f t="shared" si="309"/>
        <v>-0.23536484079086328</v>
      </c>
      <c r="CL114">
        <f t="shared" si="310"/>
        <v>148.39697194175275</v>
      </c>
      <c r="CM114" s="207">
        <f t="shared" ref="CM114" si="339" xml:space="preserve"> ($BQ$38-CL114*($BP114+$BR114+$BQ114+$BN114))/($BP114+$BR114+$BQ114+$BO114)</f>
        <v>122.88923804765787</v>
      </c>
      <c r="CN114">
        <f t="shared" si="312"/>
        <v>1.3022639049527802</v>
      </c>
      <c r="CO114">
        <f t="shared" si="313"/>
        <v>-6.7659449402732719E-3</v>
      </c>
      <c r="CP114">
        <f t="shared" si="314"/>
        <v>148.39922725673284</v>
      </c>
      <c r="CQ114" s="207">
        <f t="shared" ref="CQ114" si="340" xml:space="preserve"> ($BQ$38-CP114*($BP114+$BR114+$BQ114+$BN114))/($BP114+$BR114+$BQ114+$BO114)</f>
        <v>122.88796271893486</v>
      </c>
      <c r="CR114">
        <f t="shared" si="316"/>
        <v>1.3022691084902431</v>
      </c>
      <c r="CS114">
        <f t="shared" si="317"/>
        <v>-1.9365812774019275E-4</v>
      </c>
      <c r="CT114">
        <f t="shared" si="318"/>
        <v>148.39929180944208</v>
      </c>
      <c r="CU114" s="636">
        <f t="shared" si="319"/>
        <v>122.88792621586325</v>
      </c>
      <c r="CV114" s="575">
        <f t="shared" si="320"/>
        <v>1.3022692574283932</v>
      </c>
      <c r="CW114">
        <f t="shared" si="321"/>
        <v>-5.5422850326891648E-6</v>
      </c>
      <c r="CX114" s="576">
        <f t="shared" si="322"/>
        <v>0.33918535096121444</v>
      </c>
    </row>
    <row r="115" spans="1:102" x14ac:dyDescent="0.25">
      <c r="A115" s="186">
        <v>71</v>
      </c>
      <c r="B115" s="187">
        <f>A115/100*'Inputs-Imperial'!$E$5</f>
        <v>17.097769575999997</v>
      </c>
      <c r="C115" s="188">
        <f>'Inputs-Imperial'!$E$10+('Inputs-Imperial'!$E$9-'Inputs-Imperial'!$E$10)*(100-A115)/100</f>
        <v>3.8216044530000004</v>
      </c>
      <c r="D115" s="187">
        <f t="shared" si="323"/>
        <v>0.24081365600000026</v>
      </c>
      <c r="E115" s="188">
        <f t="shared" si="324"/>
        <v>0.92243760790415841</v>
      </c>
      <c r="F115" s="423">
        <f>Sizing!F131</f>
        <v>206.3536729209755</v>
      </c>
      <c r="G115" s="423">
        <f>Sizing!G131</f>
        <v>2063.5367292097544</v>
      </c>
      <c r="H115" s="423">
        <f>Sizing!H131</f>
        <v>6774.288391423861</v>
      </c>
      <c r="I115" s="423">
        <f>Sizing!I131</f>
        <v>-3550.0239734067482</v>
      </c>
      <c r="J115" s="189">
        <f>Sizing!J131</f>
        <v>677.4288391423861</v>
      </c>
      <c r="K115" s="128">
        <v>71</v>
      </c>
      <c r="L115" s="12">
        <f t="shared" si="265"/>
        <v>205.17323491199997</v>
      </c>
      <c r="M115" s="11">
        <f t="shared" si="265"/>
        <v>45.859253436000003</v>
      </c>
      <c r="N115" s="11">
        <f t="shared" si="265"/>
        <v>2.8897638720000032</v>
      </c>
      <c r="O115" s="152">
        <f t="shared" si="325"/>
        <v>132.83101553819881</v>
      </c>
      <c r="P115" s="170">
        <f t="shared" si="260"/>
        <v>8.2546656184800007</v>
      </c>
      <c r="Q115" s="8">
        <f t="shared" si="261"/>
        <v>4.1273328092400003</v>
      </c>
      <c r="R115" s="170">
        <f>Sizing!X131</f>
        <v>11.464813359000001</v>
      </c>
      <c r="S115" s="8">
        <f>Sizing!Y131</f>
        <v>34.394440076999999</v>
      </c>
      <c r="T115" s="8">
        <f>Sizing!Z131</f>
        <v>22.929626717999998</v>
      </c>
      <c r="U115" s="17">
        <f>Sizing!CN131</f>
        <v>1.5</v>
      </c>
      <c r="V115" s="17">
        <f>Sizing!CO131</f>
        <v>2.3622047244094495E-2</v>
      </c>
      <c r="W115" s="17">
        <f>Sizing!CP131</f>
        <v>1.5748031496062995E-2</v>
      </c>
      <c r="X115" s="170">
        <f>Sizing!DU131</f>
        <v>0.29183693344119632</v>
      </c>
      <c r="Y115" s="170">
        <f>Sizing!DV131</f>
        <v>0.54021933827029589</v>
      </c>
      <c r="Z115" s="170">
        <f>Sizing!DW131</f>
        <v>0.29183693344119632</v>
      </c>
      <c r="AA115" s="272">
        <f>Sizing!DX131</f>
        <v>0.54021933827029589</v>
      </c>
      <c r="AB115" s="272">
        <f t="shared" si="266"/>
        <v>4.6357061227293901</v>
      </c>
      <c r="AC115" s="216">
        <f>Sizing!GJ131</f>
        <v>0.5</v>
      </c>
      <c r="AD115" s="216">
        <f>Sizing!GK131</f>
        <v>3.1496062992125991E-2</v>
      </c>
      <c r="AE115" s="17">
        <f>Sizing!GL131</f>
        <v>3.1496062992125991E-2</v>
      </c>
      <c r="AF115" s="170">
        <f>Sizing!JC131</f>
        <v>4.9108767457898697E-3</v>
      </c>
      <c r="AG115" s="272">
        <f>Sizing!JD131</f>
        <v>7.0077647975583982E-2</v>
      </c>
      <c r="AH115" s="170">
        <f>Sizing!JC131</f>
        <v>4.9108767457898697E-3</v>
      </c>
      <c r="AI115" s="272">
        <f>Sizing!JD131</f>
        <v>7.0077647975583982E-2</v>
      </c>
      <c r="AJ115" s="216">
        <f>Sizing!IT131</f>
        <v>0.25</v>
      </c>
      <c r="AK115" s="216">
        <f>Sizing!IU131</f>
        <v>1.5748031496062995E-2</v>
      </c>
      <c r="AL115" s="17">
        <f>Sizing!IV131</f>
        <v>1.5748031496062995E-2</v>
      </c>
      <c r="AM115" s="170">
        <f t="shared" si="267"/>
        <v>0</v>
      </c>
      <c r="AN115" s="11">
        <f t="shared" si="268"/>
        <v>1.5678772359486242</v>
      </c>
      <c r="AO115" s="11">
        <f t="shared" si="269"/>
        <v>1.5678772359486242</v>
      </c>
      <c r="AP115" s="11">
        <f t="shared" si="270"/>
        <v>3.1357544718972483</v>
      </c>
      <c r="AQ115" s="555">
        <f t="shared" si="271"/>
        <v>50028391.280453645</v>
      </c>
      <c r="AR115" s="311">
        <f t="shared" si="272"/>
        <v>11.844275537905768</v>
      </c>
      <c r="AS115" s="11">
        <f t="shared" si="273"/>
        <v>8.4044101996877049E-2</v>
      </c>
      <c r="AT115" s="11">
        <f t="shared" si="274"/>
        <v>4.9944590895332226</v>
      </c>
      <c r="AU115" s="11">
        <f t="shared" si="275"/>
        <v>5.0785031915300998</v>
      </c>
      <c r="AV115" s="555">
        <f t="shared" si="276"/>
        <v>81023354.048245683</v>
      </c>
      <c r="AW115" s="138">
        <f t="shared" si="277"/>
        <v>3.9370078740157494E-2</v>
      </c>
      <c r="AX115" s="138">
        <f t="shared" si="278"/>
        <v>6.2992125984251982E-2</v>
      </c>
      <c r="AY115" s="554">
        <f t="shared" si="279"/>
        <v>3.1496062992125991E-2</v>
      </c>
      <c r="AZ115" s="12">
        <f t="shared" si="280"/>
        <v>891.94402779733798</v>
      </c>
      <c r="BA115" s="11">
        <f t="shared" si="281"/>
        <v>146.87926959851646</v>
      </c>
      <c r="BB115">
        <f t="shared" si="282"/>
        <v>852.98417574376492</v>
      </c>
      <c r="BC115" s="555">
        <f t="shared" si="283"/>
        <v>3216593090.9196291</v>
      </c>
      <c r="BD115">
        <f t="shared" si="284"/>
        <v>71</v>
      </c>
      <c r="BE115" s="207">
        <f t="shared" si="285"/>
        <v>3.8216044530000004</v>
      </c>
      <c r="BF115" s="207">
        <f>'Inputs-Imperial'!$E$15*BE115</f>
        <v>2.8662033397500002</v>
      </c>
      <c r="BG115" s="207">
        <f>'Inputs-Imperial'!$E$12*BE115</f>
        <v>0.9554011132500001</v>
      </c>
      <c r="BH115">
        <f>'Inputs-Imperial'!$E$11*BE115</f>
        <v>0.68788880154000009</v>
      </c>
      <c r="BI115">
        <f t="shared" si="286"/>
        <v>0.72961625440683187</v>
      </c>
      <c r="BJ115">
        <f>'Weight '!U117+'Weight '!V117 /12</f>
        <v>2.4934383202099744E-2</v>
      </c>
      <c r="BK115">
        <f>('Weight '!AK117+'Weight '!AL117)/12</f>
        <v>5.2493438320209982E-3</v>
      </c>
      <c r="BL115">
        <f>'Weight '!AG117/12</f>
        <v>4.5018278189191324E-2</v>
      </c>
      <c r="BM115">
        <f>'Weight '!AI117/12</f>
        <v>4.5018278189191324E-2</v>
      </c>
      <c r="BN115" s="554">
        <f t="shared" si="287"/>
        <v>2.0308394692784417</v>
      </c>
      <c r="BO115" s="554">
        <f t="shared" si="288"/>
        <v>4.1281379047097442</v>
      </c>
      <c r="BP115">
        <f t="shared" si="289"/>
        <v>4.5018278189191324E-2</v>
      </c>
      <c r="BQ115">
        <f t="shared" si="289"/>
        <v>4.5018278189191324E-2</v>
      </c>
      <c r="BR115">
        <f t="shared" si="290"/>
        <v>0.59785224516161739</v>
      </c>
      <c r="BS115">
        <f t="shared" si="291"/>
        <v>0.4929072950876433</v>
      </c>
      <c r="BT115">
        <f t="shared" si="292"/>
        <v>1.1495397634913678</v>
      </c>
      <c r="BU115">
        <f t="shared" si="293"/>
        <v>0.84330639267587126</v>
      </c>
      <c r="BV115">
        <f t="shared" si="294"/>
        <v>183.90951584487726</v>
      </c>
      <c r="BW115" s="207">
        <f t="shared" si="295"/>
        <v>103.82002229164374</v>
      </c>
      <c r="BX115">
        <f t="shared" si="296"/>
        <v>1.3757118661253438</v>
      </c>
      <c r="BY115" s="575">
        <f t="shared" si="297"/>
        <v>-48.178037341484242</v>
      </c>
      <c r="BZ115">
        <f t="shared" si="298"/>
        <v>199.968861625372</v>
      </c>
      <c r="CA115" s="207">
        <f t="shared" si="299"/>
        <v>94.754250848221062</v>
      </c>
      <c r="CB115">
        <f t="shared" si="300"/>
        <v>1.4123863330263031</v>
      </c>
      <c r="CC115">
        <f t="shared" si="301"/>
        <v>159.2520824554523</v>
      </c>
      <c r="CD115">
        <f t="shared" si="302"/>
        <v>146.88483414022124</v>
      </c>
      <c r="CE115" s="207">
        <f t="shared" si="303"/>
        <v>124.72107932645552</v>
      </c>
      <c r="CF115">
        <f t="shared" si="304"/>
        <v>1.2911592023832636</v>
      </c>
      <c r="CG115">
        <f t="shared" si="305"/>
        <v>-6.4062648851685386</v>
      </c>
      <c r="CH115">
        <f t="shared" si="306"/>
        <v>149.02025576861075</v>
      </c>
      <c r="CI115" s="207">
        <f t="shared" ref="CI115" si="341" xml:space="preserve"> ($BQ$38-CH115*($BP115+$BR115+$BQ115+$BN115))/($BP115+$BR115+$BQ115+$BO115)</f>
        <v>123.51559781538216</v>
      </c>
      <c r="CJ115">
        <f t="shared" si="308"/>
        <v>1.2960358300429708</v>
      </c>
      <c r="CK115">
        <f t="shared" si="309"/>
        <v>-0.23920868185843425</v>
      </c>
      <c r="CL115">
        <f t="shared" si="310"/>
        <v>149.09999199589689</v>
      </c>
      <c r="CM115" s="207">
        <f t="shared" ref="CM115" si="342" xml:space="preserve"> ($BQ$38-CL115*($BP115+$BR115+$BQ115+$BN115))/($BP115+$BR115+$BQ115+$BO115)</f>
        <v>123.47058537077716</v>
      </c>
      <c r="CN115">
        <f t="shared" si="312"/>
        <v>1.296217922369046</v>
      </c>
      <c r="CO115">
        <f t="shared" si="313"/>
        <v>-8.1252790517414297E-3</v>
      </c>
      <c r="CP115">
        <f t="shared" si="314"/>
        <v>149.10270042224747</v>
      </c>
      <c r="CQ115" s="207">
        <f t="shared" ref="CQ115" si="343" xml:space="preserve"> ($BQ$38-CP115*($BP115+$BR115+$BQ115+$BN115))/($BP115+$BR115+$BQ115+$BO115)</f>
        <v>123.46905641843992</v>
      </c>
      <c r="CR115">
        <f t="shared" si="316"/>
        <v>1.296224107558275</v>
      </c>
      <c r="CS115">
        <f t="shared" si="317"/>
        <v>-2.7497412312627034E-4</v>
      </c>
      <c r="CT115">
        <f t="shared" si="318"/>
        <v>149.10279208028851</v>
      </c>
      <c r="CU115" s="636">
        <f t="shared" si="319"/>
        <v>123.46900467593045</v>
      </c>
      <c r="CV115" s="575">
        <f t="shared" si="320"/>
        <v>1.2962243168762533</v>
      </c>
      <c r="CW115">
        <f t="shared" si="321"/>
        <v>-9.3044489393179219E-6</v>
      </c>
      <c r="CX115" s="576">
        <f t="shared" si="322"/>
        <v>0.33918327572041196</v>
      </c>
    </row>
    <row r="116" spans="1:102" x14ac:dyDescent="0.25">
      <c r="A116" s="186">
        <v>72</v>
      </c>
      <c r="B116" s="187">
        <f>A116/100*'Inputs-Imperial'!$E$5</f>
        <v>17.338583231999998</v>
      </c>
      <c r="C116" s="188">
        <f>'Inputs-Imperial'!$E$10+('Inputs-Imperial'!$E$9-'Inputs-Imperial'!$E$10)*(100-A116)/100</f>
        <v>3.8038058960000001</v>
      </c>
      <c r="D116" s="187">
        <f t="shared" si="323"/>
        <v>0.24081365600000026</v>
      </c>
      <c r="E116" s="188">
        <f t="shared" si="324"/>
        <v>0.9181514723214641</v>
      </c>
      <c r="F116" s="423">
        <f>Sizing!F132</f>
        <v>197.62041269209189</v>
      </c>
      <c r="G116" s="423">
        <f>Sizing!G132</f>
        <v>1976.2041269209185</v>
      </c>
      <c r="H116" s="423">
        <f>Sizing!H132</f>
        <v>6277.3605673725779</v>
      </c>
      <c r="I116" s="423">
        <f>Sizing!I132</f>
        <v>-3369.6406604758968</v>
      </c>
      <c r="J116" s="189">
        <f>Sizing!J132</f>
        <v>627.73605673725774</v>
      </c>
      <c r="K116" s="128">
        <v>72</v>
      </c>
      <c r="L116" s="12">
        <f t="shared" si="265"/>
        <v>208.06299878399997</v>
      </c>
      <c r="M116" s="11">
        <f t="shared" si="265"/>
        <v>45.645670752000001</v>
      </c>
      <c r="N116" s="11">
        <f t="shared" si="265"/>
        <v>2.8897638720000032</v>
      </c>
      <c r="O116" s="152">
        <f t="shared" si="325"/>
        <v>132.21381201429082</v>
      </c>
      <c r="P116" s="170">
        <f t="shared" si="260"/>
        <v>8.2162207353600003</v>
      </c>
      <c r="Q116" s="8">
        <f t="shared" si="261"/>
        <v>4.1081103676800002</v>
      </c>
      <c r="R116" s="170">
        <f>Sizing!X132</f>
        <v>11.411417688</v>
      </c>
      <c r="S116" s="8">
        <f>Sizing!Y132</f>
        <v>34.234253064000001</v>
      </c>
      <c r="T116" s="8">
        <f>Sizing!Z132</f>
        <v>22.822835376</v>
      </c>
      <c r="U116" s="17">
        <f>Sizing!CN132</f>
        <v>1.5</v>
      </c>
      <c r="V116" s="17">
        <f>Sizing!CO132</f>
        <v>2.3622047244094495E-2</v>
      </c>
      <c r="W116" s="17">
        <f>Sizing!CP132</f>
        <v>1.5748031496062995E-2</v>
      </c>
      <c r="X116" s="170">
        <f>Sizing!DU132</f>
        <v>0.29183693344119632</v>
      </c>
      <c r="Y116" s="170">
        <f>Sizing!DV132</f>
        <v>0.54021933827029589</v>
      </c>
      <c r="Z116" s="170">
        <f>Sizing!DW132</f>
        <v>0.29183693344119632</v>
      </c>
      <c r="AA116" s="272">
        <f>Sizing!DX132</f>
        <v>0.54021933827029589</v>
      </c>
      <c r="AB116" s="272">
        <f t="shared" si="266"/>
        <v>4.5972612396093897</v>
      </c>
      <c r="AC116" s="216">
        <f>Sizing!GJ132</f>
        <v>0.5</v>
      </c>
      <c r="AD116" s="216">
        <f>Sizing!GK132</f>
        <v>3.1496062992125991E-2</v>
      </c>
      <c r="AE116" s="17">
        <f>Sizing!GL132</f>
        <v>3.1496062992125991E-2</v>
      </c>
      <c r="AF116" s="170">
        <f>Sizing!JC132</f>
        <v>4.9108767457898697E-3</v>
      </c>
      <c r="AG116" s="272">
        <f>Sizing!JD132</f>
        <v>7.0077647975583982E-2</v>
      </c>
      <c r="AH116" s="170">
        <f>Sizing!JC132</f>
        <v>4.9108767457898697E-3</v>
      </c>
      <c r="AI116" s="272">
        <f>Sizing!JD132</f>
        <v>7.0077647975583982E-2</v>
      </c>
      <c r="AJ116" s="216">
        <f>Sizing!IT132</f>
        <v>0.25</v>
      </c>
      <c r="AK116" s="216">
        <f>Sizing!IU132</f>
        <v>1.5748031496062995E-2</v>
      </c>
      <c r="AL116" s="17">
        <f>Sizing!IV132</f>
        <v>1.5748031496062995E-2</v>
      </c>
      <c r="AM116" s="170">
        <f t="shared" si="267"/>
        <v>0</v>
      </c>
      <c r="AN116" s="11">
        <f t="shared" si="268"/>
        <v>1.5419796008593651</v>
      </c>
      <c r="AO116" s="11">
        <f t="shared" si="269"/>
        <v>1.5419796008593651</v>
      </c>
      <c r="AP116" s="11">
        <f t="shared" si="270"/>
        <v>3.0839592017187303</v>
      </c>
      <c r="AQ116" s="555">
        <f t="shared" si="271"/>
        <v>49202040.216876931</v>
      </c>
      <c r="AR116" s="311">
        <f t="shared" si="272"/>
        <v>11.789112577982054</v>
      </c>
      <c r="AS116" s="11">
        <f t="shared" si="273"/>
        <v>8.3263079064600024E-2</v>
      </c>
      <c r="AT116" s="11">
        <f t="shared" si="274"/>
        <v>4.9480455162953252</v>
      </c>
      <c r="AU116" s="11">
        <f t="shared" si="275"/>
        <v>5.031308595359925</v>
      </c>
      <c r="AV116" s="555">
        <f t="shared" si="276"/>
        <v>80270402.965919405</v>
      </c>
      <c r="AW116" s="138">
        <f t="shared" si="277"/>
        <v>3.9370078740157494E-2</v>
      </c>
      <c r="AX116" s="138">
        <f t="shared" si="278"/>
        <v>6.2992125984251982E-2</v>
      </c>
      <c r="AY116" s="554">
        <f t="shared" si="279"/>
        <v>3.1496062992125991E-2</v>
      </c>
      <c r="AZ116" s="12">
        <f t="shared" si="280"/>
        <v>883.65518035337061</v>
      </c>
      <c r="BA116" s="11">
        <f t="shared" si="281"/>
        <v>146.19520114396573</v>
      </c>
      <c r="BB116">
        <f t="shared" si="282"/>
        <v>841.12165305133954</v>
      </c>
      <c r="BC116" s="555">
        <f t="shared" si="283"/>
        <v>3171859660.1967649</v>
      </c>
      <c r="BD116">
        <f t="shared" si="284"/>
        <v>72</v>
      </c>
      <c r="BE116" s="207">
        <f t="shared" si="285"/>
        <v>3.8038058960000001</v>
      </c>
      <c r="BF116" s="207">
        <f>'Inputs-Imperial'!$E$15*BE116</f>
        <v>2.8528544220000001</v>
      </c>
      <c r="BG116" s="207">
        <f>'Inputs-Imperial'!$E$12*BE116</f>
        <v>0.95095147400000002</v>
      </c>
      <c r="BH116">
        <f>'Inputs-Imperial'!$E$11*BE116</f>
        <v>0.68468506127999995</v>
      </c>
      <c r="BI116">
        <f t="shared" si="286"/>
        <v>0.7262181747123222</v>
      </c>
      <c r="BJ116">
        <f>'Weight '!U118+'Weight '!V118 /12</f>
        <v>2.4934383202099744E-2</v>
      </c>
      <c r="BK116">
        <f>('Weight '!AK118+'Weight '!AL118)/12</f>
        <v>5.2493438320209982E-3</v>
      </c>
      <c r="BL116">
        <f>'Weight '!AG118/12</f>
        <v>4.5018278189191324E-2</v>
      </c>
      <c r="BM116">
        <f>'Weight '!AI118/12</f>
        <v>4.5018278189191324E-2</v>
      </c>
      <c r="BN116" s="554">
        <f t="shared" si="287"/>
        <v>2.0184128310528968</v>
      </c>
      <c r="BO116" s="554">
        <f t="shared" si="288"/>
        <v>4.111880017574066</v>
      </c>
      <c r="BP116">
        <f t="shared" si="289"/>
        <v>4.5018278189191324E-2</v>
      </c>
      <c r="BQ116">
        <f t="shared" si="289"/>
        <v>4.5018278189191324E-2</v>
      </c>
      <c r="BR116">
        <f t="shared" si="290"/>
        <v>0.59464850490161725</v>
      </c>
      <c r="BS116">
        <f t="shared" si="291"/>
        <v>0.48832670118749727</v>
      </c>
      <c r="BT116">
        <f t="shared" si="292"/>
        <v>1.1388570755273204</v>
      </c>
      <c r="BU116">
        <f t="shared" si="293"/>
        <v>0.82770550615516669</v>
      </c>
      <c r="BV116">
        <f t="shared" si="294"/>
        <v>184.97295322459712</v>
      </c>
      <c r="BW116" s="207">
        <f t="shared" si="295"/>
        <v>104.24126260775213</v>
      </c>
      <c r="BX116">
        <f t="shared" si="296"/>
        <v>1.3696498761486735</v>
      </c>
      <c r="BY116" s="575">
        <f t="shared" si="297"/>
        <v>-47.947102201395865</v>
      </c>
      <c r="BZ116">
        <f t="shared" si="298"/>
        <v>200.9553206250624</v>
      </c>
      <c r="CA116" s="207">
        <f t="shared" si="299"/>
        <v>95.234420643875566</v>
      </c>
      <c r="CB116">
        <f t="shared" si="300"/>
        <v>1.4057741210457795</v>
      </c>
      <c r="CC116">
        <f t="shared" si="301"/>
        <v>159.25837948889637</v>
      </c>
      <c r="CD116">
        <f t="shared" si="302"/>
        <v>147.86919412876361</v>
      </c>
      <c r="CE116" s="207">
        <f t="shared" si="303"/>
        <v>125.15103686511223</v>
      </c>
      <c r="CF116">
        <f t="shared" si="304"/>
        <v>1.2857858748654785</v>
      </c>
      <c r="CG116">
        <f t="shared" si="305"/>
        <v>-5.5866001767534064</v>
      </c>
      <c r="CH116">
        <f t="shared" si="306"/>
        <v>149.73139418768142</v>
      </c>
      <c r="CI116" s="207">
        <f t="shared" ref="CI116" si="344" xml:space="preserve"> ($BQ$38-CH116*($BP116+$BR116+$BQ116+$BN116))/($BP116+$BR116+$BQ116+$BO116)</f>
        <v>124.1015964902585</v>
      </c>
      <c r="CJ116">
        <f t="shared" si="308"/>
        <v>1.2899949240814159</v>
      </c>
      <c r="CK116">
        <f t="shared" si="309"/>
        <v>-0.23523656725651598</v>
      </c>
      <c r="CL116">
        <f t="shared" si="310"/>
        <v>149.80980637676691</v>
      </c>
      <c r="CM116" s="207">
        <f t="shared" ref="CM116" si="345" xml:space="preserve"> ($BQ$38-CL116*($BP116+$BR116+$BQ116+$BN116))/($BP116+$BR116+$BQ116+$BO116)</f>
        <v>124.05740740503484</v>
      </c>
      <c r="CN116">
        <f t="shared" si="312"/>
        <v>1.29017215571741</v>
      </c>
      <c r="CO116">
        <f t="shared" si="313"/>
        <v>-9.2172974731443702E-3</v>
      </c>
      <c r="CP116">
        <f t="shared" si="314"/>
        <v>149.81287880925797</v>
      </c>
      <c r="CQ116" s="207">
        <f t="shared" ref="CQ116" si="346" xml:space="preserve"> ($BQ$38-CP116*($BP116+$BR116+$BQ116+$BN116))/($BP116+$BR116+$BQ116+$BO116)</f>
        <v>124.05567593977703</v>
      </c>
      <c r="CR116">
        <f t="shared" si="316"/>
        <v>1.2901791002019758</v>
      </c>
      <c r="CS116">
        <f t="shared" si="317"/>
        <v>-3.6003053295807774E-4</v>
      </c>
      <c r="CT116">
        <f t="shared" si="318"/>
        <v>149.81299881943562</v>
      </c>
      <c r="CU116" s="636">
        <f t="shared" si="319"/>
        <v>124.05560830820049</v>
      </c>
      <c r="CV116" s="575">
        <f t="shared" si="320"/>
        <v>1.2901793714557228</v>
      </c>
      <c r="CW116">
        <f t="shared" si="321"/>
        <v>-1.4061173811086292E-5</v>
      </c>
      <c r="CX116" s="576">
        <f t="shared" si="322"/>
        <v>0.33918117977903328</v>
      </c>
    </row>
    <row r="117" spans="1:102" x14ac:dyDescent="0.25">
      <c r="A117" s="186">
        <v>73</v>
      </c>
      <c r="B117" s="187">
        <f>A117/100*'Inputs-Imperial'!$E$5</f>
        <v>17.579396887999998</v>
      </c>
      <c r="C117" s="188">
        <f>'Inputs-Imperial'!$E$10+('Inputs-Imperial'!$E$9-'Inputs-Imperial'!$E$10)*(100-A117)/100</f>
        <v>3.7860073390000002</v>
      </c>
      <c r="D117" s="187">
        <f t="shared" si="323"/>
        <v>0.24081365600000026</v>
      </c>
      <c r="E117" s="188">
        <f t="shared" si="324"/>
        <v>0.91386533673876957</v>
      </c>
      <c r="F117" s="423">
        <f>Sizing!F133</f>
        <v>188.97189370691032</v>
      </c>
      <c r="G117" s="423">
        <f>Sizing!G133</f>
        <v>1889.7189370691028</v>
      </c>
      <c r="H117" s="423">
        <f>Sizing!H133</f>
        <v>5801.4636265664631</v>
      </c>
      <c r="I117" s="423">
        <f>Sizing!I133</f>
        <v>-3192.7683526242304</v>
      </c>
      <c r="J117" s="189">
        <f>Sizing!J133</f>
        <v>580.14636265664626</v>
      </c>
      <c r="K117" s="128">
        <v>73</v>
      </c>
      <c r="L117" s="12">
        <f t="shared" si="265"/>
        <v>210.95276265599998</v>
      </c>
      <c r="M117" s="11">
        <f t="shared" si="265"/>
        <v>45.432088067999999</v>
      </c>
      <c r="N117" s="11">
        <f t="shared" si="265"/>
        <v>2.8897638720000032</v>
      </c>
      <c r="O117" s="152">
        <f t="shared" si="325"/>
        <v>131.59660849038281</v>
      </c>
      <c r="P117" s="170">
        <f t="shared" si="260"/>
        <v>8.1777758522399999</v>
      </c>
      <c r="Q117" s="8">
        <f t="shared" si="261"/>
        <v>4.08888792612</v>
      </c>
      <c r="R117" s="170">
        <f>Sizing!X133</f>
        <v>11.358022017</v>
      </c>
      <c r="S117" s="8">
        <f>Sizing!Y133</f>
        <v>34.074066051000003</v>
      </c>
      <c r="T117" s="8">
        <f>Sizing!Z133</f>
        <v>22.716044034000003</v>
      </c>
      <c r="U117" s="17">
        <f>Sizing!CN133</f>
        <v>1.5</v>
      </c>
      <c r="V117" s="17">
        <f>Sizing!CO133</f>
        <v>2.3622047244094495E-2</v>
      </c>
      <c r="W117" s="17">
        <f>Sizing!CP133</f>
        <v>1.5748031496062995E-2</v>
      </c>
      <c r="X117" s="170">
        <f>Sizing!DU133</f>
        <v>0.29183693344119632</v>
      </c>
      <c r="Y117" s="170">
        <f>Sizing!DV133</f>
        <v>0.54021933827029589</v>
      </c>
      <c r="Z117" s="170">
        <f>Sizing!DW133</f>
        <v>0.29183693344119632</v>
      </c>
      <c r="AA117" s="272">
        <f>Sizing!DX133</f>
        <v>0.54021933827029589</v>
      </c>
      <c r="AB117" s="272">
        <f t="shared" si="266"/>
        <v>4.5588163564893893</v>
      </c>
      <c r="AC117" s="216">
        <f>Sizing!GJ133</f>
        <v>0.5</v>
      </c>
      <c r="AD117" s="216">
        <f>Sizing!GK133</f>
        <v>3.1496062992125991E-2</v>
      </c>
      <c r="AE117" s="17">
        <f>Sizing!GL133</f>
        <v>3.1496062992125991E-2</v>
      </c>
      <c r="AF117" s="170">
        <f>Sizing!JC133</f>
        <v>4.9108767457898697E-3</v>
      </c>
      <c r="AG117" s="272">
        <f>Sizing!JD133</f>
        <v>7.0077647975583982E-2</v>
      </c>
      <c r="AH117" s="170">
        <f>Sizing!JC133</f>
        <v>4.9108767457898697E-3</v>
      </c>
      <c r="AI117" s="272">
        <f>Sizing!JD133</f>
        <v>7.0077647975583982E-2</v>
      </c>
      <c r="AJ117" s="216">
        <f>Sizing!IT133</f>
        <v>0.25</v>
      </c>
      <c r="AK117" s="216">
        <f>Sizing!IU133</f>
        <v>1.5748031496062995E-2</v>
      </c>
      <c r="AL117" s="17">
        <f>Sizing!IV133</f>
        <v>1.5748031496062995E-2</v>
      </c>
      <c r="AM117" s="170">
        <f t="shared" si="267"/>
        <v>0</v>
      </c>
      <c r="AN117" s="11">
        <f t="shared" si="268"/>
        <v>1.5162976345827464</v>
      </c>
      <c r="AO117" s="11">
        <f t="shared" si="269"/>
        <v>1.5162976345827464</v>
      </c>
      <c r="AP117" s="11">
        <f t="shared" si="270"/>
        <v>3.0325952691654927</v>
      </c>
      <c r="AQ117" s="555">
        <f t="shared" si="271"/>
        <v>48382570.791414723</v>
      </c>
      <c r="AR117" s="311">
        <f t="shared" si="272"/>
        <v>11.733949618058341</v>
      </c>
      <c r="AS117" s="11">
        <f t="shared" si="273"/>
        <v>8.2485702121336615E-2</v>
      </c>
      <c r="AT117" s="11">
        <f t="shared" si="274"/>
        <v>4.9018486119555043</v>
      </c>
      <c r="AU117" s="11">
        <f t="shared" si="275"/>
        <v>4.9843343140768406</v>
      </c>
      <c r="AV117" s="555">
        <f t="shared" si="276"/>
        <v>79520966.826958448</v>
      </c>
      <c r="AW117" s="138">
        <f t="shared" si="277"/>
        <v>3.9370078740157494E-2</v>
      </c>
      <c r="AX117" s="138">
        <f t="shared" si="278"/>
        <v>6.2992125984251982E-2</v>
      </c>
      <c r="AY117" s="554">
        <f t="shared" si="279"/>
        <v>3.1496062992125991E-2</v>
      </c>
      <c r="AZ117" s="12">
        <f t="shared" si="280"/>
        <v>875.40502709553709</v>
      </c>
      <c r="BA117" s="11">
        <f t="shared" si="281"/>
        <v>145.51113268941521</v>
      </c>
      <c r="BB117">
        <f t="shared" si="282"/>
        <v>829.36962544295022</v>
      </c>
      <c r="BC117" s="555">
        <f t="shared" si="283"/>
        <v>3127542905.1098604</v>
      </c>
      <c r="BD117">
        <f t="shared" si="284"/>
        <v>73</v>
      </c>
      <c r="BE117" s="207">
        <f t="shared" si="285"/>
        <v>3.7860073390000002</v>
      </c>
      <c r="BF117" s="207">
        <f>'Inputs-Imperial'!$E$15*BE117</f>
        <v>2.8395055042499999</v>
      </c>
      <c r="BG117" s="207">
        <f>'Inputs-Imperial'!$E$12*BE117</f>
        <v>0.94650183475000005</v>
      </c>
      <c r="BH117">
        <f>'Inputs-Imperial'!$E$11*BE117</f>
        <v>0.68148132102000003</v>
      </c>
      <c r="BI117">
        <f t="shared" si="286"/>
        <v>0.72282009501781275</v>
      </c>
      <c r="BJ117">
        <f>'Weight '!U119+'Weight '!V119 /12</f>
        <v>2.4934383202099744E-2</v>
      </c>
      <c r="BK117">
        <f>('Weight '!AK119+'Weight '!AL119)/12</f>
        <v>5.2493438320209982E-3</v>
      </c>
      <c r="BL117">
        <f>'Weight '!AG119/12</f>
        <v>4.5018278189191324E-2</v>
      </c>
      <c r="BM117">
        <f>'Weight '!AI119/12</f>
        <v>4.5018278189191324E-2</v>
      </c>
      <c r="BN117" s="554">
        <f t="shared" si="287"/>
        <v>2.0059854590102306</v>
      </c>
      <c r="BO117" s="554">
        <f t="shared" si="288"/>
        <v>4.0956228642555077</v>
      </c>
      <c r="BP117">
        <f t="shared" si="289"/>
        <v>4.5018278189191324E-2</v>
      </c>
      <c r="BQ117">
        <f t="shared" si="289"/>
        <v>4.5018278189191324E-2</v>
      </c>
      <c r="BR117">
        <f t="shared" si="290"/>
        <v>0.59144476464161733</v>
      </c>
      <c r="BS117">
        <f t="shared" si="291"/>
        <v>0.48376749051996282</v>
      </c>
      <c r="BT117">
        <f t="shared" si="292"/>
        <v>1.128224256730161</v>
      </c>
      <c r="BU117">
        <f t="shared" si="293"/>
        <v>0.81232208573550269</v>
      </c>
      <c r="BV117">
        <f t="shared" si="294"/>
        <v>186.04881136219129</v>
      </c>
      <c r="BW117" s="207">
        <f t="shared" si="295"/>
        <v>104.6659190605791</v>
      </c>
      <c r="BX117">
        <f t="shared" si="296"/>
        <v>1.3635882278246163</v>
      </c>
      <c r="BY117" s="575">
        <f t="shared" si="297"/>
        <v>-47.713779839474725</v>
      </c>
      <c r="BZ117">
        <f t="shared" si="298"/>
        <v>201.95340464201621</v>
      </c>
      <c r="CA117" s="207">
        <f t="shared" si="299"/>
        <v>95.718434469146359</v>
      </c>
      <c r="CB117">
        <f t="shared" si="300"/>
        <v>1.399166016487607</v>
      </c>
      <c r="CC117">
        <f t="shared" si="301"/>
        <v>159.27086760051475</v>
      </c>
      <c r="CD117">
        <f t="shared" si="302"/>
        <v>148.86311544184463</v>
      </c>
      <c r="CE117" s="207">
        <f t="shared" si="303"/>
        <v>125.58556380817924</v>
      </c>
      <c r="CF117">
        <f t="shared" si="304"/>
        <v>1.2804056649345268</v>
      </c>
      <c r="CG117">
        <f t="shared" si="305"/>
        <v>-4.7668741709201745</v>
      </c>
      <c r="CH117">
        <f t="shared" si="306"/>
        <v>150.45207349881801</v>
      </c>
      <c r="CI117" s="207">
        <f t="shared" ref="CI117" si="347" xml:space="preserve"> ($BQ$38-CH117*($BP117+$BR117+$BQ117+$BN117))/($BP117+$BR117+$BQ117+$BO117)</f>
        <v>124.69165992261198</v>
      </c>
      <c r="CJ117">
        <f t="shared" si="308"/>
        <v>1.2839600855318185</v>
      </c>
      <c r="CK117">
        <f t="shared" si="309"/>
        <v>-0.22344532009260298</v>
      </c>
      <c r="CL117">
        <f t="shared" si="310"/>
        <v>150.52655527218221</v>
      </c>
      <c r="CM117" s="207">
        <f t="shared" ref="CM117" si="348" xml:space="preserve"> ($BQ$38-CL117*($BP117+$BR117+$BQ117+$BN117))/($BP117+$BR117+$BQ117+$BO117)</f>
        <v>124.64975853552251</v>
      </c>
      <c r="CN117">
        <f t="shared" si="312"/>
        <v>1.2841266975756083</v>
      </c>
      <c r="CO117">
        <f t="shared" si="313"/>
        <v>-9.9196117853193044E-3</v>
      </c>
      <c r="CP117">
        <f t="shared" si="314"/>
        <v>150.52986180944399</v>
      </c>
      <c r="CQ117" s="207">
        <f t="shared" ref="CQ117" si="349" xml:space="preserve"> ($BQ$38-CP117*($BP117+$BR117+$BQ117+$BN117))/($BP117+$BR117+$BQ117+$BO117)</f>
        <v>124.64789836904856</v>
      </c>
      <c r="CR117">
        <f t="shared" si="316"/>
        <v>1.28413409413595</v>
      </c>
      <c r="CS117">
        <f t="shared" si="317"/>
        <v>-4.3921963671955666E-4</v>
      </c>
      <c r="CT117">
        <f t="shared" si="318"/>
        <v>150.53000821598957</v>
      </c>
      <c r="CU117" s="636">
        <f t="shared" si="319"/>
        <v>124.64781600477255</v>
      </c>
      <c r="CV117" s="575">
        <f t="shared" si="320"/>
        <v>1.2841344216401525</v>
      </c>
      <c r="CW117">
        <f t="shared" si="321"/>
        <v>-1.9445464012335378E-5</v>
      </c>
      <c r="CX117" s="576">
        <f t="shared" si="322"/>
        <v>0.33917906297015565</v>
      </c>
    </row>
    <row r="118" spans="1:102" x14ac:dyDescent="0.25">
      <c r="A118" s="186">
        <v>74</v>
      </c>
      <c r="B118" s="187">
        <f>A118/100*'Inputs-Imperial'!$E$5</f>
        <v>17.820210543999998</v>
      </c>
      <c r="C118" s="188">
        <f>'Inputs-Imperial'!$E$10+('Inputs-Imperial'!$E$9-'Inputs-Imperial'!$E$10)*(100-A118)/100</f>
        <v>3.7682087820000003</v>
      </c>
      <c r="D118" s="187">
        <f t="shared" si="323"/>
        <v>0.24081365600000026</v>
      </c>
      <c r="E118" s="188">
        <f t="shared" si="324"/>
        <v>0.90957920115607527</v>
      </c>
      <c r="F118" s="423">
        <f>Sizing!F134</f>
        <v>180.41000949832133</v>
      </c>
      <c r="G118" s="423">
        <f>Sizing!G134</f>
        <v>1804.100094983213</v>
      </c>
      <c r="H118" s="423">
        <f>Sizing!H134</f>
        <v>5346.3935005184176</v>
      </c>
      <c r="I118" s="423">
        <f>Sizing!I134</f>
        <v>-3019.4502970705489</v>
      </c>
      <c r="J118" s="189">
        <f>Sizing!J134</f>
        <v>534.6393500518418</v>
      </c>
      <c r="K118" s="128">
        <v>74</v>
      </c>
      <c r="L118" s="12">
        <f t="shared" si="265"/>
        <v>213.84252652799998</v>
      </c>
      <c r="M118" s="11">
        <f t="shared" si="265"/>
        <v>45.218505384000004</v>
      </c>
      <c r="N118" s="11">
        <f t="shared" si="265"/>
        <v>2.8897638720000032</v>
      </c>
      <c r="O118" s="152">
        <f t="shared" si="325"/>
        <v>130.97940496647485</v>
      </c>
      <c r="P118" s="170">
        <f t="shared" si="260"/>
        <v>8.1393309691199995</v>
      </c>
      <c r="Q118" s="8">
        <f t="shared" si="261"/>
        <v>4.0696654845599998</v>
      </c>
      <c r="R118" s="170">
        <f>Sizing!X134</f>
        <v>11.304626346000001</v>
      </c>
      <c r="S118" s="8">
        <f>Sizing!Y134</f>
        <v>33.913879038000005</v>
      </c>
      <c r="T118" s="8">
        <f>Sizing!Z134</f>
        <v>22.609252692000005</v>
      </c>
      <c r="U118" s="17">
        <f>Sizing!CN134</f>
        <v>1.5</v>
      </c>
      <c r="V118" s="17">
        <f>Sizing!CO134</f>
        <v>2.3622047244094495E-2</v>
      </c>
      <c r="W118" s="17">
        <f>Sizing!CP134</f>
        <v>1.5748031496062995E-2</v>
      </c>
      <c r="X118" s="170">
        <f>Sizing!DU134</f>
        <v>0.29183693344119632</v>
      </c>
      <c r="Y118" s="170">
        <f>Sizing!DV134</f>
        <v>0.54021933827029589</v>
      </c>
      <c r="Z118" s="170">
        <f>Sizing!DW134</f>
        <v>0.29183693344119632</v>
      </c>
      <c r="AA118" s="272">
        <f>Sizing!DX134</f>
        <v>0.54021933827029589</v>
      </c>
      <c r="AB118" s="272">
        <f t="shared" si="266"/>
        <v>4.5203714733693889</v>
      </c>
      <c r="AC118" s="216">
        <f>Sizing!GJ134</f>
        <v>0.5</v>
      </c>
      <c r="AD118" s="216">
        <f>Sizing!GK134</f>
        <v>3.1496062992125991E-2</v>
      </c>
      <c r="AE118" s="17">
        <f>Sizing!GL134</f>
        <v>3.1496062992125991E-2</v>
      </c>
      <c r="AF118" s="170">
        <f>Sizing!JC134</f>
        <v>4.9108767457898697E-3</v>
      </c>
      <c r="AG118" s="272">
        <f>Sizing!JD134</f>
        <v>7.0077647975583982E-2</v>
      </c>
      <c r="AH118" s="170">
        <f>Sizing!JC134</f>
        <v>4.9108767457898697E-3</v>
      </c>
      <c r="AI118" s="272">
        <f>Sizing!JD134</f>
        <v>7.0077647975583982E-2</v>
      </c>
      <c r="AJ118" s="216">
        <f>Sizing!IT134</f>
        <v>0.25</v>
      </c>
      <c r="AK118" s="216">
        <f>Sizing!IU134</f>
        <v>1.5748031496062995E-2</v>
      </c>
      <c r="AL118" s="17">
        <f>Sizing!IV134</f>
        <v>1.5748031496062995E-2</v>
      </c>
      <c r="AM118" s="170">
        <f t="shared" si="267"/>
        <v>0</v>
      </c>
      <c r="AN118" s="11">
        <f t="shared" si="268"/>
        <v>1.4908313371187678</v>
      </c>
      <c r="AO118" s="11">
        <f t="shared" si="269"/>
        <v>1.4908313371187678</v>
      </c>
      <c r="AP118" s="11">
        <f t="shared" si="270"/>
        <v>2.9816626742375356</v>
      </c>
      <c r="AQ118" s="555">
        <f t="shared" si="271"/>
        <v>47569983.004067004</v>
      </c>
      <c r="AR118" s="311">
        <f t="shared" si="272"/>
        <v>11.67878665813463</v>
      </c>
      <c r="AS118" s="11">
        <f t="shared" si="273"/>
        <v>8.1711971167086853E-2</v>
      </c>
      <c r="AT118" s="11">
        <f t="shared" si="274"/>
        <v>4.8558683765137571</v>
      </c>
      <c r="AU118" s="11">
        <f t="shared" si="275"/>
        <v>4.9375803476808438</v>
      </c>
      <c r="AV118" s="555">
        <f t="shared" si="276"/>
        <v>78775045.631362766</v>
      </c>
      <c r="AW118" s="138">
        <f t="shared" si="277"/>
        <v>3.9370078740157494E-2</v>
      </c>
      <c r="AX118" s="138">
        <f t="shared" si="278"/>
        <v>6.2992125984251982E-2</v>
      </c>
      <c r="AY118" s="554">
        <f t="shared" si="279"/>
        <v>3.1496062992125991E-2</v>
      </c>
      <c r="AZ118" s="12">
        <f t="shared" si="280"/>
        <v>867.19356802383743</v>
      </c>
      <c r="BA118" s="11">
        <f t="shared" si="281"/>
        <v>144.82706423486448</v>
      </c>
      <c r="BB118">
        <f t="shared" si="282"/>
        <v>817.72757589614741</v>
      </c>
      <c r="BC118" s="555">
        <f t="shared" si="283"/>
        <v>3083640875.9734616</v>
      </c>
      <c r="BD118">
        <f t="shared" si="284"/>
        <v>74</v>
      </c>
      <c r="BE118" s="207">
        <f t="shared" si="285"/>
        <v>3.7682087820000003</v>
      </c>
      <c r="BF118" s="207">
        <f>'Inputs-Imperial'!$E$15*BE118</f>
        <v>2.8261565865000002</v>
      </c>
      <c r="BG118" s="207">
        <f>'Inputs-Imperial'!$E$12*BE118</f>
        <v>0.94205219550000008</v>
      </c>
      <c r="BH118">
        <f>'Inputs-Imperial'!$E$11*BE118</f>
        <v>0.67827758076</v>
      </c>
      <c r="BI118">
        <f t="shared" si="286"/>
        <v>0.71942201532330319</v>
      </c>
      <c r="BJ118">
        <f>'Weight '!U120+'Weight '!V120 /12</f>
        <v>2.4934383202099744E-2</v>
      </c>
      <c r="BK118">
        <f>('Weight '!AK120+'Weight '!AL120)/12</f>
        <v>5.2493438320209982E-3</v>
      </c>
      <c r="BL118">
        <f>'Weight '!AG120/12</f>
        <v>4.5018278189191324E-2</v>
      </c>
      <c r="BM118">
        <f>'Weight '!AI120/12</f>
        <v>4.5018278189191324E-2</v>
      </c>
      <c r="BN118" s="554">
        <f t="shared" si="287"/>
        <v>1.9935574318898146</v>
      </c>
      <c r="BO118" s="554">
        <f t="shared" si="288"/>
        <v>4.0793663660147033</v>
      </c>
      <c r="BP118">
        <f t="shared" si="289"/>
        <v>4.5018278189191324E-2</v>
      </c>
      <c r="BQ118">
        <f t="shared" si="289"/>
        <v>4.5018278189191324E-2</v>
      </c>
      <c r="BR118">
        <f t="shared" si="290"/>
        <v>0.58824102438161729</v>
      </c>
      <c r="BS118">
        <f t="shared" si="291"/>
        <v>0.47922966308503995</v>
      </c>
      <c r="BT118">
        <f t="shared" si="292"/>
        <v>1.1176413070998898</v>
      </c>
      <c r="BU118">
        <f t="shared" si="293"/>
        <v>0.79715410107500495</v>
      </c>
      <c r="BV118">
        <f t="shared" si="294"/>
        <v>187.13730362569089</v>
      </c>
      <c r="BW118" s="207">
        <f t="shared" si="295"/>
        <v>105.09403511352703</v>
      </c>
      <c r="BX118">
        <f t="shared" si="296"/>
        <v>1.3575269176389972</v>
      </c>
      <c r="BY118" s="575">
        <f t="shared" si="297"/>
        <v>-47.478039027398893</v>
      </c>
      <c r="BZ118">
        <f t="shared" si="298"/>
        <v>202.96331663482385</v>
      </c>
      <c r="CA118" s="207">
        <f t="shared" si="299"/>
        <v>96.20633856845069</v>
      </c>
      <c r="CB118">
        <f t="shared" si="300"/>
        <v>1.3925620209711824</v>
      </c>
      <c r="CC118">
        <f t="shared" si="301"/>
        <v>159.28964128723646</v>
      </c>
      <c r="CD118">
        <f t="shared" si="302"/>
        <v>149.86676953907838</v>
      </c>
      <c r="CE118" s="207">
        <f t="shared" si="303"/>
        <v>126.02471404343672</v>
      </c>
      <c r="CF118">
        <f t="shared" si="304"/>
        <v>1.2750186439369189</v>
      </c>
      <c r="CG118">
        <f t="shared" si="305"/>
        <v>-3.9470060843289652</v>
      </c>
      <c r="CH118">
        <f t="shared" si="306"/>
        <v>151.1824382338547</v>
      </c>
      <c r="CI118" s="207">
        <f t="shared" ref="CI118" si="350" xml:space="preserve"> ($BQ$38-CH118*($BP118+$BR118+$BQ118+$BN118))/($BP118+$BR118+$BQ118+$BO118)</f>
        <v>125.28585049604291</v>
      </c>
      <c r="CJ118">
        <f t="shared" si="308"/>
        <v>1.2779312277093327</v>
      </c>
      <c r="CK118">
        <f t="shared" si="309"/>
        <v>-0.20383021990403627</v>
      </c>
      <c r="CL118">
        <f t="shared" si="310"/>
        <v>151.25038164048937</v>
      </c>
      <c r="CM118" s="207">
        <f t="shared" ref="CM118" si="351" xml:space="preserve"> ($BQ$38-CL118*($BP118+$BR118+$BQ118+$BN118))/($BP118+$BR118+$BQ118+$BO118)</f>
        <v>125.24769430471039</v>
      </c>
      <c r="CN118">
        <f t="shared" si="312"/>
        <v>1.2780816385721832</v>
      </c>
      <c r="CO118">
        <f t="shared" si="313"/>
        <v>-1.0109924467281317E-2</v>
      </c>
      <c r="CP118">
        <f t="shared" si="314"/>
        <v>151.25375161531178</v>
      </c>
      <c r="CQ118" s="207">
        <f t="shared" ref="CQ118" si="352" xml:space="preserve"> ($BQ$38-CP118*($BP118+$BR118+$BQ118+$BN118))/($BP118+$BR118+$BQ118+$BO118)</f>
        <v>125.24580176781123</v>
      </c>
      <c r="CR118">
        <f t="shared" si="316"/>
        <v>1.278089098910808</v>
      </c>
      <c r="CS118">
        <f t="shared" si="317"/>
        <v>-5.0038550945608051E-4</v>
      </c>
      <c r="CT118">
        <f t="shared" si="318"/>
        <v>151.25391841048162</v>
      </c>
      <c r="CU118" s="636">
        <f t="shared" si="319"/>
        <v>125.24570809767121</v>
      </c>
      <c r="CV118" s="575">
        <f t="shared" si="320"/>
        <v>1.2780894681564297</v>
      </c>
      <c r="CW118">
        <f t="shared" si="321"/>
        <v>-2.4763711383712916E-5</v>
      </c>
      <c r="CX118" s="576">
        <f t="shared" si="322"/>
        <v>0.33917692519098575</v>
      </c>
    </row>
    <row r="119" spans="1:102" x14ac:dyDescent="0.25">
      <c r="A119" s="186">
        <v>75</v>
      </c>
      <c r="B119" s="187">
        <f>A119/100*'Inputs-Imperial'!$E$5</f>
        <v>18.061024199999999</v>
      </c>
      <c r="C119" s="188">
        <f>'Inputs-Imperial'!$E$10+('Inputs-Imperial'!$E$9-'Inputs-Imperial'!$E$10)*(100-A119)/100</f>
        <v>3.7504102250000004</v>
      </c>
      <c r="D119" s="187">
        <f t="shared" si="323"/>
        <v>0.24081365600000026</v>
      </c>
      <c r="E119" s="188">
        <f t="shared" si="324"/>
        <v>0.90529306557338085</v>
      </c>
      <c r="F119" s="423">
        <f>Sizing!F135</f>
        <v>171.9367446491384</v>
      </c>
      <c r="G119" s="423">
        <f>Sizing!G135</f>
        <v>1719.3674464913838</v>
      </c>
      <c r="H119" s="423">
        <f>Sizing!H135</f>
        <v>4911.9415608555628</v>
      </c>
      <c r="I119" s="423">
        <f>Sizing!I135</f>
        <v>-2849.7311034447307</v>
      </c>
      <c r="J119" s="189">
        <f>Sizing!J135</f>
        <v>491.1941560855563</v>
      </c>
      <c r="K119" s="128">
        <v>75</v>
      </c>
      <c r="L119" s="12">
        <f t="shared" si="265"/>
        <v>216.73229039999998</v>
      </c>
      <c r="M119" s="11">
        <f t="shared" si="265"/>
        <v>45.004922700000009</v>
      </c>
      <c r="N119" s="11">
        <f t="shared" si="265"/>
        <v>2.8897638720000032</v>
      </c>
      <c r="O119" s="152">
        <f t="shared" si="325"/>
        <v>130.36220144256686</v>
      </c>
      <c r="P119" s="170">
        <f t="shared" si="260"/>
        <v>8.1008860860000009</v>
      </c>
      <c r="Q119" s="8">
        <f t="shared" si="261"/>
        <v>4.0504430430000005</v>
      </c>
      <c r="R119" s="170">
        <f>Sizing!X135</f>
        <v>11.251230675000002</v>
      </c>
      <c r="S119" s="8">
        <f>Sizing!Y135</f>
        <v>33.753692025000007</v>
      </c>
      <c r="T119" s="8">
        <f>Sizing!Z135</f>
        <v>22.502461350000004</v>
      </c>
      <c r="U119" s="17">
        <f>Sizing!CN135</f>
        <v>0.75</v>
      </c>
      <c r="V119" s="17">
        <f>Sizing!CO135</f>
        <v>2.3622047244094495E-2</v>
      </c>
      <c r="W119" s="17">
        <f>Sizing!CP135</f>
        <v>1.5748031496062995E-2</v>
      </c>
      <c r="X119" s="170">
        <f>Sizing!DU135</f>
        <v>0.29183693344119632</v>
      </c>
      <c r="Y119" s="170">
        <f>Sizing!DV135</f>
        <v>0.54021933827029589</v>
      </c>
      <c r="Z119" s="170">
        <f>Sizing!DW135</f>
        <v>0.29183693344119632</v>
      </c>
      <c r="AA119" s="272">
        <f>Sizing!DX135</f>
        <v>0.54021933827029589</v>
      </c>
      <c r="AB119" s="272">
        <f t="shared" si="266"/>
        <v>5.9819265902493903</v>
      </c>
      <c r="AC119" s="216">
        <f>Sizing!GJ135</f>
        <v>0.25</v>
      </c>
      <c r="AD119" s="216">
        <f>Sizing!GK135</f>
        <v>2.3622047244094495E-2</v>
      </c>
      <c r="AE119" s="17">
        <f>Sizing!GL135</f>
        <v>2.3622047244094495E-2</v>
      </c>
      <c r="AF119" s="170">
        <f>Sizing!JC135</f>
        <v>4.9108767457898697E-3</v>
      </c>
      <c r="AG119" s="272">
        <f>Sizing!JD135</f>
        <v>7.0077647975583982E-2</v>
      </c>
      <c r="AH119" s="170">
        <f>Sizing!JC135</f>
        <v>4.9108767457898697E-3</v>
      </c>
      <c r="AI119" s="272">
        <f>Sizing!JD135</f>
        <v>7.0077647975583982E-2</v>
      </c>
      <c r="AJ119" s="216">
        <f>Sizing!IT135</f>
        <v>0.25</v>
      </c>
      <c r="AK119" s="216">
        <f>Sizing!IU135</f>
        <v>1.5748031496062995E-2</v>
      </c>
      <c r="AL119" s="17">
        <f>Sizing!IV135</f>
        <v>1.5748031496062995E-2</v>
      </c>
      <c r="AM119" s="170">
        <f t="shared" si="267"/>
        <v>0</v>
      </c>
      <c r="AN119" s="11">
        <f t="shared" si="268"/>
        <v>2.6107327675333081</v>
      </c>
      <c r="AO119" s="11">
        <f t="shared" si="269"/>
        <v>2.6107327675333081</v>
      </c>
      <c r="AP119" s="11">
        <f t="shared" si="270"/>
        <v>5.2214655350666161</v>
      </c>
      <c r="AQ119" s="555">
        <f t="shared" si="271"/>
        <v>83304201.010249108</v>
      </c>
      <c r="AR119" s="311">
        <f t="shared" si="272"/>
        <v>11.623623698210919</v>
      </c>
      <c r="AS119" s="11">
        <f t="shared" si="273"/>
        <v>8.0941886201850707E-2</v>
      </c>
      <c r="AT119" s="11">
        <f t="shared" si="274"/>
        <v>4.8101048099700883</v>
      </c>
      <c r="AU119" s="11">
        <f t="shared" si="275"/>
        <v>4.891046696171939</v>
      </c>
      <c r="AV119" s="555">
        <f t="shared" si="276"/>
        <v>78032639.37913242</v>
      </c>
      <c r="AW119" s="138">
        <f t="shared" si="277"/>
        <v>3.9370078740157494E-2</v>
      </c>
      <c r="AX119" s="138">
        <f t="shared" si="278"/>
        <v>4.724409448818899E-2</v>
      </c>
      <c r="AY119" s="554">
        <f t="shared" si="279"/>
        <v>3.1496062992125991E-2</v>
      </c>
      <c r="AZ119" s="12">
        <f t="shared" si="280"/>
        <v>859.02080313827173</v>
      </c>
      <c r="BA119" s="11">
        <f t="shared" si="281"/>
        <v>144.1429957803139</v>
      </c>
      <c r="BB119">
        <f t="shared" si="282"/>
        <v>806.19498738847733</v>
      </c>
      <c r="BC119" s="555">
        <f t="shared" si="283"/>
        <v>3040151623.1020999</v>
      </c>
      <c r="BD119">
        <f t="shared" si="284"/>
        <v>75</v>
      </c>
      <c r="BE119" s="207">
        <f t="shared" si="285"/>
        <v>3.7504102250000004</v>
      </c>
      <c r="BF119" s="207">
        <f>'Inputs-Imperial'!$E$15*BE119</f>
        <v>2.8128076687500005</v>
      </c>
      <c r="BG119" s="207">
        <f>'Inputs-Imperial'!$E$12*BE119</f>
        <v>0.93760255625000011</v>
      </c>
      <c r="BH119">
        <f>'Inputs-Imperial'!$E$11*BE119</f>
        <v>0.67507384050000008</v>
      </c>
      <c r="BI119">
        <f t="shared" si="286"/>
        <v>0.71602393562879374</v>
      </c>
      <c r="BJ119">
        <f>'Weight '!U121+'Weight '!V121 /12</f>
        <v>2.4934383202099744E-2</v>
      </c>
      <c r="BK119">
        <f>('Weight '!AK121+'Weight '!AL121)/12</f>
        <v>3.9370078740157488E-3</v>
      </c>
      <c r="BL119">
        <f>'Weight '!AG121/12</f>
        <v>4.5018278189191324E-2</v>
      </c>
      <c r="BM119">
        <f>'Weight '!AI121/12</f>
        <v>4.5018278189191324E-2</v>
      </c>
      <c r="BN119" s="554">
        <f t="shared" si="287"/>
        <v>1.9811288307182102</v>
      </c>
      <c r="BO119" s="554">
        <f t="shared" si="288"/>
        <v>4.063110441825085</v>
      </c>
      <c r="BP119">
        <f t="shared" si="289"/>
        <v>4.5018278189191324E-2</v>
      </c>
      <c r="BQ119">
        <f t="shared" si="289"/>
        <v>4.5018278189191324E-2</v>
      </c>
      <c r="BR119">
        <f t="shared" si="290"/>
        <v>0.58503728412161737</v>
      </c>
      <c r="BS119">
        <f t="shared" si="291"/>
        <v>0.47471321888272872</v>
      </c>
      <c r="BT119">
        <f t="shared" si="292"/>
        <v>1.1071082266365062</v>
      </c>
      <c r="BU119">
        <f t="shared" si="293"/>
        <v>0.78219953135434062</v>
      </c>
      <c r="BV119">
        <f t="shared" si="294"/>
        <v>188.2386481339866</v>
      </c>
      <c r="BW119" s="207">
        <f t="shared" si="295"/>
        <v>105.52565502045942</v>
      </c>
      <c r="BX119">
        <f t="shared" si="296"/>
        <v>1.3514659419339234</v>
      </c>
      <c r="BY119" s="575">
        <f t="shared" si="297"/>
        <v>-47.239848044917267</v>
      </c>
      <c r="BZ119">
        <f t="shared" si="298"/>
        <v>203.98526414895903</v>
      </c>
      <c r="CA119" s="207">
        <f t="shared" si="299"/>
        <v>96.698179973184011</v>
      </c>
      <c r="CB119">
        <f t="shared" si="300"/>
        <v>1.3859621359744134</v>
      </c>
      <c r="CC119">
        <f t="shared" si="301"/>
        <v>159.31479679723188</v>
      </c>
      <c r="CD119">
        <f t="shared" si="302"/>
        <v>150.88033188321506</v>
      </c>
      <c r="CE119" s="207">
        <f t="shared" si="303"/>
        <v>126.46854231753602</v>
      </c>
      <c r="CF119">
        <f t="shared" si="304"/>
        <v>1.2696248831828087</v>
      </c>
      <c r="CG119">
        <f t="shared" si="305"/>
        <v>-3.1269132686689272</v>
      </c>
      <c r="CH119">
        <f t="shared" si="306"/>
        <v>151.92263630610469</v>
      </c>
      <c r="CI119" s="207">
        <f t="shared" ref="CI119" si="353" xml:space="preserve"> ($BQ$38-CH119*($BP119+$BR119+$BQ119+$BN119))/($BP119+$BR119+$BQ119+$BO119)</f>
        <v>125.88423161382836</v>
      </c>
      <c r="CJ119">
        <f t="shared" si="308"/>
        <v>1.271908264932073</v>
      </c>
      <c r="CK119">
        <f t="shared" si="309"/>
        <v>-0.17638496227009703</v>
      </c>
      <c r="CL119">
        <f t="shared" si="310"/>
        <v>151.98143129352806</v>
      </c>
      <c r="CM119" s="207">
        <f t="shared" ref="CM119" si="354" xml:space="preserve"> ($BQ$38-CL119*($BP119+$BR119+$BQ119+$BN119))/($BP119+$BR119+$BQ119+$BO119)</f>
        <v>125.85127143470854</v>
      </c>
      <c r="CN119">
        <f t="shared" si="312"/>
        <v>1.2720370674184507</v>
      </c>
      <c r="CO119">
        <f t="shared" si="313"/>
        <v>-9.6659892634534117E-3</v>
      </c>
      <c r="CP119">
        <f t="shared" si="314"/>
        <v>151.98465328994922</v>
      </c>
      <c r="CQ119" s="207">
        <f t="shared" ref="CQ119" si="355" xml:space="preserve"> ($BQ$38-CP119*($BP119+$BR119+$BQ119+$BN119))/($BP119+$BR119+$BQ119+$BO119)</f>
        <v>125.84946519945245</v>
      </c>
      <c r="CR119">
        <f t="shared" si="316"/>
        <v>1.2720441258628579</v>
      </c>
      <c r="CS119">
        <f t="shared" si="317"/>
        <v>-5.2882583932678529E-4</v>
      </c>
      <c r="CT119">
        <f t="shared" si="318"/>
        <v>151.98482956522901</v>
      </c>
      <c r="CU119" s="636">
        <f t="shared" si="319"/>
        <v>125.84936638040256</v>
      </c>
      <c r="CV119" s="575">
        <f t="shared" si="320"/>
        <v>1.272044512030035</v>
      </c>
      <c r="CW119">
        <f t="shared" si="321"/>
        <v>-2.892941334131649E-5</v>
      </c>
      <c r="CX119" s="576">
        <f t="shared" si="322"/>
        <v>0.3391747664163951</v>
      </c>
    </row>
    <row r="120" spans="1:102" x14ac:dyDescent="0.25">
      <c r="A120" s="186">
        <v>76</v>
      </c>
      <c r="B120" s="187">
        <f>A120/100*'Inputs-Imperial'!$E$5</f>
        <v>18.301837855999999</v>
      </c>
      <c r="C120" s="188">
        <f>'Inputs-Imperial'!$E$10+('Inputs-Imperial'!$E$9-'Inputs-Imperial'!$E$10)*(100-A120)/100</f>
        <v>3.7326116680000001</v>
      </c>
      <c r="D120" s="187">
        <f t="shared" si="323"/>
        <v>0.24081365600000026</v>
      </c>
      <c r="E120" s="188">
        <f t="shared" si="324"/>
        <v>0.90100692999068643</v>
      </c>
      <c r="F120" s="423">
        <f>Sizing!F136</f>
        <v>163.55418374377237</v>
      </c>
      <c r="G120" s="423">
        <f>Sizing!G136</f>
        <v>1635.5418374377236</v>
      </c>
      <c r="H120" s="423">
        <f>Sizing!H136</f>
        <v>4497.894400058588</v>
      </c>
      <c r="I120" s="423">
        <f>Sizing!I136</f>
        <v>-2683.656897533072</v>
      </c>
      <c r="J120" s="189">
        <f>Sizing!J136</f>
        <v>449.78944000585881</v>
      </c>
      <c r="K120" s="128">
        <v>76</v>
      </c>
      <c r="L120" s="12">
        <f t="shared" si="265"/>
        <v>219.62205427199999</v>
      </c>
      <c r="M120" s="11">
        <f t="shared" si="265"/>
        <v>44.791340015999999</v>
      </c>
      <c r="N120" s="11">
        <f t="shared" si="265"/>
        <v>2.8897638720000032</v>
      </c>
      <c r="O120" s="152">
        <f t="shared" si="325"/>
        <v>129.74499791865884</v>
      </c>
      <c r="P120" s="170">
        <f t="shared" si="260"/>
        <v>8.0624412028799988</v>
      </c>
      <c r="Q120" s="8">
        <f t="shared" si="261"/>
        <v>4.0312206014399994</v>
      </c>
      <c r="R120" s="170">
        <f>Sizing!X136</f>
        <v>11.197835004</v>
      </c>
      <c r="S120" s="8">
        <f>Sizing!Y136</f>
        <v>33.593505012000001</v>
      </c>
      <c r="T120" s="8">
        <f>Sizing!Z136</f>
        <v>22.395670008000003</v>
      </c>
      <c r="U120" s="17">
        <f>Sizing!CN136</f>
        <v>0.75</v>
      </c>
      <c r="V120" s="17">
        <f>Sizing!CO136</f>
        <v>2.3622047244094495E-2</v>
      </c>
      <c r="W120" s="17">
        <f>Sizing!CP136</f>
        <v>1.5748031496062995E-2</v>
      </c>
      <c r="X120" s="170">
        <f>Sizing!DU136</f>
        <v>0.29183693344119632</v>
      </c>
      <c r="Y120" s="170">
        <f>Sizing!DV136</f>
        <v>0.54021933827029589</v>
      </c>
      <c r="Z120" s="170">
        <f>Sizing!DW136</f>
        <v>0.29183693344119632</v>
      </c>
      <c r="AA120" s="272">
        <f>Sizing!DX136</f>
        <v>0.54021933827029589</v>
      </c>
      <c r="AB120" s="272">
        <f t="shared" si="266"/>
        <v>5.9434817071293882</v>
      </c>
      <c r="AC120" s="216">
        <f>Sizing!GJ136</f>
        <v>0.25</v>
      </c>
      <c r="AD120" s="216">
        <f>Sizing!GK136</f>
        <v>2.3622047244094495E-2</v>
      </c>
      <c r="AE120" s="17">
        <f>Sizing!GL136</f>
        <v>2.3622047244094495E-2</v>
      </c>
      <c r="AF120" s="170">
        <f>Sizing!JC136</f>
        <v>4.9108767457898697E-3</v>
      </c>
      <c r="AG120" s="272">
        <f>Sizing!JD136</f>
        <v>7.0077647975583982E-2</v>
      </c>
      <c r="AH120" s="170">
        <f>Sizing!JC136</f>
        <v>4.9108767457898697E-3</v>
      </c>
      <c r="AI120" s="272">
        <f>Sizing!JD136</f>
        <v>7.0077647975583982E-2</v>
      </c>
      <c r="AJ120" s="216">
        <f>Sizing!IT136</f>
        <v>0.25</v>
      </c>
      <c r="AK120" s="216">
        <f>Sizing!IU136</f>
        <v>1.5748031496062995E-2</v>
      </c>
      <c r="AL120" s="17">
        <f>Sizing!IV136</f>
        <v>1.5748031496062995E-2</v>
      </c>
      <c r="AM120" s="170">
        <f t="shared" si="267"/>
        <v>0</v>
      </c>
      <c r="AN120" s="11">
        <f t="shared" si="268"/>
        <v>2.5772830800974242</v>
      </c>
      <c r="AO120" s="11">
        <f t="shared" si="269"/>
        <v>2.5772830800974242</v>
      </c>
      <c r="AP120" s="11">
        <f t="shared" si="270"/>
        <v>5.1545661601948485</v>
      </c>
      <c r="AQ120" s="555">
        <f t="shared" si="271"/>
        <v>82236876.341657445</v>
      </c>
      <c r="AR120" s="311">
        <f t="shared" si="272"/>
        <v>11.568460738287204</v>
      </c>
      <c r="AS120" s="11">
        <f t="shared" si="273"/>
        <v>8.0175447225628207E-2</v>
      </c>
      <c r="AT120" s="11">
        <f t="shared" si="274"/>
        <v>4.7645579123244941</v>
      </c>
      <c r="AU120" s="11">
        <f t="shared" si="275"/>
        <v>4.8447333595501227</v>
      </c>
      <c r="AV120" s="555">
        <f t="shared" si="276"/>
        <v>77293748.070267379</v>
      </c>
      <c r="AW120" s="138">
        <f t="shared" si="277"/>
        <v>3.9370078740157494E-2</v>
      </c>
      <c r="AX120" s="138">
        <f t="shared" si="278"/>
        <v>4.724409448818899E-2</v>
      </c>
      <c r="AY120" s="554">
        <f t="shared" si="279"/>
        <v>3.1496062992125991E-2</v>
      </c>
      <c r="AZ120" s="12">
        <f t="shared" si="280"/>
        <v>850.88673243883943</v>
      </c>
      <c r="BA120" s="11">
        <f t="shared" si="281"/>
        <v>143.45892732576328</v>
      </c>
      <c r="BB120">
        <f t="shared" si="282"/>
        <v>794.77134289748778</v>
      </c>
      <c r="BC120" s="555">
        <f t="shared" si="283"/>
        <v>2997073196.8103123</v>
      </c>
      <c r="BD120">
        <f t="shared" si="284"/>
        <v>76</v>
      </c>
      <c r="BE120" s="207">
        <f t="shared" si="285"/>
        <v>3.7326116680000001</v>
      </c>
      <c r="BF120" s="207">
        <f>'Inputs-Imperial'!$E$15*BE120</f>
        <v>2.799458751</v>
      </c>
      <c r="BG120" s="207">
        <f>'Inputs-Imperial'!$E$12*BE120</f>
        <v>0.93315291700000003</v>
      </c>
      <c r="BH120">
        <f>'Inputs-Imperial'!$E$11*BE120</f>
        <v>0.67187010024000005</v>
      </c>
      <c r="BI120">
        <f t="shared" si="286"/>
        <v>0.71262585593428418</v>
      </c>
      <c r="BJ120">
        <f>'Weight '!U122+'Weight '!V122 /12</f>
        <v>2.4934383202099744E-2</v>
      </c>
      <c r="BK120">
        <f>('Weight '!AK122+'Weight '!AL122)/12</f>
        <v>3.9370078740157488E-3</v>
      </c>
      <c r="BL120">
        <f>'Weight '!AG122/12</f>
        <v>4.5018278189191324E-2</v>
      </c>
      <c r="BM120">
        <f>'Weight '!AI122/12</f>
        <v>4.5018278189191324E-2</v>
      </c>
      <c r="BN120" s="554">
        <f t="shared" si="287"/>
        <v>1.9686997388629819</v>
      </c>
      <c r="BO120" s="554">
        <f t="shared" si="288"/>
        <v>4.0468550083190902</v>
      </c>
      <c r="BP120">
        <f t="shared" si="289"/>
        <v>4.5018278189191324E-2</v>
      </c>
      <c r="BQ120">
        <f t="shared" si="289"/>
        <v>4.5018278189191324E-2</v>
      </c>
      <c r="BR120">
        <f t="shared" si="290"/>
        <v>0.58183354386161734</v>
      </c>
      <c r="BS120">
        <f t="shared" si="291"/>
        <v>0.47021815791302884</v>
      </c>
      <c r="BT120">
        <f t="shared" si="292"/>
        <v>1.0966250153400101</v>
      </c>
      <c r="BU120">
        <f t="shared" si="293"/>
        <v>0.76745636527671746</v>
      </c>
      <c r="BV120">
        <f t="shared" si="294"/>
        <v>189.35306788547319</v>
      </c>
      <c r="BW120" s="207">
        <f t="shared" si="295"/>
        <v>105.96082384478635</v>
      </c>
      <c r="BX120">
        <f t="shared" si="296"/>
        <v>1.3454052969041179</v>
      </c>
      <c r="BY120" s="575">
        <f t="shared" si="297"/>
        <v>-46.999174670656998</v>
      </c>
      <c r="BZ120">
        <f t="shared" si="298"/>
        <v>205.01945944235885</v>
      </c>
      <c r="CA120" s="207">
        <f t="shared" si="299"/>
        <v>97.194006519985223</v>
      </c>
      <c r="CB120">
        <f t="shared" si="300"/>
        <v>1.37936636282875</v>
      </c>
      <c r="CC120">
        <f t="shared" si="301"/>
        <v>159.3464321679767</v>
      </c>
      <c r="CD120">
        <f t="shared" si="302"/>
        <v>151.90398205303327</v>
      </c>
      <c r="CE120" s="207">
        <f t="shared" si="303"/>
        <v>126.91710425445736</v>
      </c>
      <c r="CF120">
        <f t="shared" si="304"/>
        <v>1.2642244539413543</v>
      </c>
      <c r="CG120">
        <f t="shared" si="305"/>
        <v>-2.3065111709783075</v>
      </c>
      <c r="CH120">
        <f t="shared" si="306"/>
        <v>152.67281911002604</v>
      </c>
      <c r="CI120" s="207">
        <f t="shared" ref="CI120" si="356" xml:space="preserve"> ($BQ$38-CH120*($BP120+$BR120+$BQ120+$BN120))/($BP120+$BR120+$BQ120+$BO120)</f>
        <v>126.48686771870383</v>
      </c>
      <c r="CJ120">
        <f t="shared" si="308"/>
        <v>1.2658911125259442</v>
      </c>
      <c r="CK120">
        <f t="shared" si="309"/>
        <v>-0.14110161735531612</v>
      </c>
      <c r="CL120">
        <f t="shared" si="310"/>
        <v>152.71985298247782</v>
      </c>
      <c r="CM120" s="207">
        <f t="shared" ref="CM120" si="357" xml:space="preserve"> ($BQ$38-CL120*($BP120+$BR120+$BQ120+$BN120))/($BP120+$BR120+$BQ120+$BO120)</f>
        <v>126.46054785006238</v>
      </c>
      <c r="CN120">
        <f t="shared" si="312"/>
        <v>1.2659930709403771</v>
      </c>
      <c r="CO120">
        <f t="shared" si="313"/>
        <v>-8.465570353438423E-3</v>
      </c>
      <c r="CP120">
        <f t="shared" si="314"/>
        <v>152.72267483926231</v>
      </c>
      <c r="CQ120" s="207">
        <f t="shared" ref="CQ120" si="358" xml:space="preserve"> ($BQ$38-CP120*($BP120+$BR120+$BQ120+$BN120))/($BP120+$BR120+$BQ120+$BO120)</f>
        <v>126.45896875618764</v>
      </c>
      <c r="CR120">
        <f t="shared" si="316"/>
        <v>1.2659991880646646</v>
      </c>
      <c r="CS120">
        <f t="shared" si="317"/>
        <v>-5.072926743938666E-4</v>
      </c>
      <c r="CT120">
        <f t="shared" si="318"/>
        <v>152.72284393682045</v>
      </c>
      <c r="CU120" s="636">
        <f t="shared" si="319"/>
        <v>126.45887413022373</v>
      </c>
      <c r="CV120" s="575">
        <f t="shared" si="320"/>
        <v>1.2659995546285474</v>
      </c>
      <c r="CW120">
        <f t="shared" si="321"/>
        <v>-3.0396923538233978E-5</v>
      </c>
      <c r="CX120" s="576">
        <f t="shared" si="322"/>
        <v>0.33917258671242717</v>
      </c>
    </row>
    <row r="121" spans="1:102" x14ac:dyDescent="0.25">
      <c r="A121" s="186">
        <v>77</v>
      </c>
      <c r="B121" s="187">
        <f>A121/100*'Inputs-Imperial'!$E$5</f>
        <v>18.542651511999999</v>
      </c>
      <c r="C121" s="188">
        <f>'Inputs-Imperial'!$E$10+('Inputs-Imperial'!$E$9-'Inputs-Imperial'!$E$10)*(100-A121)/100</f>
        <v>3.7148131110000002</v>
      </c>
      <c r="D121" s="187">
        <f t="shared" si="323"/>
        <v>0.24081365600000026</v>
      </c>
      <c r="E121" s="188">
        <f t="shared" si="324"/>
        <v>0.89672079440799202</v>
      </c>
      <c r="F121" s="423">
        <f>Sizing!F137</f>
        <v>155.26452159936986</v>
      </c>
      <c r="G121" s="423">
        <f>Sizing!G137</f>
        <v>1552.6452159936985</v>
      </c>
      <c r="H121" s="423">
        <f>Sizing!H137</f>
        <v>4104.0335906442515</v>
      </c>
      <c r="I121" s="423">
        <f>Sizing!I137</f>
        <v>-2521.2754978452945</v>
      </c>
      <c r="J121" s="189">
        <f>Sizing!J137</f>
        <v>410.40335906442516</v>
      </c>
      <c r="K121" s="128">
        <v>77</v>
      </c>
      <c r="L121" s="12">
        <f t="shared" si="265"/>
        <v>222.51181814399999</v>
      </c>
      <c r="M121" s="11">
        <f t="shared" si="265"/>
        <v>44.577757332000004</v>
      </c>
      <c r="N121" s="11">
        <f t="shared" si="265"/>
        <v>2.8897638720000032</v>
      </c>
      <c r="O121" s="152">
        <f t="shared" si="325"/>
        <v>129.12779439475085</v>
      </c>
      <c r="P121" s="170">
        <f t="shared" si="260"/>
        <v>8.0239963197600002</v>
      </c>
      <c r="Q121" s="8">
        <f t="shared" si="261"/>
        <v>4.0119981598800001</v>
      </c>
      <c r="R121" s="170">
        <f>Sizing!X137</f>
        <v>11.144439333000001</v>
      </c>
      <c r="S121" s="8">
        <f>Sizing!Y137</f>
        <v>33.433317999000003</v>
      </c>
      <c r="T121" s="8">
        <f>Sizing!Z137</f>
        <v>22.288878666000002</v>
      </c>
      <c r="U121" s="17">
        <f>Sizing!CN137</f>
        <v>0.75</v>
      </c>
      <c r="V121" s="17">
        <f>Sizing!CO137</f>
        <v>2.3622047244094495E-2</v>
      </c>
      <c r="W121" s="17">
        <f>Sizing!CP137</f>
        <v>1.5748031496062995E-2</v>
      </c>
      <c r="X121" s="170">
        <f>Sizing!DU137</f>
        <v>0.29183693344119632</v>
      </c>
      <c r="Y121" s="170">
        <f>Sizing!DV137</f>
        <v>0.54021933827029589</v>
      </c>
      <c r="Z121" s="170">
        <f>Sizing!DW137</f>
        <v>0.29183693344119632</v>
      </c>
      <c r="AA121" s="272">
        <f>Sizing!DX137</f>
        <v>0.54021933827029589</v>
      </c>
      <c r="AB121" s="272">
        <f t="shared" si="266"/>
        <v>5.9050368240093896</v>
      </c>
      <c r="AC121" s="216">
        <f>Sizing!GJ137</f>
        <v>0.25</v>
      </c>
      <c r="AD121" s="216">
        <f>Sizing!GK137</f>
        <v>2.3622047244094495E-2</v>
      </c>
      <c r="AE121" s="17">
        <f>Sizing!GL137</f>
        <v>2.3622047244094495E-2</v>
      </c>
      <c r="AF121" s="170">
        <f>Sizing!JC137</f>
        <v>4.9108767457898697E-3</v>
      </c>
      <c r="AG121" s="272">
        <f>Sizing!JD137</f>
        <v>7.0077647975583982E-2</v>
      </c>
      <c r="AH121" s="170">
        <f>Sizing!JC137</f>
        <v>4.9108767457898697E-3</v>
      </c>
      <c r="AI121" s="272">
        <f>Sizing!JD137</f>
        <v>7.0077647975583982E-2</v>
      </c>
      <c r="AJ121" s="216">
        <f>Sizing!IT137</f>
        <v>0.25</v>
      </c>
      <c r="AK121" s="216">
        <f>Sizing!IU137</f>
        <v>1.5748031496062995E-2</v>
      </c>
      <c r="AL121" s="17">
        <f>Sizing!IV137</f>
        <v>1.5748031496062995E-2</v>
      </c>
      <c r="AM121" s="170">
        <f t="shared" si="267"/>
        <v>0</v>
      </c>
      <c r="AN121" s="11">
        <f t="shared" si="268"/>
        <v>2.5440490614741837</v>
      </c>
      <c r="AO121" s="11">
        <f t="shared" si="269"/>
        <v>2.5440490614741837</v>
      </c>
      <c r="AP121" s="11">
        <f t="shared" si="270"/>
        <v>5.0880981229483675</v>
      </c>
      <c r="AQ121" s="555">
        <f t="shared" si="271"/>
        <v>81176433.311180383</v>
      </c>
      <c r="AR121" s="311">
        <f t="shared" si="272"/>
        <v>11.513297778363491</v>
      </c>
      <c r="AS121" s="11">
        <f t="shared" si="273"/>
        <v>7.9412654238418562E-2</v>
      </c>
      <c r="AT121" s="11">
        <f t="shared" si="274"/>
        <v>4.7192276835769782</v>
      </c>
      <c r="AU121" s="11">
        <f t="shared" si="275"/>
        <v>4.7986403378153968</v>
      </c>
      <c r="AV121" s="555">
        <f t="shared" si="276"/>
        <v>76558371.704767644</v>
      </c>
      <c r="AW121" s="138">
        <f t="shared" si="277"/>
        <v>3.9370078740157494E-2</v>
      </c>
      <c r="AX121" s="138">
        <f t="shared" si="278"/>
        <v>4.724409448818899E-2</v>
      </c>
      <c r="AY121" s="554">
        <f t="shared" si="279"/>
        <v>3.1496062992125991E-2</v>
      </c>
      <c r="AZ121" s="12">
        <f t="shared" si="280"/>
        <v>842.79135592554167</v>
      </c>
      <c r="BA121" s="11">
        <f t="shared" si="281"/>
        <v>142.77485887121256</v>
      </c>
      <c r="BB121">
        <f t="shared" si="282"/>
        <v>783.45612540072921</v>
      </c>
      <c r="BC121" s="555">
        <f t="shared" si="283"/>
        <v>2954403647.4126453</v>
      </c>
      <c r="BD121">
        <f t="shared" si="284"/>
        <v>77</v>
      </c>
      <c r="BE121" s="207">
        <f t="shared" si="285"/>
        <v>3.7148131110000002</v>
      </c>
      <c r="BF121" s="207">
        <f>'Inputs-Imperial'!$E$15*BE121</f>
        <v>2.7861098332500003</v>
      </c>
      <c r="BG121" s="207">
        <f>'Inputs-Imperial'!$E$12*BE121</f>
        <v>0.92870327775000006</v>
      </c>
      <c r="BH121">
        <f>'Inputs-Imperial'!$E$11*BE121</f>
        <v>0.66866635998000001</v>
      </c>
      <c r="BI121">
        <f t="shared" si="286"/>
        <v>0.70922777623977462</v>
      </c>
      <c r="BJ121">
        <f>'Weight '!U123+'Weight '!V123 /12</f>
        <v>2.4934383202099744E-2</v>
      </c>
      <c r="BK121">
        <f>('Weight '!AK123+'Weight '!AL123)/12</f>
        <v>3.9370078740157488E-3</v>
      </c>
      <c r="BL121">
        <f>'Weight '!AG123/12</f>
        <v>4.5018278189191324E-2</v>
      </c>
      <c r="BM121">
        <f>'Weight '!AI123/12</f>
        <v>4.5018278189191324E-2</v>
      </c>
      <c r="BN121" s="554">
        <f t="shared" si="287"/>
        <v>1.9562702420876625</v>
      </c>
      <c r="BO121" s="554">
        <f t="shared" si="288"/>
        <v>4.0305999797331875</v>
      </c>
      <c r="BP121">
        <f t="shared" si="289"/>
        <v>4.5018278189191324E-2</v>
      </c>
      <c r="BQ121">
        <f t="shared" si="289"/>
        <v>4.5018278189191324E-2</v>
      </c>
      <c r="BR121">
        <f t="shared" si="290"/>
        <v>0.57862980360161731</v>
      </c>
      <c r="BS121">
        <f t="shared" si="291"/>
        <v>0.46574448017594061</v>
      </c>
      <c r="BT121">
        <f t="shared" si="292"/>
        <v>1.086191673210402</v>
      </c>
      <c r="BU121">
        <f t="shared" si="293"/>
        <v>0.75292260106788667</v>
      </c>
      <c r="BV121">
        <f t="shared" si="294"/>
        <v>190.48079089077811</v>
      </c>
      <c r="BW121" s="207">
        <f t="shared" si="295"/>
        <v>106.39958747912057</v>
      </c>
      <c r="BX121">
        <f t="shared" si="296"/>
        <v>1.3393449785931701</v>
      </c>
      <c r="BY121" s="575">
        <f t="shared" si="297"/>
        <v>-46.755986172726594</v>
      </c>
      <c r="BZ121">
        <f t="shared" si="298"/>
        <v>206.06611961502031</v>
      </c>
      <c r="CA121" s="207">
        <f t="shared" si="299"/>
        <v>97.69386686954627</v>
      </c>
      <c r="CB121">
        <f t="shared" si="300"/>
        <v>1.3727747027140884</v>
      </c>
      <c r="CC121">
        <f t="shared" si="301"/>
        <v>159.38464726528701</v>
      </c>
      <c r="CD121">
        <f t="shared" si="302"/>
        <v>152.93790385992463</v>
      </c>
      <c r="CE121" s="207">
        <f t="shared" si="303"/>
        <v>127.37045637449656</v>
      </c>
      <c r="CF121">
        <f t="shared" si="304"/>
        <v>1.2588174274359034</v>
      </c>
      <c r="CG121">
        <f t="shared" si="305"/>
        <v>-1.4857132929694128</v>
      </c>
      <c r="CH121">
        <f t="shared" si="306"/>
        <v>153.43314162424778</v>
      </c>
      <c r="CI121" s="207">
        <f t="shared" ref="CI121" si="359" xml:space="preserve"> ($BQ$38-CH121*($BP121+$BR121+$BQ121+$BN121))/($BP121+$BR121+$BQ121+$BO121)</f>
        <v>127.09382431316561</v>
      </c>
      <c r="CJ121">
        <f t="shared" si="308"/>
        <v>1.2598796868292412</v>
      </c>
      <c r="CK121">
        <f t="shared" si="309"/>
        <v>-9.7970587356600802E-2</v>
      </c>
      <c r="CL121">
        <f t="shared" si="310"/>
        <v>153.46579848669998</v>
      </c>
      <c r="CM121" s="207">
        <f t="shared" ref="CM121" si="360" xml:space="preserve"> ($BQ$38-CL121*($BP121+$BR121+$BQ121+$BN121))/($BP121+$BR121+$BQ121+$BO121)</f>
        <v>127.07558270110054</v>
      </c>
      <c r="CN121">
        <f t="shared" si="312"/>
        <v>1.2599497341103572</v>
      </c>
      <c r="CO121">
        <f t="shared" si="313"/>
        <v>-6.3864002952627175E-3</v>
      </c>
      <c r="CP121">
        <f t="shared" si="314"/>
        <v>153.46792728679841</v>
      </c>
      <c r="CQ121" s="207">
        <f t="shared" ref="CQ121" si="361" xml:space="preserve"> ($BQ$38-CP121*($BP121+$BR121+$BQ121+$BN121))/($BP121+$BR121+$BQ121+$BO121)</f>
        <v>127.07439358669568</v>
      </c>
      <c r="CR121">
        <f t="shared" si="316"/>
        <v>1.2599543002764779</v>
      </c>
      <c r="CS121">
        <f t="shared" si="317"/>
        <v>-4.1599205528264349E-4</v>
      </c>
      <c r="CT121">
        <f t="shared" si="318"/>
        <v>153.46806595081685</v>
      </c>
      <c r="CU121" s="636">
        <f t="shared" si="319"/>
        <v>127.07431613114599</v>
      </c>
      <c r="CV121" s="575">
        <f t="shared" si="320"/>
        <v>1.2599545977036264</v>
      </c>
      <c r="CW121">
        <f t="shared" si="321"/>
        <v>-2.7095197317805741E-5</v>
      </c>
      <c r="CX121" s="576">
        <f t="shared" si="322"/>
        <v>0.33917038624978252</v>
      </c>
    </row>
    <row r="122" spans="1:102" x14ac:dyDescent="0.25">
      <c r="A122" s="186">
        <v>78</v>
      </c>
      <c r="B122" s="187">
        <f>A122/100*'Inputs-Imperial'!$E$5</f>
        <v>18.783465167999999</v>
      </c>
      <c r="C122" s="188">
        <f>'Inputs-Imperial'!$E$10+('Inputs-Imperial'!$E$9-'Inputs-Imperial'!$E$10)*(100-A122)/100</f>
        <v>3.6970145540000003</v>
      </c>
      <c r="D122" s="187">
        <f t="shared" si="323"/>
        <v>0.24081365600000026</v>
      </c>
      <c r="E122" s="188">
        <f t="shared" si="324"/>
        <v>0.89243465882529771</v>
      </c>
      <c r="F122" s="423">
        <f>Sizing!F138</f>
        <v>147.07007502346536</v>
      </c>
      <c r="G122" s="423">
        <f>Sizing!G138</f>
        <v>1470.7007502346535</v>
      </c>
      <c r="H122" s="423">
        <f>Sizing!H138</f>
        <v>3730.135419709899</v>
      </c>
      <c r="I122" s="423">
        <f>Sizing!I138</f>
        <v>-2362.6366195316177</v>
      </c>
      <c r="J122" s="189">
        <f>Sizing!J138</f>
        <v>373.01354197098988</v>
      </c>
      <c r="K122" s="128">
        <v>78</v>
      </c>
      <c r="L122" s="12">
        <f t="shared" si="265"/>
        <v>225.40158201599999</v>
      </c>
      <c r="M122" s="11">
        <f t="shared" si="265"/>
        <v>44.364174648000002</v>
      </c>
      <c r="N122" s="11">
        <f t="shared" si="265"/>
        <v>2.8897638720000032</v>
      </c>
      <c r="O122" s="152">
        <f t="shared" si="325"/>
        <v>128.51059087084286</v>
      </c>
      <c r="P122" s="170">
        <f t="shared" si="260"/>
        <v>7.9855514366399998</v>
      </c>
      <c r="Q122" s="8">
        <f t="shared" si="261"/>
        <v>3.9927757183199999</v>
      </c>
      <c r="R122" s="170">
        <f>Sizing!X138</f>
        <v>11.091043662000001</v>
      </c>
      <c r="S122" s="8">
        <f>Sizing!Y138</f>
        <v>33.273130985999998</v>
      </c>
      <c r="T122" s="8">
        <f>Sizing!Z138</f>
        <v>22.182087323999998</v>
      </c>
      <c r="U122" s="17">
        <f>Sizing!CN138</f>
        <v>0.75</v>
      </c>
      <c r="V122" s="17">
        <f>Sizing!CO138</f>
        <v>2.3622047244094495E-2</v>
      </c>
      <c r="W122" s="17">
        <f>Sizing!CP138</f>
        <v>1.5748031496062995E-2</v>
      </c>
      <c r="X122" s="170">
        <f>Sizing!DU138</f>
        <v>0.29183693344119632</v>
      </c>
      <c r="Y122" s="170">
        <f>Sizing!DV138</f>
        <v>0.54021933827029589</v>
      </c>
      <c r="Z122" s="170">
        <f>Sizing!DW138</f>
        <v>0.29183693344119632</v>
      </c>
      <c r="AA122" s="272">
        <f>Sizing!DX138</f>
        <v>0.54021933827029589</v>
      </c>
      <c r="AB122" s="272">
        <f t="shared" si="266"/>
        <v>5.8665919408893892</v>
      </c>
      <c r="AC122" s="216">
        <f>Sizing!GJ138</f>
        <v>0.25</v>
      </c>
      <c r="AD122" s="216">
        <f>Sizing!GK138</f>
        <v>2.3622047244094495E-2</v>
      </c>
      <c r="AE122" s="17">
        <f>Sizing!GL138</f>
        <v>2.3622047244094495E-2</v>
      </c>
      <c r="AF122" s="170">
        <f>Sizing!JC138</f>
        <v>4.9108767457898697E-3</v>
      </c>
      <c r="AG122" s="272">
        <f>Sizing!JD138</f>
        <v>7.0077647975583982E-2</v>
      </c>
      <c r="AH122" s="170">
        <f>Sizing!JC138</f>
        <v>4.9108767457898697E-3</v>
      </c>
      <c r="AI122" s="272">
        <f>Sizing!JD138</f>
        <v>7.0077647975583982E-2</v>
      </c>
      <c r="AJ122" s="216">
        <f>Sizing!IT138</f>
        <v>0.25</v>
      </c>
      <c r="AK122" s="216">
        <f>Sizing!IU138</f>
        <v>1.5748031496062995E-2</v>
      </c>
      <c r="AL122" s="17">
        <f>Sizing!IV138</f>
        <v>1.5748031496062995E-2</v>
      </c>
      <c r="AM122" s="170">
        <f t="shared" si="267"/>
        <v>0</v>
      </c>
      <c r="AN122" s="11">
        <f t="shared" si="268"/>
        <v>2.5110307116635822</v>
      </c>
      <c r="AO122" s="11">
        <f t="shared" si="269"/>
        <v>2.5110307116635822</v>
      </c>
      <c r="AP122" s="11">
        <f t="shared" si="270"/>
        <v>5.0220614233271643</v>
      </c>
      <c r="AQ122" s="555">
        <f t="shared" si="271"/>
        <v>80122871.918817773</v>
      </c>
      <c r="AR122" s="311">
        <f t="shared" si="272"/>
        <v>11.458134818439778</v>
      </c>
      <c r="AS122" s="11">
        <f t="shared" si="273"/>
        <v>7.8653507240223311E-2</v>
      </c>
      <c r="AT122" s="11">
        <f t="shared" si="274"/>
        <v>4.6741141237275352</v>
      </c>
      <c r="AU122" s="11">
        <f t="shared" si="275"/>
        <v>4.7527676309677584</v>
      </c>
      <c r="AV122" s="555">
        <f t="shared" si="276"/>
        <v>75826510.282633185</v>
      </c>
      <c r="AW122" s="138">
        <f t="shared" si="277"/>
        <v>3.9370078740157494E-2</v>
      </c>
      <c r="AX122" s="138">
        <f t="shared" si="278"/>
        <v>4.724409448818899E-2</v>
      </c>
      <c r="AY122" s="554">
        <f t="shared" si="279"/>
        <v>3.1496062992125991E-2</v>
      </c>
      <c r="AZ122" s="12">
        <f t="shared" si="280"/>
        <v>834.73467359837741</v>
      </c>
      <c r="BA122" s="11">
        <f t="shared" si="281"/>
        <v>142.090790416662</v>
      </c>
      <c r="BB122">
        <f t="shared" si="282"/>
        <v>772.248817875746</v>
      </c>
      <c r="BC122" s="555">
        <f t="shared" si="283"/>
        <v>2912141025.2236242</v>
      </c>
      <c r="BD122">
        <f t="shared" si="284"/>
        <v>78</v>
      </c>
      <c r="BE122" s="207">
        <f t="shared" si="285"/>
        <v>3.6970145540000003</v>
      </c>
      <c r="BF122" s="207">
        <f>'Inputs-Imperial'!$E$15*BE122</f>
        <v>2.7727609155000001</v>
      </c>
      <c r="BG122" s="207">
        <f>'Inputs-Imperial'!$E$12*BE122</f>
        <v>0.92425363850000009</v>
      </c>
      <c r="BH122">
        <f>'Inputs-Imperial'!$E$11*BE122</f>
        <v>0.66546261971999998</v>
      </c>
      <c r="BI122">
        <f t="shared" si="286"/>
        <v>0.70582969654526506</v>
      </c>
      <c r="BJ122">
        <f>'Weight '!U124+'Weight '!V124 /12</f>
        <v>2.4934383202099744E-2</v>
      </c>
      <c r="BK122">
        <f>('Weight '!AK124+'Weight '!AL124)/12</f>
        <v>3.9370078740157488E-3</v>
      </c>
      <c r="BL122">
        <f>'Weight '!AG124/12</f>
        <v>4.5018278189191324E-2</v>
      </c>
      <c r="BM122">
        <f>'Weight '!AI124/12</f>
        <v>4.5018278189191324E-2</v>
      </c>
      <c r="BN122" s="554">
        <f t="shared" si="287"/>
        <v>1.9438404286078856</v>
      </c>
      <c r="BO122" s="554">
        <f t="shared" si="288"/>
        <v>4.0143452678517422</v>
      </c>
      <c r="BP122">
        <f t="shared" si="289"/>
        <v>4.5018278189191324E-2</v>
      </c>
      <c r="BQ122">
        <f t="shared" si="289"/>
        <v>4.5018278189191324E-2</v>
      </c>
      <c r="BR122">
        <f t="shared" si="290"/>
        <v>0.57542606334161728</v>
      </c>
      <c r="BS122">
        <f t="shared" si="291"/>
        <v>0.46129218567146391</v>
      </c>
      <c r="BT122">
        <f t="shared" si="292"/>
        <v>1.0758082002476823</v>
      </c>
      <c r="BU122">
        <f t="shared" si="293"/>
        <v>0.7385962464761392</v>
      </c>
      <c r="BV122">
        <f t="shared" si="294"/>
        <v>191.62205030972314</v>
      </c>
      <c r="BW122" s="207">
        <f t="shared" si="295"/>
        <v>106.84199266552368</v>
      </c>
      <c r="BX122">
        <f t="shared" si="296"/>
        <v>1.3332849828896927</v>
      </c>
      <c r="BY122" s="575">
        <f t="shared" si="297"/>
        <v>-46.510249299106491</v>
      </c>
      <c r="BZ122">
        <f t="shared" si="298"/>
        <v>207.12546674275865</v>
      </c>
      <c r="CA122" s="207">
        <f t="shared" si="299"/>
        <v>98.197810525985787</v>
      </c>
      <c r="CB122">
        <f t="shared" si="300"/>
        <v>1.3661871566535313</v>
      </c>
      <c r="CC122">
        <f t="shared" si="301"/>
        <v>159.42954382334946</v>
      </c>
      <c r="CD122">
        <f t="shared" si="302"/>
        <v>153.98228546830882</v>
      </c>
      <c r="CE122" s="207">
        <f t="shared" si="303"/>
        <v>127.82865611379789</v>
      </c>
      <c r="CF122">
        <f t="shared" si="304"/>
        <v>1.2534038748389973</v>
      </c>
      <c r="CG122">
        <f t="shared" si="305"/>
        <v>-0.66443114932599556</v>
      </c>
      <c r="CH122">
        <f t="shared" si="306"/>
        <v>154.20376251808415</v>
      </c>
      <c r="CI122" s="207">
        <f t="shared" ref="CI122" si="362" xml:space="preserve"> ($BQ$38-CH122*($BP122+$BR122+$BQ122+$BN122))/($BP122+$BR122+$BQ122+$BO122)</f>
        <v>127.70516798031097</v>
      </c>
      <c r="CJ122">
        <f t="shared" si="308"/>
        <v>1.2538739051970083</v>
      </c>
      <c r="CK122">
        <f t="shared" si="309"/>
        <v>-4.6980562821355321E-2</v>
      </c>
      <c r="CL122">
        <f t="shared" si="310"/>
        <v>154.21942270569127</v>
      </c>
      <c r="CM122" s="207">
        <f t="shared" ref="CM122" si="363" xml:space="preserve"> ($BQ$38-CL122*($BP122+$BR122+$BQ122+$BN122))/($BP122+$BR122+$BQ122+$BO122)</f>
        <v>127.696436387852</v>
      </c>
      <c r="CN122">
        <f t="shared" si="312"/>
        <v>1.2539071400788839</v>
      </c>
      <c r="CO122">
        <f t="shared" si="313"/>
        <v>-3.3061367132578567E-3</v>
      </c>
      <c r="CP122">
        <f t="shared" si="314"/>
        <v>154.22052475126236</v>
      </c>
      <c r="CQ122" s="207">
        <f t="shared" ref="CQ122" si="364" xml:space="preserve"> ($BQ$38-CP122*($BP122+$BR122+$BQ122+$BN122))/($BP122+$BR122+$BQ122+$BO122)</f>
        <v>127.69582192440882</v>
      </c>
      <c r="CR122">
        <f t="shared" si="316"/>
        <v>1.2539094788985263</v>
      </c>
      <c r="CS122">
        <f t="shared" si="317"/>
        <v>-2.325824909750196E-4</v>
      </c>
      <c r="CT122">
        <f t="shared" si="318"/>
        <v>154.22060227875934</v>
      </c>
      <c r="CU122" s="636">
        <f t="shared" si="319"/>
        <v>127.69577869769117</v>
      </c>
      <c r="CV122" s="575">
        <f t="shared" si="320"/>
        <v>1.253909643431498</v>
      </c>
      <c r="CW122">
        <f t="shared" si="321"/>
        <v>-1.6361492733096838E-5</v>
      </c>
      <c r="CX122" s="576">
        <f t="shared" si="322"/>
        <v>0.33916816531728966</v>
      </c>
    </row>
    <row r="123" spans="1:102" x14ac:dyDescent="0.25">
      <c r="A123" s="186">
        <v>79</v>
      </c>
      <c r="B123" s="187">
        <f>A123/100*'Inputs-Imperial'!$E$5</f>
        <v>19.024278824</v>
      </c>
      <c r="C123" s="188">
        <f>'Inputs-Imperial'!$E$10+('Inputs-Imperial'!$E$9-'Inputs-Imperial'!$E$10)*(100-A123)/100</f>
        <v>3.6792159970000005</v>
      </c>
      <c r="D123" s="187">
        <f t="shared" si="323"/>
        <v>0.24081365600000026</v>
      </c>
      <c r="E123" s="188">
        <f t="shared" si="324"/>
        <v>0.88814852324260329</v>
      </c>
      <c r="F123" s="423">
        <f>Sizing!F139</f>
        <v>138.97329640629005</v>
      </c>
      <c r="G123" s="423">
        <f>Sizing!G139</f>
        <v>1389.7329640629005</v>
      </c>
      <c r="H123" s="423">
        <f>Sizing!H139</f>
        <v>3375.9705951639489</v>
      </c>
      <c r="I123" s="423">
        <f>Sizing!I139</f>
        <v>-2207.7921113220286</v>
      </c>
      <c r="J123" s="189">
        <f>Sizing!J139</f>
        <v>337.59705951639484</v>
      </c>
      <c r="K123" s="128">
        <v>79</v>
      </c>
      <c r="L123" s="12">
        <f t="shared" si="265"/>
        <v>228.291345888</v>
      </c>
      <c r="M123" s="11">
        <f t="shared" si="265"/>
        <v>44.150591964000007</v>
      </c>
      <c r="N123" s="11">
        <f t="shared" si="265"/>
        <v>2.8897638720000032</v>
      </c>
      <c r="O123" s="152">
        <f t="shared" si="325"/>
        <v>127.89338734693487</v>
      </c>
      <c r="P123" s="170">
        <f t="shared" si="260"/>
        <v>7.9471065535200012</v>
      </c>
      <c r="Q123" s="8">
        <f t="shared" si="261"/>
        <v>3.9735532767600006</v>
      </c>
      <c r="R123" s="170">
        <f>Sizing!X139</f>
        <v>11.037647991000002</v>
      </c>
      <c r="S123" s="8">
        <f>Sizing!Y139</f>
        <v>33.112943973000007</v>
      </c>
      <c r="T123" s="8">
        <f>Sizing!Z139</f>
        <v>22.075295982000007</v>
      </c>
      <c r="U123" s="17">
        <f>Sizing!CN139</f>
        <v>0.75</v>
      </c>
      <c r="V123" s="17">
        <f>Sizing!CO139</f>
        <v>2.3622047244094495E-2</v>
      </c>
      <c r="W123" s="17">
        <f>Sizing!CP139</f>
        <v>1.5748031496062995E-2</v>
      </c>
      <c r="X123" s="170">
        <f>Sizing!DU139</f>
        <v>0.29183693344119632</v>
      </c>
      <c r="Y123" s="170">
        <f>Sizing!DV139</f>
        <v>0.54021933827029589</v>
      </c>
      <c r="Z123" s="170">
        <f>Sizing!DW139</f>
        <v>0.29183693344119632</v>
      </c>
      <c r="AA123" s="272">
        <f>Sizing!DX139</f>
        <v>0.54021933827029589</v>
      </c>
      <c r="AB123" s="272">
        <f t="shared" si="266"/>
        <v>5.8281470577693906</v>
      </c>
      <c r="AC123" s="216">
        <f>Sizing!GJ139</f>
        <v>0.25</v>
      </c>
      <c r="AD123" s="216">
        <f>Sizing!GK139</f>
        <v>2.3622047244094495E-2</v>
      </c>
      <c r="AE123" s="17">
        <f>Sizing!GL139</f>
        <v>2.3622047244094495E-2</v>
      </c>
      <c r="AF123" s="170">
        <f>Sizing!JC139</f>
        <v>4.9108767457898697E-3</v>
      </c>
      <c r="AG123" s="272">
        <f>Sizing!JD139</f>
        <v>7.0077647975583982E-2</v>
      </c>
      <c r="AH123" s="170">
        <f>Sizing!JC139</f>
        <v>4.9108767457898697E-3</v>
      </c>
      <c r="AI123" s="272">
        <f>Sizing!JD139</f>
        <v>7.0077647975583982E-2</v>
      </c>
      <c r="AJ123" s="216">
        <f>Sizing!IT139</f>
        <v>0.25</v>
      </c>
      <c r="AK123" s="216">
        <f>Sizing!IU139</f>
        <v>1.5748031496062995E-2</v>
      </c>
      <c r="AL123" s="17">
        <f>Sizing!IV139</f>
        <v>1.5748031496062995E-2</v>
      </c>
      <c r="AM123" s="170">
        <f t="shared" si="267"/>
        <v>0</v>
      </c>
      <c r="AN123" s="11">
        <f t="shared" si="268"/>
        <v>2.4782280306656217</v>
      </c>
      <c r="AO123" s="11">
        <f t="shared" si="269"/>
        <v>2.4782280306656217</v>
      </c>
      <c r="AP123" s="11">
        <f t="shared" si="270"/>
        <v>4.9564560613312434</v>
      </c>
      <c r="AQ123" s="555">
        <f t="shared" si="271"/>
        <v>79076192.164569691</v>
      </c>
      <c r="AR123" s="311">
        <f t="shared" si="272"/>
        <v>11.402971858516066</v>
      </c>
      <c r="AS123" s="11">
        <f t="shared" si="273"/>
        <v>7.7898006231041692E-2</v>
      </c>
      <c r="AT123" s="11">
        <f t="shared" si="274"/>
        <v>4.6292172327761731</v>
      </c>
      <c r="AU123" s="11">
        <f t="shared" si="275"/>
        <v>4.7071152390072148</v>
      </c>
      <c r="AV123" s="555">
        <f t="shared" si="276"/>
        <v>75098163.803864121</v>
      </c>
      <c r="AW123" s="138">
        <f t="shared" si="277"/>
        <v>3.9370078740157494E-2</v>
      </c>
      <c r="AX123" s="138">
        <f t="shared" si="278"/>
        <v>4.724409448818899E-2</v>
      </c>
      <c r="AY123" s="554">
        <f t="shared" si="279"/>
        <v>3.1496062992125991E-2</v>
      </c>
      <c r="AZ123" s="12">
        <f t="shared" si="280"/>
        <v>826.71668545734758</v>
      </c>
      <c r="BA123" s="11">
        <f t="shared" si="281"/>
        <v>141.40672196211133</v>
      </c>
      <c r="BB123">
        <f t="shared" si="282"/>
        <v>761.14890330008984</v>
      </c>
      <c r="BC123" s="555">
        <f t="shared" si="283"/>
        <v>2870283380.5577993</v>
      </c>
      <c r="BD123">
        <f t="shared" si="284"/>
        <v>79</v>
      </c>
      <c r="BE123" s="207">
        <f t="shared" si="285"/>
        <v>3.6792159970000005</v>
      </c>
      <c r="BF123" s="207">
        <f>'Inputs-Imperial'!$E$15*BE123</f>
        <v>2.7594119977500005</v>
      </c>
      <c r="BG123" s="207">
        <f>'Inputs-Imperial'!$E$12*BE123</f>
        <v>0.91980399925000011</v>
      </c>
      <c r="BH123">
        <f>'Inputs-Imperial'!$E$11*BE123</f>
        <v>0.66225887946000006</v>
      </c>
      <c r="BI123">
        <f t="shared" si="286"/>
        <v>0.70243161685075561</v>
      </c>
      <c r="BJ123">
        <f>'Weight '!U125+'Weight '!V125 /12</f>
        <v>2.4934383202099744E-2</v>
      </c>
      <c r="BK123">
        <f>('Weight '!AK125+'Weight '!AL125)/12</f>
        <v>3.9370078740157488E-3</v>
      </c>
      <c r="BL123">
        <f>'Weight '!AG125/12</f>
        <v>4.5018278189191324E-2</v>
      </c>
      <c r="BM123">
        <f>'Weight '!AI125/12</f>
        <v>4.5018278189191324E-2</v>
      </c>
      <c r="BN123" s="554">
        <f t="shared" si="287"/>
        <v>1.9314103891487178</v>
      </c>
      <c r="BO123" s="554">
        <f t="shared" si="288"/>
        <v>3.998090781949688</v>
      </c>
      <c r="BP123">
        <f t="shared" si="289"/>
        <v>4.5018278189191324E-2</v>
      </c>
      <c r="BQ123">
        <f t="shared" si="289"/>
        <v>4.5018278189191324E-2</v>
      </c>
      <c r="BR123">
        <f t="shared" si="290"/>
        <v>0.57222232308161736</v>
      </c>
      <c r="BS123">
        <f t="shared" si="291"/>
        <v>0.45686127439959889</v>
      </c>
      <c r="BT123">
        <f t="shared" si="292"/>
        <v>1.0654745964518502</v>
      </c>
      <c r="BU123">
        <f t="shared" si="293"/>
        <v>0.72447531877230864</v>
      </c>
      <c r="BV123">
        <f t="shared" si="294"/>
        <v>192.77708459267336</v>
      </c>
      <c r="BW123" s="207">
        <f t="shared" si="295"/>
        <v>107.28808701636291</v>
      </c>
      <c r="BX123">
        <f t="shared" si="296"/>
        <v>1.3272253055233958</v>
      </c>
      <c r="BY123" s="575">
        <f t="shared" si="297"/>
        <v>-46.261930267823359</v>
      </c>
      <c r="BZ123">
        <f t="shared" si="298"/>
        <v>208.19772801528114</v>
      </c>
      <c r="CA123" s="207">
        <f t="shared" si="299"/>
        <v>98.705887856806129</v>
      </c>
      <c r="CB123">
        <f t="shared" si="300"/>
        <v>1.3596037255080209</v>
      </c>
      <c r="CC123">
        <f t="shared" si="301"/>
        <v>159.48122548578414</v>
      </c>
      <c r="CD123">
        <f t="shared" si="302"/>
        <v>155.03731952001976</v>
      </c>
      <c r="CE123" s="207">
        <f t="shared" si="303"/>
        <v>128.29176184445416</v>
      </c>
      <c r="CF123">
        <f t="shared" si="304"/>
        <v>1.247983867267195</v>
      </c>
      <c r="CG123">
        <f t="shared" si="305"/>
        <v>0.15742577505320909</v>
      </c>
      <c r="CH123">
        <f t="shared" si="306"/>
        <v>154.98484426166868</v>
      </c>
      <c r="CI123" s="207">
        <f t="shared" ref="CI123" si="365" xml:space="preserve"> ($BQ$38-CH123*($BP123+$BR123+$BQ123+$BN123))/($BP123+$BR123+$BQ123+$BO123)</f>
        <v>128.3209664052352</v>
      </c>
      <c r="CJ123">
        <f t="shared" si="308"/>
        <v>1.24787368600516</v>
      </c>
      <c r="CK123">
        <f t="shared" si="309"/>
        <v>1.1881522192902949E-2</v>
      </c>
      <c r="CL123">
        <f t="shared" si="310"/>
        <v>154.98088375427105</v>
      </c>
      <c r="CM123" s="207">
        <f t="shared" ref="CM123" si="366" xml:space="preserve"> ($BQ$38-CL123*($BP123+$BR123+$BQ123+$BN123))/($BP123+$BR123+$BQ123+$BO123)</f>
        <v>128.32317058455041</v>
      </c>
      <c r="CN123">
        <f t="shared" si="312"/>
        <v>1.2478653702061133</v>
      </c>
      <c r="CO123">
        <f t="shared" si="313"/>
        <v>8.976823018524982E-4</v>
      </c>
      <c r="CP123">
        <f t="shared" si="314"/>
        <v>154.98058452683711</v>
      </c>
      <c r="CQ123" s="207">
        <f t="shared" ref="CQ123" si="367" xml:space="preserve"> ($BQ$38-CP123*($BP123+$BR123+$BQ123+$BN123))/($BP123+$BR123+$BQ123+$BO123)</f>
        <v>128.3233371164753</v>
      </c>
      <c r="CR123">
        <f t="shared" si="316"/>
        <v>1.2478647419241888</v>
      </c>
      <c r="CS123">
        <f t="shared" si="317"/>
        <v>6.7827766484285235E-5</v>
      </c>
      <c r="CT123">
        <f t="shared" si="318"/>
        <v>154.98056191758161</v>
      </c>
      <c r="CU123" s="636">
        <f t="shared" si="319"/>
        <v>128.32334969942193</v>
      </c>
      <c r="CV123" s="575">
        <f t="shared" si="320"/>
        <v>1.2478646944519824</v>
      </c>
      <c r="CW123">
        <f t="shared" si="321"/>
        <v>5.1250129580182602E-6</v>
      </c>
      <c r="CX123" s="576">
        <f t="shared" si="322"/>
        <v>0.3391659243353693</v>
      </c>
    </row>
    <row r="124" spans="1:102" x14ac:dyDescent="0.25">
      <c r="A124" s="186">
        <v>80</v>
      </c>
      <c r="B124" s="187">
        <f>A124/100*'Inputs-Imperial'!$E$5</f>
        <v>19.26509248</v>
      </c>
      <c r="C124" s="188">
        <f>'Inputs-Imperial'!$E$10+('Inputs-Imperial'!$E$9-'Inputs-Imperial'!$E$10)*(100-A124)/100</f>
        <v>3.6614174400000001</v>
      </c>
      <c r="D124" s="187">
        <f t="shared" si="323"/>
        <v>0.24081365600000026</v>
      </c>
      <c r="E124" s="188">
        <f t="shared" si="324"/>
        <v>0.88386238765990888</v>
      </c>
      <c r="F124" s="423">
        <f>Sizing!F140</f>
        <v>130.97678953571</v>
      </c>
      <c r="G124" s="423">
        <f>Sizing!G140</f>
        <v>1309.7678953571001</v>
      </c>
      <c r="H124" s="423">
        <f>Sizing!H140</f>
        <v>3041.303919224245</v>
      </c>
      <c r="I124" s="423">
        <f>Sizing!I140</f>
        <v>-2056.7962326608936</v>
      </c>
      <c r="J124" s="189">
        <f>Sizing!J140</f>
        <v>304.13039192242445</v>
      </c>
      <c r="K124" s="128">
        <v>80</v>
      </c>
      <c r="L124" s="12">
        <f t="shared" si="265"/>
        <v>231.18110976</v>
      </c>
      <c r="M124" s="11">
        <f t="shared" si="265"/>
        <v>43.937009279999998</v>
      </c>
      <c r="N124" s="11">
        <f t="shared" si="265"/>
        <v>2.8897638720000032</v>
      </c>
      <c r="O124" s="152">
        <f t="shared" si="325"/>
        <v>127.27618382302688</v>
      </c>
      <c r="P124" s="170">
        <f t="shared" si="260"/>
        <v>7.908661670399999</v>
      </c>
      <c r="Q124" s="8">
        <f t="shared" si="261"/>
        <v>3.9543308351999995</v>
      </c>
      <c r="R124" s="170">
        <f>Sizing!X140</f>
        <v>10.98425232</v>
      </c>
      <c r="S124" s="8">
        <f>Sizing!Y140</f>
        <v>32.952756960000002</v>
      </c>
      <c r="T124" s="8">
        <f>Sizing!Z140</f>
        <v>21.968504640000003</v>
      </c>
      <c r="U124" s="17">
        <f>Sizing!CN140</f>
        <v>0.75</v>
      </c>
      <c r="V124" s="17">
        <f>Sizing!CO140</f>
        <v>2.3622047244094495E-2</v>
      </c>
      <c r="W124" s="17">
        <f>Sizing!CP140</f>
        <v>1.5748031496062995E-2</v>
      </c>
      <c r="X124" s="170">
        <f>Sizing!DU140</f>
        <v>0.12489389406218925</v>
      </c>
      <c r="Y124" s="170">
        <f>Sizing!DV140</f>
        <v>0.35340330227968902</v>
      </c>
      <c r="Z124" s="170">
        <f>Sizing!DW140</f>
        <v>0.12489389406218925</v>
      </c>
      <c r="AA124" s="272">
        <f>Sizing!DX140</f>
        <v>0.35340330227968902</v>
      </c>
      <c r="AB124" s="272">
        <f t="shared" si="266"/>
        <v>5.9765182106399948</v>
      </c>
      <c r="AC124" s="216">
        <f>Sizing!GJ140</f>
        <v>0.25</v>
      </c>
      <c r="AD124" s="216">
        <f>Sizing!GK140</f>
        <v>2.3622047244094495E-2</v>
      </c>
      <c r="AE124" s="17">
        <f>Sizing!GL140</f>
        <v>2.3622047244094495E-2</v>
      </c>
      <c r="AF124" s="170">
        <f>Sizing!JC140</f>
        <v>2.1476328638547018E-3</v>
      </c>
      <c r="AG124" s="272">
        <f>Sizing!JD140</f>
        <v>4.6342559962249626E-2</v>
      </c>
      <c r="AH124" s="170">
        <f>Sizing!JC140</f>
        <v>2.1476328638547018E-3</v>
      </c>
      <c r="AI124" s="272">
        <f>Sizing!JD140</f>
        <v>4.6342559962249626E-2</v>
      </c>
      <c r="AJ124" s="216">
        <f>Sizing!IT140</f>
        <v>0.25</v>
      </c>
      <c r="AK124" s="216">
        <f>Sizing!IU140</f>
        <v>1.5748031496062995E-2</v>
      </c>
      <c r="AL124" s="17">
        <f>Sizing!IV140</f>
        <v>1.5748031496062995E-2</v>
      </c>
      <c r="AM124" s="170">
        <f t="shared" si="267"/>
        <v>0</v>
      </c>
      <c r="AN124" s="11">
        <f t="shared" si="268"/>
        <v>1.1152640666709759</v>
      </c>
      <c r="AO124" s="11">
        <f t="shared" si="269"/>
        <v>1.1152640666709759</v>
      </c>
      <c r="AP124" s="11">
        <f t="shared" si="270"/>
        <v>2.2305281333419518</v>
      </c>
      <c r="AQ124" s="555">
        <f t="shared" si="271"/>
        <v>35586247.334401503</v>
      </c>
      <c r="AR124" s="311">
        <f t="shared" si="272"/>
        <v>11.355629173507703</v>
      </c>
      <c r="AS124" s="11">
        <f t="shared" si="273"/>
        <v>3.4450923405600131E-2</v>
      </c>
      <c r="AT124" s="11">
        <f t="shared" si="274"/>
        <v>2.0034662583999014</v>
      </c>
      <c r="AU124" s="11">
        <f t="shared" si="275"/>
        <v>2.0379171818055015</v>
      </c>
      <c r="AV124" s="555">
        <f t="shared" si="276"/>
        <v>32513297.543617696</v>
      </c>
      <c r="AW124" s="138">
        <f t="shared" si="277"/>
        <v>3.9370078740157494E-2</v>
      </c>
      <c r="AX124" s="138">
        <f t="shared" si="278"/>
        <v>4.724409448818899E-2</v>
      </c>
      <c r="AY124" s="554">
        <f t="shared" si="279"/>
        <v>3.1496062992125991E-2</v>
      </c>
      <c r="AZ124" s="12">
        <f t="shared" si="280"/>
        <v>818.73739150245092</v>
      </c>
      <c r="BA124" s="11">
        <f t="shared" si="281"/>
        <v>140.72265350756066</v>
      </c>
      <c r="BB124">
        <f t="shared" si="282"/>
        <v>750.15586465130525</v>
      </c>
      <c r="BC124" s="555">
        <f t="shared" si="283"/>
        <v>2828828763.7296968</v>
      </c>
      <c r="BD124">
        <f t="shared" si="284"/>
        <v>80</v>
      </c>
      <c r="BE124" s="207">
        <f t="shared" si="285"/>
        <v>3.6614174400000001</v>
      </c>
      <c r="BF124" s="207">
        <f>'Inputs-Imperial'!$E$15*BE124</f>
        <v>2.7460630799999999</v>
      </c>
      <c r="BG124" s="207">
        <f>'Inputs-Imperial'!$E$12*BE124</f>
        <v>0.91535436000000003</v>
      </c>
      <c r="BH124">
        <f>'Inputs-Imperial'!$E$11*BE124</f>
        <v>0.65905513920000003</v>
      </c>
      <c r="BI124">
        <f t="shared" si="286"/>
        <v>0.69903353715624605</v>
      </c>
      <c r="BJ124">
        <f>'Weight '!U126+'Weight '!V126 /12</f>
        <v>2.4934383202099744E-2</v>
      </c>
      <c r="BK124">
        <f>('Weight '!AK126+'Weight '!AL126)/12</f>
        <v>3.9370078740157488E-3</v>
      </c>
      <c r="BL124">
        <f>'Weight '!AG126/12</f>
        <v>2.9450275189974087E-2</v>
      </c>
      <c r="BM124">
        <f>'Weight '!AI126/12</f>
        <v>2.9450275189974087E-2</v>
      </c>
      <c r="BN124" s="554">
        <f t="shared" si="287"/>
        <v>1.9189802170032007</v>
      </c>
      <c r="BO124" s="554">
        <f t="shared" si="288"/>
        <v>3.9818364287339811</v>
      </c>
      <c r="BP124">
        <f t="shared" si="289"/>
        <v>2.9450275189974087E-2</v>
      </c>
      <c r="BQ124">
        <f t="shared" si="289"/>
        <v>2.9450275189974087E-2</v>
      </c>
      <c r="BR124">
        <f t="shared" si="290"/>
        <v>0.60015458882005179</v>
      </c>
      <c r="BS124">
        <f t="shared" si="291"/>
        <v>0.45245174636034524</v>
      </c>
      <c r="BT124">
        <f t="shared" si="292"/>
        <v>1.0551908618229053</v>
      </c>
      <c r="BU124">
        <f t="shared" si="293"/>
        <v>0.71055784474976813</v>
      </c>
      <c r="BV124">
        <f t="shared" si="294"/>
        <v>193.94613762643448</v>
      </c>
      <c r="BW124" s="207">
        <f t="shared" si="295"/>
        <v>107.7379190358004</v>
      </c>
      <c r="BX124">
        <f t="shared" si="296"/>
        <v>1.3211659420610631</v>
      </c>
      <c r="BY124" s="575">
        <f t="shared" si="297"/>
        <v>-46.010994756900232</v>
      </c>
      <c r="BZ124">
        <f t="shared" si="298"/>
        <v>209.28313587873456</v>
      </c>
      <c r="CA124" s="207">
        <f t="shared" si="299"/>
        <v>99.218150113455508</v>
      </c>
      <c r="CB124">
        <f t="shared" si="300"/>
        <v>1.3530244099708226</v>
      </c>
      <c r="CC124">
        <f t="shared" si="301"/>
        <v>159.53979784776385</v>
      </c>
      <c r="CD124">
        <f t="shared" si="302"/>
        <v>156.10320326281328</v>
      </c>
      <c r="CE124" s="207">
        <f t="shared" si="303"/>
        <v>128.7598328951936</v>
      </c>
      <c r="CF124">
        <f t="shared" si="304"/>
        <v>1.2425574757757023</v>
      </c>
      <c r="CG124">
        <f t="shared" si="305"/>
        <v>0.9799500688973577</v>
      </c>
      <c r="CH124">
        <f t="shared" si="306"/>
        <v>155.77655323984749</v>
      </c>
      <c r="CI124" s="207">
        <f t="shared" ref="CI124" si="368" xml:space="preserve"> ($BQ$38-CH124*($BP124+$BR124+$BQ124+$BN124))/($BP124+$BR124+$BQ124+$BO124)</f>
        <v>128.94128839700471</v>
      </c>
      <c r="CJ124">
        <f t="shared" si="308"/>
        <v>1.2418789486543462</v>
      </c>
      <c r="CK124">
        <f t="shared" si="309"/>
        <v>7.8630536151019115E-2</v>
      </c>
      <c r="CL124">
        <f t="shared" si="310"/>
        <v>155.75034306113048</v>
      </c>
      <c r="CM124" s="207">
        <f t="shared" ref="CM124" si="369" xml:space="preserve"> ($BQ$38-CL124*($BP124+$BR124+$BQ124+$BN124))/($BP124+$BR124+$BQ124+$BO124)</f>
        <v>128.95584826474473</v>
      </c>
      <c r="CN124">
        <f t="shared" si="312"/>
        <v>1.2418245040933031</v>
      </c>
      <c r="CO124">
        <f t="shared" si="313"/>
        <v>6.3476841108371929E-3</v>
      </c>
      <c r="CP124">
        <f t="shared" si="314"/>
        <v>155.74822716642686</v>
      </c>
      <c r="CQ124" s="207">
        <f t="shared" ref="CQ124" si="370" xml:space="preserve"> ($BQ$38-CP124*($BP124+$BR124+$BQ124+$BN124))/($BP124+$BR124+$BQ124+$BO124)</f>
        <v>128.95702365341219</v>
      </c>
      <c r="CR124">
        <f t="shared" si="316"/>
        <v>1.2418201088940335</v>
      </c>
      <c r="CS124">
        <f t="shared" si="317"/>
        <v>5.1268469407972361E-4</v>
      </c>
      <c r="CT124">
        <f t="shared" si="318"/>
        <v>155.74805627152884</v>
      </c>
      <c r="CU124" s="636">
        <f t="shared" si="319"/>
        <v>128.95711858626785</v>
      </c>
      <c r="CV124" s="575">
        <f t="shared" si="320"/>
        <v>1.2418197539060798</v>
      </c>
      <c r="CW124">
        <f t="shared" si="321"/>
        <v>4.1409732554953393E-5</v>
      </c>
      <c r="CX124" s="576">
        <f t="shared" si="322"/>
        <v>0.33916366386949853</v>
      </c>
    </row>
    <row r="125" spans="1:102" x14ac:dyDescent="0.25">
      <c r="A125" s="186">
        <v>81</v>
      </c>
      <c r="B125" s="187">
        <f>A125/100*'Inputs-Imperial'!$E$5</f>
        <v>19.505906136</v>
      </c>
      <c r="C125" s="188">
        <f>'Inputs-Imperial'!$E$10+('Inputs-Imperial'!$E$9-'Inputs-Imperial'!$E$10)*(100-A125)/100</f>
        <v>3.6436188830000003</v>
      </c>
      <c r="D125" s="187">
        <f t="shared" si="323"/>
        <v>0.24081365600000026</v>
      </c>
      <c r="E125" s="188">
        <f t="shared" si="324"/>
        <v>0.87957625207721446</v>
      </c>
      <c r="F125" s="423">
        <f>Sizing!F141</f>
        <v>123.08332812830483</v>
      </c>
      <c r="G125" s="423">
        <f>Sizing!G141</f>
        <v>1230.8332812830483</v>
      </c>
      <c r="H125" s="423">
        <f>Sizing!H141</f>
        <v>2725.8939238318758</v>
      </c>
      <c r="I125" s="423">
        <f>Sizing!I141</f>
        <v>-1909.7059802035903</v>
      </c>
      <c r="J125" s="189">
        <f>Sizing!J141</f>
        <v>272.58939238318754</v>
      </c>
      <c r="K125" s="128">
        <v>81</v>
      </c>
      <c r="L125" s="12">
        <f t="shared" si="265"/>
        <v>234.070873632</v>
      </c>
      <c r="M125" s="11">
        <f t="shared" si="265"/>
        <v>43.723426596000003</v>
      </c>
      <c r="N125" s="11">
        <f t="shared" si="265"/>
        <v>2.8897638720000032</v>
      </c>
      <c r="O125" s="152">
        <f t="shared" si="325"/>
        <v>126.65898029911889</v>
      </c>
      <c r="P125" s="170">
        <f t="shared" si="260"/>
        <v>7.8702167872800004</v>
      </c>
      <c r="Q125" s="8">
        <f t="shared" si="261"/>
        <v>3.9351083936400002</v>
      </c>
      <c r="R125" s="170">
        <f>Sizing!X141</f>
        <v>10.930856649000001</v>
      </c>
      <c r="S125" s="8">
        <f>Sizing!Y141</f>
        <v>32.792569947000004</v>
      </c>
      <c r="T125" s="8">
        <f>Sizing!Z141</f>
        <v>21.861713298000005</v>
      </c>
      <c r="U125" s="17">
        <f>Sizing!CN141</f>
        <v>0.75</v>
      </c>
      <c r="V125" s="17">
        <f>Sizing!CO141</f>
        <v>2.3622047244094495E-2</v>
      </c>
      <c r="W125" s="17">
        <f>Sizing!CP141</f>
        <v>1.5748031496062995E-2</v>
      </c>
      <c r="X125" s="170">
        <f>Sizing!DU141</f>
        <v>0.12489389406218925</v>
      </c>
      <c r="Y125" s="170">
        <f>Sizing!DV141</f>
        <v>0.35340330227968902</v>
      </c>
      <c r="Z125" s="170">
        <f>Sizing!DW141</f>
        <v>0.12489389406218925</v>
      </c>
      <c r="AA125" s="272">
        <f>Sizing!DX141</f>
        <v>0.35340330227968902</v>
      </c>
      <c r="AB125" s="272">
        <f t="shared" si="266"/>
        <v>5.9380733275199962</v>
      </c>
      <c r="AC125" s="216">
        <f>Sizing!GJ141</f>
        <v>0.25</v>
      </c>
      <c r="AD125" s="216">
        <f>Sizing!GK141</f>
        <v>2.3622047244094495E-2</v>
      </c>
      <c r="AE125" s="17">
        <f>Sizing!GL141</f>
        <v>2.3622047244094495E-2</v>
      </c>
      <c r="AF125" s="170">
        <f>Sizing!JC141</f>
        <v>2.1476328638547018E-3</v>
      </c>
      <c r="AG125" s="272">
        <f>Sizing!JD141</f>
        <v>4.6342559962249626E-2</v>
      </c>
      <c r="AH125" s="170">
        <f>Sizing!JC141</f>
        <v>2.1476328638547018E-3</v>
      </c>
      <c r="AI125" s="272">
        <f>Sizing!JD141</f>
        <v>4.6342559962249626E-2</v>
      </c>
      <c r="AJ125" s="216">
        <f>Sizing!IT141</f>
        <v>0.25</v>
      </c>
      <c r="AK125" s="216">
        <f>Sizing!IU141</f>
        <v>1.5748031496062995E-2</v>
      </c>
      <c r="AL125" s="17">
        <f>Sizing!IV141</f>
        <v>1.5748031496062995E-2</v>
      </c>
      <c r="AM125" s="170">
        <f t="shared" si="267"/>
        <v>0</v>
      </c>
      <c r="AN125" s="11">
        <f t="shared" si="268"/>
        <v>1.1009619960398138</v>
      </c>
      <c r="AO125" s="11">
        <f t="shared" si="269"/>
        <v>1.1009619960398138</v>
      </c>
      <c r="AP125" s="11">
        <f t="shared" si="270"/>
        <v>2.2019239920796276</v>
      </c>
      <c r="AQ125" s="555">
        <f t="shared" si="271"/>
        <v>35129891.715956956</v>
      </c>
      <c r="AR125" s="311">
        <f t="shared" si="272"/>
        <v>11.300428198358709</v>
      </c>
      <c r="AS125" s="11">
        <f t="shared" si="273"/>
        <v>3.4116797961633263E-2</v>
      </c>
      <c r="AT125" s="11">
        <f t="shared" si="274"/>
        <v>1.9840354569325593</v>
      </c>
      <c r="AU125" s="11">
        <f t="shared" si="275"/>
        <v>2.0181522548941926</v>
      </c>
      <c r="AV125" s="555">
        <f t="shared" si="276"/>
        <v>32197964.34198783</v>
      </c>
      <c r="AW125" s="138">
        <f t="shared" si="277"/>
        <v>3.9370078740157494E-2</v>
      </c>
      <c r="AX125" s="138">
        <f t="shared" si="278"/>
        <v>4.724409448818899E-2</v>
      </c>
      <c r="AY125" s="554">
        <f t="shared" si="279"/>
        <v>3.1496062992125991E-2</v>
      </c>
      <c r="AZ125" s="12">
        <f t="shared" si="280"/>
        <v>810.79679173368868</v>
      </c>
      <c r="BA125" s="11">
        <f t="shared" si="281"/>
        <v>140.03858505301002</v>
      </c>
      <c r="BB125">
        <f t="shared" si="282"/>
        <v>739.26918490694254</v>
      </c>
      <c r="BC125" s="555">
        <f t="shared" si="283"/>
        <v>2787775225.0538616</v>
      </c>
      <c r="BD125">
        <f t="shared" si="284"/>
        <v>81</v>
      </c>
      <c r="BE125" s="207">
        <f t="shared" si="285"/>
        <v>3.6436188830000003</v>
      </c>
      <c r="BF125" s="207">
        <f>'Inputs-Imperial'!$E$15*BE125</f>
        <v>2.7327141622500002</v>
      </c>
      <c r="BG125" s="207">
        <f>'Inputs-Imperial'!$E$12*BE125</f>
        <v>0.91090472075000006</v>
      </c>
      <c r="BH125">
        <f>'Inputs-Imperial'!$E$11*BE125</f>
        <v>0.65585139894</v>
      </c>
      <c r="BI125">
        <f t="shared" si="286"/>
        <v>0.69563545746173649</v>
      </c>
      <c r="BJ125">
        <f>'Weight '!U127+'Weight '!V127 /12</f>
        <v>2.4934383202099744E-2</v>
      </c>
      <c r="BK125">
        <f>('Weight '!AK127+'Weight '!AL127)/12</f>
        <v>3.9370078740157488E-3</v>
      </c>
      <c r="BL125">
        <f>'Weight '!AG127/12</f>
        <v>2.9450275189974087E-2</v>
      </c>
      <c r="BM125">
        <f>'Weight '!AI127/12</f>
        <v>2.9450275189974087E-2</v>
      </c>
      <c r="BN125" s="554">
        <f t="shared" si="287"/>
        <v>1.9065500080921316</v>
      </c>
      <c r="BO125" s="554">
        <f t="shared" si="288"/>
        <v>3.9655821122838288</v>
      </c>
      <c r="BP125">
        <f t="shared" si="289"/>
        <v>2.9450275189974087E-2</v>
      </c>
      <c r="BQ125">
        <f t="shared" si="289"/>
        <v>2.9450275189974087E-2</v>
      </c>
      <c r="BR125">
        <f t="shared" si="290"/>
        <v>0.59695084856005176</v>
      </c>
      <c r="BS125">
        <f t="shared" si="291"/>
        <v>0.44806360155370323</v>
      </c>
      <c r="BT125">
        <f t="shared" si="292"/>
        <v>1.0449569963608492</v>
      </c>
      <c r="BU125">
        <f t="shared" si="293"/>
        <v>0.6968418607244351</v>
      </c>
      <c r="BV125">
        <f t="shared" si="294"/>
        <v>195.12945888486635</v>
      </c>
      <c r="BW125" s="207">
        <f t="shared" si="295"/>
        <v>108.19153814193727</v>
      </c>
      <c r="BX125">
        <f t="shared" si="296"/>
        <v>1.315106887902439</v>
      </c>
      <c r="BY125" s="575">
        <f t="shared" si="297"/>
        <v>-45.757407894078725</v>
      </c>
      <c r="BZ125">
        <f t="shared" si="298"/>
        <v>210.38192818289258</v>
      </c>
      <c r="CA125" s="207">
        <f t="shared" si="299"/>
        <v>99.734649452516976</v>
      </c>
      <c r="CB125">
        <f t="shared" si="300"/>
        <v>1.3464492105618702</v>
      </c>
      <c r="CC125">
        <f t="shared" si="301"/>
        <v>159.6053684992269</v>
      </c>
      <c r="CD125">
        <f t="shared" si="302"/>
        <v>157.18013868315029</v>
      </c>
      <c r="CE125" s="207">
        <f t="shared" si="303"/>
        <v>129.23292957267518</v>
      </c>
      <c r="CF125">
        <f t="shared" si="304"/>
        <v>1.2371247713528142</v>
      </c>
      <c r="CG125">
        <f t="shared" si="305"/>
        <v>1.8032364395266232</v>
      </c>
      <c r="CH125">
        <f t="shared" si="306"/>
        <v>156.57905986997474</v>
      </c>
      <c r="CI125" s="207">
        <f t="shared" ref="CI125" si="371" xml:space="preserve"> ($BQ$38-CH125*($BP125+$BR125+$BQ125+$BN125))/($BP125+$BR125+$BQ125+$BO125)</f>
        <v>129.56620391122783</v>
      </c>
      <c r="CJ125">
        <f t="shared" si="308"/>
        <v>1.2358896135735598</v>
      </c>
      <c r="CK125">
        <f t="shared" si="309"/>
        <v>0.15328319729529838</v>
      </c>
      <c r="CL125">
        <f t="shared" si="310"/>
        <v>156.5279654708763</v>
      </c>
      <c r="CM125" s="207">
        <f t="shared" ref="CM125" si="372" xml:space="preserve"> ($BQ$38-CL125*($BP125+$BR125+$BQ125+$BN125))/($BP125+$BR125+$BQ125+$BO125)</f>
        <v>129.59453372703572</v>
      </c>
      <c r="CN125">
        <f t="shared" si="312"/>
        <v>1.2357846196141331</v>
      </c>
      <c r="CO125">
        <f t="shared" si="313"/>
        <v>1.3166708796537918E-2</v>
      </c>
      <c r="CP125">
        <f t="shared" si="314"/>
        <v>156.5235765679441</v>
      </c>
      <c r="CQ125" s="207">
        <f t="shared" ref="CQ125" si="373" xml:space="preserve"> ($BQ$38-CP125*($BP125+$BR125+$BQ125+$BN125))/($BP125+$BR125+$BQ125+$BO125)</f>
        <v>129.59696719946837</v>
      </c>
      <c r="CR125">
        <f t="shared" si="316"/>
        <v>1.2357756008507359</v>
      </c>
      <c r="CS125">
        <f t="shared" si="317"/>
        <v>1.1319937643232691E-3</v>
      </c>
      <c r="CT125">
        <f t="shared" si="318"/>
        <v>156.52319923668932</v>
      </c>
      <c r="CU125" s="636">
        <f t="shared" si="319"/>
        <v>129.59717641466875</v>
      </c>
      <c r="CV125" s="575">
        <f t="shared" si="320"/>
        <v>1.2357748254721592</v>
      </c>
      <c r="CW125">
        <f t="shared" si="321"/>
        <v>9.7329349490138384E-5</v>
      </c>
      <c r="CX125" s="576">
        <f t="shared" si="322"/>
        <v>0.33916138464368562</v>
      </c>
    </row>
    <row r="126" spans="1:102" x14ac:dyDescent="0.25">
      <c r="A126" s="186">
        <v>82</v>
      </c>
      <c r="B126" s="187">
        <f>A126/100*'Inputs-Imperial'!$E$5</f>
        <v>19.746719791999997</v>
      </c>
      <c r="C126" s="188">
        <f>'Inputs-Imperial'!$E$10+('Inputs-Imperial'!$E$9-'Inputs-Imperial'!$E$10)*(100-A126)/100</f>
        <v>3.6258203260000004</v>
      </c>
      <c r="D126" s="187">
        <f t="shared" si="323"/>
        <v>0.24081365599999671</v>
      </c>
      <c r="E126" s="188">
        <f t="shared" si="324"/>
        <v>0.87529011649450716</v>
      </c>
      <c r="F126" s="423">
        <f>Sizing!F142</f>
        <v>115.29587771141328</v>
      </c>
      <c r="G126" s="423">
        <f>Sizing!G142</f>
        <v>1152.9587771141328</v>
      </c>
      <c r="H126" s="423">
        <f>Sizing!H142</f>
        <v>2429.4924614396327</v>
      </c>
      <c r="I126" s="423">
        <f>Sizing!I142</f>
        <v>-1766.5814755241711</v>
      </c>
      <c r="J126" s="189">
        <f>Sizing!J142</f>
        <v>242.94924614396325</v>
      </c>
      <c r="K126" s="128">
        <v>82</v>
      </c>
      <c r="L126" s="12">
        <f t="shared" si="265"/>
        <v>236.96063750399998</v>
      </c>
      <c r="M126" s="11">
        <f t="shared" si="265"/>
        <v>43.509843912000008</v>
      </c>
      <c r="N126" s="11">
        <f t="shared" si="265"/>
        <v>2.8897638719999605</v>
      </c>
      <c r="O126" s="152">
        <f t="shared" si="325"/>
        <v>126.04177677520903</v>
      </c>
      <c r="P126" s="170">
        <f t="shared" si="260"/>
        <v>7.8317719041600009</v>
      </c>
      <c r="Q126" s="8">
        <f t="shared" si="261"/>
        <v>3.9158859520800005</v>
      </c>
      <c r="R126" s="170">
        <f>Sizing!X142</f>
        <v>10.877460978000002</v>
      </c>
      <c r="S126" s="8">
        <f>Sizing!Y142</f>
        <v>32.632382934000006</v>
      </c>
      <c r="T126" s="8">
        <f>Sizing!Z142</f>
        <v>21.754921956000004</v>
      </c>
      <c r="U126" s="17">
        <f>Sizing!CN142</f>
        <v>0.75</v>
      </c>
      <c r="V126" s="17">
        <f>Sizing!CO142</f>
        <v>2.3622047244094495E-2</v>
      </c>
      <c r="W126" s="17">
        <f>Sizing!CP142</f>
        <v>1.5748031496062995E-2</v>
      </c>
      <c r="X126" s="170">
        <f>Sizing!DU142</f>
        <v>0.12489389406218925</v>
      </c>
      <c r="Y126" s="170">
        <f>Sizing!DV142</f>
        <v>0.35340330227968902</v>
      </c>
      <c r="Z126" s="170">
        <f>Sizing!DW142</f>
        <v>0.12489389406218925</v>
      </c>
      <c r="AA126" s="272">
        <f>Sizing!DX142</f>
        <v>0.35340330227968902</v>
      </c>
      <c r="AB126" s="272">
        <f t="shared" si="266"/>
        <v>5.8996284443999967</v>
      </c>
      <c r="AC126" s="216">
        <f>Sizing!GJ142</f>
        <v>0.25</v>
      </c>
      <c r="AD126" s="216">
        <f>Sizing!GK142</f>
        <v>2.3622047244094495E-2</v>
      </c>
      <c r="AE126" s="17">
        <f>Sizing!GL142</f>
        <v>2.3622047244094495E-2</v>
      </c>
      <c r="AF126" s="170">
        <f>Sizing!JC142</f>
        <v>2.1476328638547018E-3</v>
      </c>
      <c r="AG126" s="272">
        <f>Sizing!JD142</f>
        <v>4.6342559962249626E-2</v>
      </c>
      <c r="AH126" s="170">
        <f>Sizing!JC142</f>
        <v>2.1476328638547018E-3</v>
      </c>
      <c r="AI126" s="272">
        <f>Sizing!JD142</f>
        <v>4.6342559962249626E-2</v>
      </c>
      <c r="AJ126" s="216">
        <f>Sizing!IT142</f>
        <v>0.25</v>
      </c>
      <c r="AK126" s="216">
        <f>Sizing!IU142</f>
        <v>1.5748031496062995E-2</v>
      </c>
      <c r="AL126" s="17">
        <f>Sizing!IV142</f>
        <v>1.5748031496062995E-2</v>
      </c>
      <c r="AM126" s="170">
        <f t="shared" si="267"/>
        <v>0</v>
      </c>
      <c r="AN126" s="11">
        <f t="shared" si="268"/>
        <v>1.0867522225607658</v>
      </c>
      <c r="AO126" s="11">
        <f t="shared" si="269"/>
        <v>1.0867522225607658</v>
      </c>
      <c r="AP126" s="11">
        <f t="shared" si="270"/>
        <v>2.1735044451215315</v>
      </c>
      <c r="AQ126" s="555">
        <f t="shared" si="271"/>
        <v>34676481.148269035</v>
      </c>
      <c r="AR126" s="311">
        <f t="shared" si="272"/>
        <v>11.245227223209715</v>
      </c>
      <c r="AS126" s="11">
        <f t="shared" si="273"/>
        <v>3.3784300695952334E-2</v>
      </c>
      <c r="AT126" s="11">
        <f t="shared" si="274"/>
        <v>1.9646993408883087</v>
      </c>
      <c r="AU126" s="11">
        <f t="shared" si="275"/>
        <v>1.9984836415842611</v>
      </c>
      <c r="AV126" s="555">
        <f t="shared" si="276"/>
        <v>31884167.744890787</v>
      </c>
      <c r="AW126" s="138">
        <f t="shared" si="277"/>
        <v>3.9370078740157494E-2</v>
      </c>
      <c r="AX126" s="138">
        <f t="shared" si="278"/>
        <v>4.724409448818899E-2</v>
      </c>
      <c r="AY126" s="554">
        <f t="shared" si="279"/>
        <v>3.1496062992125991E-2</v>
      </c>
      <c r="AZ126" s="12">
        <f t="shared" si="280"/>
        <v>802.89488615106018</v>
      </c>
      <c r="BA126" s="11">
        <f t="shared" si="281"/>
        <v>139.35451659845936</v>
      </c>
      <c r="BB126">
        <f t="shared" si="282"/>
        <v>728.48834704454885</v>
      </c>
      <c r="BC126" s="555">
        <f t="shared" si="283"/>
        <v>2747120814.8448296</v>
      </c>
      <c r="BD126">
        <f t="shared" si="284"/>
        <v>82</v>
      </c>
      <c r="BE126" s="207">
        <f t="shared" si="285"/>
        <v>3.6258203260000004</v>
      </c>
      <c r="BF126" s="207">
        <f>'Inputs-Imperial'!$E$15*BE126</f>
        <v>2.7193652445000005</v>
      </c>
      <c r="BG126" s="207">
        <f>'Inputs-Imperial'!$E$12*BE126</f>
        <v>0.90645508150000009</v>
      </c>
      <c r="BH126">
        <f>'Inputs-Imperial'!$E$11*BE126</f>
        <v>0.65264765868000008</v>
      </c>
      <c r="BI126">
        <f t="shared" si="286"/>
        <v>0.69223737776722705</v>
      </c>
      <c r="BJ126">
        <f>'Weight '!U128+'Weight '!V128 /12</f>
        <v>2.4934383202099744E-2</v>
      </c>
      <c r="BK126">
        <f>('Weight '!AK128+'Weight '!AL128)/12</f>
        <v>3.9370078740157488E-3</v>
      </c>
      <c r="BL126">
        <f>'Weight '!AG128/12</f>
        <v>2.9450275189974087E-2</v>
      </c>
      <c r="BM126">
        <f>'Weight '!AI128/12</f>
        <v>2.9450275189974087E-2</v>
      </c>
      <c r="BN126" s="554">
        <f t="shared" si="287"/>
        <v>1.8941198610250982</v>
      </c>
      <c r="BO126" s="554">
        <f t="shared" si="288"/>
        <v>3.94932773398964</v>
      </c>
      <c r="BP126">
        <f t="shared" si="289"/>
        <v>2.9450275189974087E-2</v>
      </c>
      <c r="BQ126">
        <f t="shared" si="289"/>
        <v>2.9450275189974087E-2</v>
      </c>
      <c r="BR126">
        <f t="shared" si="290"/>
        <v>0.59374710830005184</v>
      </c>
      <c r="BS126">
        <f t="shared" si="291"/>
        <v>0.4436968399796728</v>
      </c>
      <c r="BT126">
        <f t="shared" si="292"/>
        <v>1.0347730000656805</v>
      </c>
      <c r="BU126">
        <f t="shared" si="293"/>
        <v>0.68332541253476631</v>
      </c>
      <c r="BV126">
        <f t="shared" si="294"/>
        <v>196.32730358438732</v>
      </c>
      <c r="BW126" s="207">
        <f t="shared" si="295"/>
        <v>108.64899468963615</v>
      </c>
      <c r="BX126">
        <f t="shared" si="296"/>
        <v>1.3090481382760153</v>
      </c>
      <c r="BY126" s="575">
        <f t="shared" si="297"/>
        <v>-45.501134246304645</v>
      </c>
      <c r="BZ126">
        <f t="shared" si="298"/>
        <v>211.49434833315553</v>
      </c>
      <c r="CA126" s="207">
        <f t="shared" si="299"/>
        <v>100.25543895754676</v>
      </c>
      <c r="CB126">
        <f t="shared" si="300"/>
        <v>1.339878127621958</v>
      </c>
      <c r="CC126">
        <f t="shared" si="301"/>
        <v>159.67804706921376</v>
      </c>
      <c r="CD126">
        <f t="shared" si="302"/>
        <v>158.26833264341761</v>
      </c>
      <c r="CE126" s="207">
        <f t="shared" si="303"/>
        <v>129.71111318341488</v>
      </c>
      <c r="CF126">
        <f t="shared" si="304"/>
        <v>1.23168582491415</v>
      </c>
      <c r="CG126">
        <f t="shared" si="305"/>
        <v>2.6273817589653881</v>
      </c>
      <c r="CH126">
        <f t="shared" si="306"/>
        <v>157.39253872376247</v>
      </c>
      <c r="CI126" s="207">
        <f t="shared" ref="CI126" si="374" xml:space="preserve"> ($BQ$38-CH126*($BP126+$BR126+$BQ126+$BN126))/($BP126+$BR126+$BQ126+$BO126)</f>
        <v>130.19578407324312</v>
      </c>
      <c r="CJ126">
        <f t="shared" si="308"/>
        <v>1.2299056022234769</v>
      </c>
      <c r="CK126">
        <f t="shared" si="309"/>
        <v>0.2358581221619005</v>
      </c>
      <c r="CL126">
        <f t="shared" si="310"/>
        <v>157.3139193497085</v>
      </c>
      <c r="CM126" s="207">
        <f t="shared" ref="CM126" si="375" xml:space="preserve"> ($BQ$38-CL126*($BP126+$BR126+$BQ126+$BN126))/($BP126+$BR126+$BQ126+$BO126)</f>
        <v>130.23929262145901</v>
      </c>
      <c r="CN126">
        <f t="shared" si="312"/>
        <v>1.2297457929458875</v>
      </c>
      <c r="CO126">
        <f t="shared" si="313"/>
        <v>2.1477857821025736E-2</v>
      </c>
      <c r="CP126">
        <f t="shared" si="314"/>
        <v>157.30676006376817</v>
      </c>
      <c r="CQ126" s="207">
        <f t="shared" ref="CQ126" si="376" xml:space="preserve"> ($BQ$38-CP126*($BP126+$BR126+$BQ126+$BN126))/($BP126+$BR126+$BQ126+$BO126)</f>
        <v>130.24325462371701</v>
      </c>
      <c r="CR126">
        <f t="shared" si="316"/>
        <v>1.2297312402948655</v>
      </c>
      <c r="CS126">
        <f t="shared" si="317"/>
        <v>1.9583265525149329E-3</v>
      </c>
      <c r="CT126">
        <f t="shared" si="318"/>
        <v>157.30610728825067</v>
      </c>
      <c r="CU126" s="636">
        <f t="shared" si="319"/>
        <v>130.24361587455905</v>
      </c>
      <c r="CV126" s="575">
        <f t="shared" si="320"/>
        <v>1.2297299134007615</v>
      </c>
      <c r="CW126">
        <f t="shared" si="321"/>
        <v>1.7857871052306962E-4</v>
      </c>
      <c r="CX126" s="576">
        <f t="shared" si="322"/>
        <v>0.3391590875539599</v>
      </c>
    </row>
    <row r="127" spans="1:102" x14ac:dyDescent="0.25">
      <c r="A127" s="186">
        <v>83</v>
      </c>
      <c r="B127" s="187">
        <f>A127/100*'Inputs-Imperial'!$E$5</f>
        <v>19.987533447999997</v>
      </c>
      <c r="C127" s="188">
        <f>'Inputs-Imperial'!$E$10+('Inputs-Imperial'!$E$9-'Inputs-Imperial'!$E$10)*(100-A127)/100</f>
        <v>3.6080217690000005</v>
      </c>
      <c r="D127" s="187">
        <f t="shared" si="323"/>
        <v>0.24081365600000026</v>
      </c>
      <c r="E127" s="188">
        <f t="shared" si="324"/>
        <v>0.87100398091182574</v>
      </c>
      <c r="F127" s="423">
        <f>Sizing!F143</f>
        <v>107.6176216828576</v>
      </c>
      <c r="G127" s="423">
        <f>Sizing!G143</f>
        <v>1076.1762168285759</v>
      </c>
      <c r="H127" s="423">
        <f>Sizing!H143</f>
        <v>2151.8442431054891</v>
      </c>
      <c r="I127" s="423">
        <f>Sizing!I143</f>
        <v>-1627.4864295441027</v>
      </c>
      <c r="J127" s="189">
        <f>Sizing!J143</f>
        <v>215.18442431054888</v>
      </c>
      <c r="K127" s="128">
        <v>83</v>
      </c>
      <c r="L127" s="12">
        <f t="shared" si="265"/>
        <v>239.85040137599998</v>
      </c>
      <c r="M127" s="11">
        <f t="shared" si="265"/>
        <v>43.296261228000006</v>
      </c>
      <c r="N127" s="11">
        <f t="shared" si="265"/>
        <v>2.8897638720000032</v>
      </c>
      <c r="O127" s="152">
        <f t="shared" si="325"/>
        <v>125.42457325130292</v>
      </c>
      <c r="P127" s="170">
        <f t="shared" si="260"/>
        <v>7.7933270210400005</v>
      </c>
      <c r="Q127" s="8">
        <f t="shared" si="261"/>
        <v>3.8966635105200003</v>
      </c>
      <c r="R127" s="170">
        <f>Sizing!X143</f>
        <v>10.824065307000001</v>
      </c>
      <c r="S127" s="8">
        <f>Sizing!Y143</f>
        <v>32.472195921000008</v>
      </c>
      <c r="T127" s="8">
        <f>Sizing!Z143</f>
        <v>21.648130614000006</v>
      </c>
      <c r="U127" s="17">
        <f>Sizing!CN143</f>
        <v>0.75</v>
      </c>
      <c r="V127" s="17">
        <f>Sizing!CO143</f>
        <v>2.3622047244094495E-2</v>
      </c>
      <c r="W127" s="17">
        <f>Sizing!CP143</f>
        <v>1.5748031496062995E-2</v>
      </c>
      <c r="X127" s="170">
        <f>Sizing!DU143</f>
        <v>0.12489389406218925</v>
      </c>
      <c r="Y127" s="170">
        <f>Sizing!DV143</f>
        <v>0.35340330227968902</v>
      </c>
      <c r="Z127" s="170">
        <f>Sizing!DW143</f>
        <v>0.12489389406218925</v>
      </c>
      <c r="AA127" s="272">
        <f>Sizing!DX143</f>
        <v>0.35340330227968902</v>
      </c>
      <c r="AB127" s="272">
        <f t="shared" si="266"/>
        <v>5.8611835612799963</v>
      </c>
      <c r="AC127" s="216">
        <f>Sizing!GJ143</f>
        <v>0.25</v>
      </c>
      <c r="AD127" s="216">
        <f>Sizing!GK143</f>
        <v>2.3622047244094495E-2</v>
      </c>
      <c r="AE127" s="17">
        <f>Sizing!GL143</f>
        <v>2.3622047244094495E-2</v>
      </c>
      <c r="AF127" s="170">
        <f>Sizing!JC143</f>
        <v>2.1476328638547018E-3</v>
      </c>
      <c r="AG127" s="272">
        <f>Sizing!JD143</f>
        <v>4.6342559962249626E-2</v>
      </c>
      <c r="AH127" s="170">
        <f>Sizing!JC143</f>
        <v>2.1476328638547018E-3</v>
      </c>
      <c r="AI127" s="272">
        <f>Sizing!JD143</f>
        <v>4.6342559962249626E-2</v>
      </c>
      <c r="AJ127" s="216">
        <f>Sizing!IT143</f>
        <v>0.25</v>
      </c>
      <c r="AK127" s="216">
        <f>Sizing!IU143</f>
        <v>1.5748031496062995E-2</v>
      </c>
      <c r="AL127" s="17">
        <f>Sizing!IV143</f>
        <v>1.5748031496062995E-2</v>
      </c>
      <c r="AM127" s="170">
        <f t="shared" si="267"/>
        <v>0</v>
      </c>
      <c r="AN127" s="11">
        <f t="shared" si="268"/>
        <v>1.0726347462338319</v>
      </c>
      <c r="AO127" s="11">
        <f t="shared" si="269"/>
        <v>1.0726347462338319</v>
      </c>
      <c r="AP127" s="11">
        <f t="shared" si="270"/>
        <v>2.1452694924676639</v>
      </c>
      <c r="AQ127" s="555">
        <f t="shared" si="271"/>
        <v>34226015.631337754</v>
      </c>
      <c r="AR127" s="311">
        <f t="shared" si="272"/>
        <v>11.19002624806072</v>
      </c>
      <c r="AS127" s="11">
        <f t="shared" si="273"/>
        <v>3.345343160855737E-2</v>
      </c>
      <c r="AT127" s="11">
        <f t="shared" si="274"/>
        <v>1.9454579102671512</v>
      </c>
      <c r="AU127" s="11">
        <f t="shared" si="275"/>
        <v>1.9789113418757085</v>
      </c>
      <c r="AV127" s="555">
        <f t="shared" si="276"/>
        <v>31571907.752326593</v>
      </c>
      <c r="AW127" s="138">
        <f t="shared" si="277"/>
        <v>3.9370078740157494E-2</v>
      </c>
      <c r="AX127" s="138">
        <f t="shared" si="278"/>
        <v>4.724409448818899E-2</v>
      </c>
      <c r="AY127" s="554">
        <f t="shared" si="279"/>
        <v>3.1496062992125991E-2</v>
      </c>
      <c r="AZ127" s="12">
        <f t="shared" si="280"/>
        <v>795.03167475456553</v>
      </c>
      <c r="BA127" s="11">
        <f t="shared" si="281"/>
        <v>138.67044814390874</v>
      </c>
      <c r="BB127">
        <f t="shared" si="282"/>
        <v>717.81283404167164</v>
      </c>
      <c r="BC127" s="555">
        <f t="shared" si="283"/>
        <v>2706863583.4171357</v>
      </c>
      <c r="BD127">
        <f t="shared" si="284"/>
        <v>83</v>
      </c>
      <c r="BE127" s="207">
        <f t="shared" si="285"/>
        <v>3.6080217690000005</v>
      </c>
      <c r="BF127" s="207">
        <f>'Inputs-Imperial'!$E$15*BE127</f>
        <v>2.7060163267500004</v>
      </c>
      <c r="BG127" s="207">
        <f>'Inputs-Imperial'!$E$12*BE127</f>
        <v>0.90200544225000012</v>
      </c>
      <c r="BH127">
        <f>'Inputs-Imperial'!$E$11*BE127</f>
        <v>0.64944391842000004</v>
      </c>
      <c r="BI127">
        <f t="shared" si="286"/>
        <v>0.68883929807271749</v>
      </c>
      <c r="BJ127">
        <f>'Weight '!U129+'Weight '!V129 /12</f>
        <v>2.4934383202099744E-2</v>
      </c>
      <c r="BK127">
        <f>('Weight '!AK129+'Weight '!AL129)/12</f>
        <v>3.9370078740157488E-3</v>
      </c>
      <c r="BL127">
        <f>'Weight '!AG129/12</f>
        <v>2.9450275189974087E-2</v>
      </c>
      <c r="BM127">
        <f>'Weight '!AI129/12</f>
        <v>2.9450275189974087E-2</v>
      </c>
      <c r="BN127" s="554">
        <f t="shared" si="287"/>
        <v>1.8816898771627941</v>
      </c>
      <c r="BO127" s="554">
        <f t="shared" si="288"/>
        <v>3.9330731924907227</v>
      </c>
      <c r="BP127">
        <f t="shared" si="289"/>
        <v>2.9450275189974087E-2</v>
      </c>
      <c r="BQ127">
        <f t="shared" si="289"/>
        <v>2.9450275189974087E-2</v>
      </c>
      <c r="BR127">
        <f t="shared" si="290"/>
        <v>0.59054336804005181</v>
      </c>
      <c r="BS127">
        <f t="shared" si="291"/>
        <v>0.43935146163825384</v>
      </c>
      <c r="BT127">
        <f t="shared" si="292"/>
        <v>1.0246388729373996</v>
      </c>
      <c r="BU127">
        <f t="shared" si="293"/>
        <v>0.67000655554176003</v>
      </c>
      <c r="BV127">
        <f t="shared" si="294"/>
        <v>197.53993284455154</v>
      </c>
      <c r="BW127" s="207">
        <f t="shared" si="295"/>
        <v>109.1103399940455</v>
      </c>
      <c r="BX127">
        <f t="shared" si="296"/>
        <v>1.3029896882347221</v>
      </c>
      <c r="BY127" s="575">
        <f t="shared" si="297"/>
        <v>-45.242137808971449</v>
      </c>
      <c r="BZ127">
        <f t="shared" si="298"/>
        <v>212.62064544754202</v>
      </c>
      <c r="CA127" s="207">
        <f t="shared" si="299"/>
        <v>100.78057266158605</v>
      </c>
      <c r="CB127">
        <f t="shared" si="300"/>
        <v>1.3333111613067867</v>
      </c>
      <c r="CC127">
        <f t="shared" si="301"/>
        <v>159.75794527136381</v>
      </c>
      <c r="CD127">
        <f t="shared" si="302"/>
        <v>159.36799702375407</v>
      </c>
      <c r="CE127" s="207">
        <f t="shared" si="303"/>
        <v>130.19444605636551</v>
      </c>
      <c r="CF127">
        <f t="shared" si="304"/>
        <v>1.2262407072966879</v>
      </c>
      <c r="CG127">
        <f t="shared" si="305"/>
        <v>3.4524851112423711</v>
      </c>
      <c r="CH127">
        <f t="shared" si="306"/>
        <v>158.21716865333994</v>
      </c>
      <c r="CI127" s="207">
        <f t="shared" ref="CI127" si="377" xml:space="preserve"> ($BQ$38-CH127*($BP127+$BR127+$BQ127+$BN127))/($BP127+$BR127+$BQ127+$BO127)</f>
        <v>130.83010120194808</v>
      </c>
      <c r="CJ127">
        <f t="shared" si="308"/>
        <v>1.2239268370995222</v>
      </c>
      <c r="CK127">
        <f t="shared" si="309"/>
        <v>0.32637587539061919</v>
      </c>
      <c r="CL127">
        <f t="shared" si="310"/>
        <v>158.1083766948764</v>
      </c>
      <c r="CM127" s="207">
        <f t="shared" ref="CM127" si="378" xml:space="preserve"> ($BQ$38-CL127*($BP127+$BR127+$BQ127+$BN127))/($BP127+$BR127+$BQ127+$BO127)</f>
        <v>130.89019197653553</v>
      </c>
      <c r="CN127">
        <f t="shared" si="312"/>
        <v>1.2237080986004969</v>
      </c>
      <c r="CO127">
        <f t="shared" si="313"/>
        <v>3.1404544103923016E-2</v>
      </c>
      <c r="CP127">
        <f t="shared" si="314"/>
        <v>158.09790851350843</v>
      </c>
      <c r="CQ127" s="207">
        <f t="shared" ref="CQ127" si="379" xml:space="preserve"> ($BQ$38-CP127*($BP127+$BR127+$BQ127+$BN127))/($BP127+$BR127+$BQ127+$BO127)</f>
        <v>130.89597403189885</v>
      </c>
      <c r="CR127">
        <f t="shared" si="316"/>
        <v>1.2236870511415461</v>
      </c>
      <c r="CS127">
        <f t="shared" si="317"/>
        <v>3.0268287333772292E-3</v>
      </c>
      <c r="CT127">
        <f t="shared" si="318"/>
        <v>158.09689957059732</v>
      </c>
      <c r="CU127" s="636">
        <f t="shared" si="319"/>
        <v>130.8965313172157</v>
      </c>
      <c r="CV127" s="575">
        <f t="shared" si="320"/>
        <v>1.2236850225480627</v>
      </c>
      <c r="CW127">
        <f t="shared" si="321"/>
        <v>2.9177798281310174E-4</v>
      </c>
      <c r="CX127" s="576">
        <f t="shared" si="322"/>
        <v>0.33915677368188918</v>
      </c>
    </row>
    <row r="128" spans="1:102" x14ac:dyDescent="0.25">
      <c r="A128" s="186">
        <v>84</v>
      </c>
      <c r="B128" s="187">
        <f>A128/100*'Inputs-Imperial'!$E$5</f>
        <v>20.228347103999997</v>
      </c>
      <c r="C128" s="188">
        <f>'Inputs-Imperial'!$E$10+('Inputs-Imperial'!$E$9-'Inputs-Imperial'!$E$10)*(100-A128)/100</f>
        <v>3.5902232120000002</v>
      </c>
      <c r="D128" s="187">
        <f t="shared" si="323"/>
        <v>0.24081365600000026</v>
      </c>
      <c r="E128" s="188">
        <f t="shared" si="324"/>
        <v>0.86671784532913121</v>
      </c>
      <c r="F128" s="423">
        <f>Sizing!F144</f>
        <v>100.05199263965933</v>
      </c>
      <c r="G128" s="423">
        <f>Sizing!G144</f>
        <v>1000.5199263965933</v>
      </c>
      <c r="H128" s="423">
        <f>Sizing!H144</f>
        <v>1892.6863138307506</v>
      </c>
      <c r="I128" s="423">
        <f>Sizing!I144</f>
        <v>-1492.4887042684613</v>
      </c>
      <c r="J128" s="189">
        <f>Sizing!J144</f>
        <v>189.26863138307505</v>
      </c>
      <c r="K128" s="128">
        <v>84</v>
      </c>
      <c r="L128" s="12">
        <f t="shared" si="265"/>
        <v>242.74016524799998</v>
      </c>
      <c r="M128" s="11">
        <f t="shared" si="265"/>
        <v>43.082678544000004</v>
      </c>
      <c r="N128" s="11">
        <f t="shared" si="265"/>
        <v>2.8897638720000032</v>
      </c>
      <c r="O128" s="152">
        <f t="shared" si="325"/>
        <v>124.8073697273949</v>
      </c>
      <c r="P128" s="170">
        <f t="shared" si="260"/>
        <v>7.7548821379200001</v>
      </c>
      <c r="Q128" s="8">
        <f t="shared" si="261"/>
        <v>3.8774410689600001</v>
      </c>
      <c r="R128" s="170">
        <f>Sizing!X144</f>
        <v>10.770669636000001</v>
      </c>
      <c r="S128" s="8">
        <f>Sizing!Y144</f>
        <v>32.312008908000003</v>
      </c>
      <c r="T128" s="8">
        <f>Sizing!Z144</f>
        <v>21.541339272000002</v>
      </c>
      <c r="U128" s="17">
        <f>Sizing!CN144</f>
        <v>0.75</v>
      </c>
      <c r="V128" s="17">
        <f>Sizing!CO144</f>
        <v>2.3622047244094495E-2</v>
      </c>
      <c r="W128" s="17">
        <f>Sizing!CP144</f>
        <v>1.5748031496062995E-2</v>
      </c>
      <c r="X128" s="170">
        <f>Sizing!DU144</f>
        <v>0.12489389406218925</v>
      </c>
      <c r="Y128" s="170">
        <f>Sizing!DV144</f>
        <v>0.35340330227968902</v>
      </c>
      <c r="Z128" s="170">
        <f>Sizing!DW144</f>
        <v>0.12489389406218925</v>
      </c>
      <c r="AA128" s="272">
        <f>Sizing!DX144</f>
        <v>0.35340330227968902</v>
      </c>
      <c r="AB128" s="272">
        <f t="shared" si="266"/>
        <v>5.8227386781599959</v>
      </c>
      <c r="AC128" s="216">
        <f>Sizing!GJ144</f>
        <v>0.25</v>
      </c>
      <c r="AD128" s="216">
        <f>Sizing!GK144</f>
        <v>2.3622047244094495E-2</v>
      </c>
      <c r="AE128" s="17">
        <f>Sizing!GL144</f>
        <v>2.3622047244094495E-2</v>
      </c>
      <c r="AF128" s="170">
        <f>Sizing!JC144</f>
        <v>2.1476328638547018E-3</v>
      </c>
      <c r="AG128" s="272">
        <f>Sizing!JD144</f>
        <v>4.6342559962249626E-2</v>
      </c>
      <c r="AH128" s="170">
        <f>Sizing!JC144</f>
        <v>2.1476328638547018E-3</v>
      </c>
      <c r="AI128" s="272">
        <f>Sizing!JD144</f>
        <v>4.6342559962249626E-2</v>
      </c>
      <c r="AJ128" s="216">
        <f>Sizing!IT144</f>
        <v>0.25</v>
      </c>
      <c r="AK128" s="216">
        <f>Sizing!IU144</f>
        <v>1.5748031496062995E-2</v>
      </c>
      <c r="AL128" s="17">
        <f>Sizing!IV144</f>
        <v>1.5748031496062995E-2</v>
      </c>
      <c r="AM128" s="170">
        <f t="shared" si="267"/>
        <v>0</v>
      </c>
      <c r="AN128" s="11">
        <f t="shared" si="268"/>
        <v>1.0586095670590123</v>
      </c>
      <c r="AO128" s="11">
        <f t="shared" si="269"/>
        <v>1.0586095670590123</v>
      </c>
      <c r="AP128" s="11">
        <f t="shared" si="270"/>
        <v>2.1172191341180246</v>
      </c>
      <c r="AQ128" s="555">
        <f t="shared" si="271"/>
        <v>33778495.165163107</v>
      </c>
      <c r="AR128" s="311">
        <f t="shared" si="272"/>
        <v>11.134825272911721</v>
      </c>
      <c r="AS128" s="11">
        <f t="shared" si="273"/>
        <v>3.3124190699447699E-2</v>
      </c>
      <c r="AT128" s="11">
        <f t="shared" si="274"/>
        <v>1.9263111650690843</v>
      </c>
      <c r="AU128" s="11">
        <f t="shared" si="275"/>
        <v>1.959435355768532</v>
      </c>
      <c r="AV128" s="555">
        <f t="shared" si="276"/>
        <v>31261184.3642952</v>
      </c>
      <c r="AW128" s="138">
        <f t="shared" si="277"/>
        <v>3.9370078740157494E-2</v>
      </c>
      <c r="AX128" s="138">
        <f t="shared" si="278"/>
        <v>4.724409448818899E-2</v>
      </c>
      <c r="AY128" s="554">
        <f t="shared" si="279"/>
        <v>3.1496062992125991E-2</v>
      </c>
      <c r="AZ128" s="12">
        <f t="shared" si="280"/>
        <v>787.20715754420462</v>
      </c>
      <c r="BA128" s="11">
        <f t="shared" si="281"/>
        <v>137.98637968935807</v>
      </c>
      <c r="BB128">
        <f t="shared" si="282"/>
        <v>707.24212887585941</v>
      </c>
      <c r="BC128" s="555">
        <f t="shared" si="283"/>
        <v>2667001581.0853195</v>
      </c>
      <c r="BD128">
        <f t="shared" si="284"/>
        <v>84</v>
      </c>
      <c r="BE128" s="207">
        <f t="shared" si="285"/>
        <v>3.5902232120000002</v>
      </c>
      <c r="BF128" s="207">
        <f>'Inputs-Imperial'!$E$15*BE128</f>
        <v>2.6926674090000002</v>
      </c>
      <c r="BG128" s="207">
        <f>'Inputs-Imperial'!$E$12*BE128</f>
        <v>0.89755580300000004</v>
      </c>
      <c r="BH128">
        <f>'Inputs-Imperial'!$E$11*BE128</f>
        <v>0.64624017816000001</v>
      </c>
      <c r="BI128">
        <f t="shared" si="286"/>
        <v>0.68544121837820793</v>
      </c>
      <c r="BJ128">
        <f>'Weight '!U130+'Weight '!V130 /12</f>
        <v>2.4934383202099744E-2</v>
      </c>
      <c r="BK128">
        <f>('Weight '!AK130+'Weight '!AL130)/12</f>
        <v>3.9370078740157488E-3</v>
      </c>
      <c r="BL128">
        <f>'Weight '!AG130/12</f>
        <v>2.9450275189974087E-2</v>
      </c>
      <c r="BM128">
        <f>'Weight '!AI130/12</f>
        <v>2.9450275189974087E-2</v>
      </c>
      <c r="BN128" s="554">
        <f t="shared" si="287"/>
        <v>1.8692601606806345</v>
      </c>
      <c r="BO128" s="554">
        <f t="shared" si="288"/>
        <v>3.9168183836116599</v>
      </c>
      <c r="BP128">
        <f t="shared" si="289"/>
        <v>2.9450275189974087E-2</v>
      </c>
      <c r="BQ128">
        <f t="shared" si="289"/>
        <v>2.9450275189974087E-2</v>
      </c>
      <c r="BR128">
        <f t="shared" si="290"/>
        <v>0.58733962778005178</v>
      </c>
      <c r="BS128">
        <f t="shared" si="291"/>
        <v>0.4350274665294464</v>
      </c>
      <c r="BT128">
        <f t="shared" si="292"/>
        <v>1.0145546149760063</v>
      </c>
      <c r="BU128">
        <f t="shared" si="293"/>
        <v>0.65688335462895708</v>
      </c>
      <c r="BV128">
        <f t="shared" si="294"/>
        <v>198.76761385388812</v>
      </c>
      <c r="BW128" s="207">
        <f t="shared" si="295"/>
        <v>109.57562635485206</v>
      </c>
      <c r="BX128">
        <f t="shared" si="296"/>
        <v>1.2969315326515172</v>
      </c>
      <c r="BY128" s="575">
        <f t="shared" si="297"/>
        <v>-44.980381994915064</v>
      </c>
      <c r="BZ128">
        <f t="shared" si="298"/>
        <v>213.7610745188598</v>
      </c>
      <c r="CA128" s="207">
        <f t="shared" si="299"/>
        <v>101.31010557037054</v>
      </c>
      <c r="CB128">
        <f t="shared" si="300"/>
        <v>1.326748311580852</v>
      </c>
      <c r="CC128">
        <f t="shared" si="301"/>
        <v>159.84517695060663</v>
      </c>
      <c r="CD128">
        <f t="shared" si="302"/>
        <v>160.47934886865758</v>
      </c>
      <c r="CE128" s="207">
        <f t="shared" si="303"/>
        <v>130.68299156617479</v>
      </c>
      <c r="CF128">
        <f t="shared" si="304"/>
        <v>1.2207894892525886</v>
      </c>
      <c r="CG128">
        <f t="shared" si="305"/>
        <v>4.2786478409123578</v>
      </c>
      <c r="CH128">
        <f t="shared" si="306"/>
        <v>159.0531329216868</v>
      </c>
      <c r="CI128" s="207">
        <f t="shared" ref="CI128" si="380" xml:space="preserve"> ($BQ$38-CH128*($BP128+$BR128+$BQ128+$BN128))/($BP128+$BR128+$BQ128+$BO128)</f>
        <v>131.4692288342917</v>
      </c>
      <c r="CJ128">
        <f t="shared" si="308"/>
        <v>1.217953241734651</v>
      </c>
      <c r="CK128">
        <f t="shared" si="309"/>
        <v>0.42485902086536065</v>
      </c>
      <c r="CL128">
        <f t="shared" si="310"/>
        <v>158.91151324806501</v>
      </c>
      <c r="CM128" s="207">
        <f t="shared" ref="CM128" si="381" xml:space="preserve"> ($BQ$38-CL128*($BP128+$BR128+$BQ128+$BN128))/($BP128+$BR128+$BQ128+$BO128)</f>
        <v>131.54730022701207</v>
      </c>
      <c r="CN128">
        <f t="shared" si="312"/>
        <v>1.2176716094554341</v>
      </c>
      <c r="CO128">
        <f t="shared" si="313"/>
        <v>4.3070543560325802E-2</v>
      </c>
      <c r="CP128">
        <f t="shared" si="314"/>
        <v>158.89715640021157</v>
      </c>
      <c r="CQ128" s="207">
        <f t="shared" ref="CQ128" si="382" xml:space="preserve"> ($BQ$38-CP128*($BP128+$BR128+$BQ128+$BN128))/($BP128+$BR128+$BQ128+$BO128)</f>
        <v>131.55521479903675</v>
      </c>
      <c r="CR128">
        <f t="shared" si="316"/>
        <v>1.2176430586779896</v>
      </c>
      <c r="CS128">
        <f t="shared" si="317"/>
        <v>4.3752295208232539E-3</v>
      </c>
      <c r="CT128">
        <f t="shared" si="318"/>
        <v>158.8956979903713</v>
      </c>
      <c r="CU128" s="636">
        <f t="shared" si="319"/>
        <v>131.55601878399503</v>
      </c>
      <c r="CV128" s="575">
        <f t="shared" si="320"/>
        <v>1.2176401584080141</v>
      </c>
      <c r="CW128">
        <f t="shared" si="321"/>
        <v>4.4454011815631134E-4</v>
      </c>
      <c r="CX128" s="576">
        <f t="shared" si="322"/>
        <v>0.33915444430813124</v>
      </c>
    </row>
    <row r="129" spans="1:102" x14ac:dyDescent="0.25">
      <c r="A129" s="186">
        <v>85</v>
      </c>
      <c r="B129" s="187">
        <f>A129/100*'Inputs-Imperial'!$E$5</f>
        <v>20.469160759999998</v>
      </c>
      <c r="C129" s="188">
        <f>'Inputs-Imperial'!$E$10+('Inputs-Imperial'!$E$9-'Inputs-Imperial'!$E$10)*(100-A129)/100</f>
        <v>3.5724246550000003</v>
      </c>
      <c r="D129" s="187">
        <f t="shared" si="323"/>
        <v>0.24081365600000026</v>
      </c>
      <c r="E129" s="188">
        <f t="shared" si="324"/>
        <v>0.8624317097464369</v>
      </c>
      <c r="F129" s="423">
        <f>Sizing!F145</f>
        <v>92.602710438201711</v>
      </c>
      <c r="G129" s="423">
        <f>Sizing!G145</f>
        <v>926.02710438201711</v>
      </c>
      <c r="H129" s="423">
        <f>Sizing!H145</f>
        <v>1651.7474524543359</v>
      </c>
      <c r="I129" s="423">
        <f>Sizing!I145</f>
        <v>-1361.660999578527</v>
      </c>
      <c r="J129" s="189">
        <f>Sizing!J145</f>
        <v>165.17474524543357</v>
      </c>
      <c r="K129" s="128">
        <v>85</v>
      </c>
      <c r="L129" s="12">
        <f t="shared" si="265"/>
        <v>245.62992911999999</v>
      </c>
      <c r="M129" s="11">
        <f t="shared" si="265"/>
        <v>42.869095860000002</v>
      </c>
      <c r="N129" s="11">
        <f t="shared" si="265"/>
        <v>2.8897638720000032</v>
      </c>
      <c r="O129" s="152">
        <f t="shared" si="325"/>
        <v>124.19016620348692</v>
      </c>
      <c r="P129" s="170">
        <f t="shared" si="260"/>
        <v>7.7164372547999998</v>
      </c>
      <c r="Q129" s="8">
        <f t="shared" si="261"/>
        <v>3.8582186273999999</v>
      </c>
      <c r="R129" s="170">
        <f>Sizing!X145</f>
        <v>10.717273965</v>
      </c>
      <c r="S129" s="8">
        <f>Sizing!Y145</f>
        <v>32.151821894999998</v>
      </c>
      <c r="T129" s="8">
        <f>Sizing!Z145</f>
        <v>21.434547929999997</v>
      </c>
      <c r="U129" s="17">
        <f>Sizing!CN145</f>
        <v>0.75</v>
      </c>
      <c r="V129" s="17">
        <f>Sizing!CO145</f>
        <v>2.3622047244094495E-2</v>
      </c>
      <c r="W129" s="17">
        <f>Sizing!CP145</f>
        <v>1.5748031496062995E-2</v>
      </c>
      <c r="X129" s="170">
        <f>Sizing!DU145</f>
        <v>0.12489389406218925</v>
      </c>
      <c r="Y129" s="170">
        <f>Sizing!DV145</f>
        <v>0.35340330227968902</v>
      </c>
      <c r="Z129" s="170">
        <f>Sizing!DW145</f>
        <v>0.12489389406218925</v>
      </c>
      <c r="AA129" s="272">
        <f>Sizing!DX145</f>
        <v>0.35340330227968902</v>
      </c>
      <c r="AB129" s="272">
        <f t="shared" si="266"/>
        <v>5.7842937950399955</v>
      </c>
      <c r="AC129" s="216">
        <f>Sizing!GJ145</f>
        <v>0.25</v>
      </c>
      <c r="AD129" s="216">
        <f>Sizing!GK145</f>
        <v>2.3622047244094495E-2</v>
      </c>
      <c r="AE129" s="17">
        <f>Sizing!GL145</f>
        <v>2.3622047244094495E-2</v>
      </c>
      <c r="AF129" s="170">
        <f>Sizing!JC145</f>
        <v>2.1476328638547018E-3</v>
      </c>
      <c r="AG129" s="272">
        <f>Sizing!JD145</f>
        <v>4.6342559962249626E-2</v>
      </c>
      <c r="AH129" s="170">
        <f>Sizing!JC145</f>
        <v>2.1476328638547018E-3</v>
      </c>
      <c r="AI129" s="272">
        <f>Sizing!JD145</f>
        <v>4.6342559962249626E-2</v>
      </c>
      <c r="AJ129" s="216">
        <f>Sizing!IT145</f>
        <v>0.25</v>
      </c>
      <c r="AK129" s="216">
        <f>Sizing!IU145</f>
        <v>1.5748031496062995E-2</v>
      </c>
      <c r="AL129" s="17">
        <f>Sizing!IV145</f>
        <v>1.5748031496062995E-2</v>
      </c>
      <c r="AM129" s="170">
        <f t="shared" si="267"/>
        <v>0</v>
      </c>
      <c r="AN129" s="11">
        <f t="shared" si="268"/>
        <v>1.0446766850363072</v>
      </c>
      <c r="AO129" s="11">
        <f t="shared" si="269"/>
        <v>1.0446766850363072</v>
      </c>
      <c r="AP129" s="11">
        <f t="shared" si="270"/>
        <v>2.0893533700726143</v>
      </c>
      <c r="AQ129" s="555">
        <f t="shared" si="271"/>
        <v>33333919.749745101</v>
      </c>
      <c r="AR129" s="311">
        <f t="shared" si="272"/>
        <v>11.079624297762726</v>
      </c>
      <c r="AS129" s="11">
        <f t="shared" si="273"/>
        <v>3.2796577968624639E-2</v>
      </c>
      <c r="AT129" s="11">
        <f t="shared" si="274"/>
        <v>1.9072591052941079</v>
      </c>
      <c r="AU129" s="11">
        <f t="shared" si="275"/>
        <v>1.9400556832627325</v>
      </c>
      <c r="AV129" s="555">
        <f t="shared" si="276"/>
        <v>30951997.580796622</v>
      </c>
      <c r="AW129" s="138">
        <f t="shared" si="277"/>
        <v>3.9370078740157494E-2</v>
      </c>
      <c r="AX129" s="138">
        <f t="shared" si="278"/>
        <v>4.724409448818899E-2</v>
      </c>
      <c r="AY129" s="554">
        <f t="shared" si="279"/>
        <v>3.1496062992125991E-2</v>
      </c>
      <c r="AZ129" s="12">
        <f t="shared" si="280"/>
        <v>779.42133451997756</v>
      </c>
      <c r="BA129" s="11">
        <f t="shared" si="281"/>
        <v>137.30231123480746</v>
      </c>
      <c r="BB129">
        <f t="shared" si="282"/>
        <v>696.77571452465941</v>
      </c>
      <c r="BC129" s="555">
        <f t="shared" si="283"/>
        <v>2627532858.1639166</v>
      </c>
      <c r="BD129">
        <f t="shared" si="284"/>
        <v>85</v>
      </c>
      <c r="BE129" s="207">
        <f t="shared" si="285"/>
        <v>3.5724246550000003</v>
      </c>
      <c r="BF129" s="207">
        <f>'Inputs-Imperial'!$E$15*BE129</f>
        <v>2.6793184912500001</v>
      </c>
      <c r="BG129" s="207">
        <f>'Inputs-Imperial'!$E$12*BE129</f>
        <v>0.89310616375000007</v>
      </c>
      <c r="BH129">
        <f>'Inputs-Imperial'!$E$11*BE129</f>
        <v>0.64303643789999998</v>
      </c>
      <c r="BI129">
        <f t="shared" si="286"/>
        <v>0.68204313868369837</v>
      </c>
      <c r="BJ129">
        <f>'Weight '!U131+'Weight '!V131 /12</f>
        <v>2.4934383202099744E-2</v>
      </c>
      <c r="BK129">
        <f>('Weight '!AK131+'Weight '!AL131)/12</f>
        <v>3.9370078740157488E-3</v>
      </c>
      <c r="BL129">
        <f>'Weight '!AG131/12</f>
        <v>2.9450275189974087E-2</v>
      </c>
      <c r="BM129">
        <f>'Weight '!AI131/12</f>
        <v>2.9450275189974087E-2</v>
      </c>
      <c r="BN129" s="554">
        <f t="shared" si="287"/>
        <v>1.8568308186336908</v>
      </c>
      <c r="BO129" s="554">
        <f t="shared" si="288"/>
        <v>3.9005632002973787</v>
      </c>
      <c r="BP129">
        <f t="shared" si="289"/>
        <v>2.9450275189974087E-2</v>
      </c>
      <c r="BQ129">
        <f t="shared" si="289"/>
        <v>2.9450275189974087E-2</v>
      </c>
      <c r="BR129">
        <f t="shared" si="290"/>
        <v>0.58413588752005174</v>
      </c>
      <c r="BS129">
        <f t="shared" si="291"/>
        <v>0.43072485465325061</v>
      </c>
      <c r="BT129">
        <f t="shared" si="292"/>
        <v>1.0045202261815014</v>
      </c>
      <c r="BU129">
        <f t="shared" si="293"/>
        <v>0.64395388420243893</v>
      </c>
      <c r="BV129">
        <f t="shared" si="294"/>
        <v>200.01062004120118</v>
      </c>
      <c r="BW129" s="207">
        <f t="shared" si="295"/>
        <v>110.04490708128705</v>
      </c>
      <c r="BX129">
        <f t="shared" si="296"/>
        <v>1.2908736662148723</v>
      </c>
      <c r="BY129" s="575">
        <f t="shared" si="297"/>
        <v>-44.715829623151762</v>
      </c>
      <c r="BZ129">
        <f t="shared" si="298"/>
        <v>214.91589658225178</v>
      </c>
      <c r="CA129" s="207">
        <f t="shared" si="299"/>
        <v>101.84409368626372</v>
      </c>
      <c r="CB129">
        <f t="shared" si="300"/>
        <v>1.3201895782111757</v>
      </c>
      <c r="CC129">
        <f t="shared" si="301"/>
        <v>159.93985813108611</v>
      </c>
      <c r="CD129">
        <f t="shared" si="302"/>
        <v>161.60261053855641</v>
      </c>
      <c r="CE129" s="207">
        <f t="shared" si="303"/>
        <v>131.17681415714668</v>
      </c>
      <c r="CF129">
        <f t="shared" si="304"/>
        <v>1.2153322414427996</v>
      </c>
      <c r="CG129">
        <f t="shared" si="305"/>
        <v>5.1059736028359168</v>
      </c>
      <c r="CH129">
        <f t="shared" si="306"/>
        <v>159.90061933761109</v>
      </c>
      <c r="CI129" s="207">
        <f t="shared" ref="CI129" si="383" xml:space="preserve"> ($BQ$38-CH129*($BP129+$BR129+$BQ129+$BN129))/($BP129+$BR129+$BQ129+$BO129)</f>
        <v>132.11324175045453</v>
      </c>
      <c r="CJ129">
        <f t="shared" si="308"/>
        <v>1.2119847407018387</v>
      </c>
      <c r="CK129">
        <f t="shared" si="309"/>
        <v>0.53133217422412571</v>
      </c>
      <c r="CL129">
        <f t="shared" si="310"/>
        <v>159.72350861286972</v>
      </c>
      <c r="CM129" s="207">
        <f t="shared" ref="CM129" si="384" xml:space="preserve"> ($BQ$38-CL129*($BP129+$BR129+$BQ129+$BN129))/($BP129+$BR129+$BQ129+$BO129)</f>
        <v>132.21068724231517</v>
      </c>
      <c r="CN129">
        <f t="shared" si="312"/>
        <v>1.2116363967844468</v>
      </c>
      <c r="CO129">
        <f t="shared" si="313"/>
        <v>5.6600048135189596E-2</v>
      </c>
      <c r="CP129">
        <f t="shared" si="314"/>
        <v>159.704641930158</v>
      </c>
      <c r="CQ129" s="207">
        <f t="shared" ref="CQ129" si="385" xml:space="preserve"> ($BQ$38-CP129*($BP129+$BR129+$BQ129+$BN129))/($BP129+$BR129+$BQ129+$BO129)</f>
        <v>132.22106760284561</v>
      </c>
      <c r="CR129">
        <f t="shared" si="316"/>
        <v>1.2115992895218934</v>
      </c>
      <c r="CS129">
        <f t="shared" si="317"/>
        <v>6.0438525964805478E-3</v>
      </c>
      <c r="CT129">
        <f t="shared" si="318"/>
        <v>159.70262731262585</v>
      </c>
      <c r="CU129" s="636">
        <f t="shared" si="319"/>
        <v>132.22217603598321</v>
      </c>
      <c r="CV129" s="575">
        <f t="shared" si="320"/>
        <v>1.2115953271431938</v>
      </c>
      <c r="CW129">
        <f t="shared" si="321"/>
        <v>6.4553867971639534E-4</v>
      </c>
      <c r="CX129" s="576">
        <f t="shared" si="322"/>
        <v>0.33915210092602882</v>
      </c>
    </row>
    <row r="130" spans="1:102" x14ac:dyDescent="0.25">
      <c r="A130" s="186">
        <v>86</v>
      </c>
      <c r="B130" s="187">
        <f>A130/100*'Inputs-Imperial'!$E$5</f>
        <v>20.709974415999998</v>
      </c>
      <c r="C130" s="188">
        <f>'Inputs-Imperial'!$E$10+('Inputs-Imperial'!$E$9-'Inputs-Imperial'!$E$10)*(100-A130)/100</f>
        <v>3.5546260980000004</v>
      </c>
      <c r="D130" s="187">
        <f t="shared" si="323"/>
        <v>0.24081365600000026</v>
      </c>
      <c r="E130" s="188">
        <f t="shared" si="324"/>
        <v>0.85814557416374249</v>
      </c>
      <c r="F130" s="423">
        <f>Sizing!F146</f>
        <v>85.273828978889782</v>
      </c>
      <c r="G130" s="423">
        <f>Sizing!G146</f>
        <v>852.73828978889776</v>
      </c>
      <c r="H130" s="423">
        <f>Sizing!H146</f>
        <v>1428.7474798930084</v>
      </c>
      <c r="I130" s="423">
        <f>Sizing!I146</f>
        <v>-1235.0817031352267</v>
      </c>
      <c r="J130" s="189">
        <f>Sizing!J146</f>
        <v>142.87474798930083</v>
      </c>
      <c r="K130" s="128">
        <v>86</v>
      </c>
      <c r="L130" s="12">
        <f t="shared" si="265"/>
        <v>248.51969299199999</v>
      </c>
      <c r="M130" s="11">
        <f t="shared" si="265"/>
        <v>42.655513176000007</v>
      </c>
      <c r="N130" s="11">
        <f t="shared" si="265"/>
        <v>2.8897638720000032</v>
      </c>
      <c r="O130" s="152">
        <f t="shared" si="325"/>
        <v>123.57296267957891</v>
      </c>
      <c r="P130" s="170">
        <f t="shared" si="260"/>
        <v>7.6779923716800011</v>
      </c>
      <c r="Q130" s="8">
        <f t="shared" si="261"/>
        <v>3.8389961858400006</v>
      </c>
      <c r="R130" s="170">
        <f>Sizing!X146</f>
        <v>10.663878294000002</v>
      </c>
      <c r="S130" s="8">
        <f>Sizing!Y146</f>
        <v>31.991634882000007</v>
      </c>
      <c r="T130" s="8">
        <f>Sizing!Z146</f>
        <v>21.327756588000007</v>
      </c>
      <c r="U130" s="17">
        <f>Sizing!CN146</f>
        <v>0.75</v>
      </c>
      <c r="V130" s="17">
        <f>Sizing!CO146</f>
        <v>2.3622047244094495E-2</v>
      </c>
      <c r="W130" s="17">
        <f>Sizing!CP146</f>
        <v>1.5748031496062995E-2</v>
      </c>
      <c r="X130" s="170">
        <f>Sizing!DU146</f>
        <v>0.12489389406218925</v>
      </c>
      <c r="Y130" s="170">
        <f>Sizing!DV146</f>
        <v>0.35340330227968902</v>
      </c>
      <c r="Z130" s="170">
        <f>Sizing!DW146</f>
        <v>0.12489389406218925</v>
      </c>
      <c r="AA130" s="272">
        <f>Sizing!DX146</f>
        <v>0.35340330227968902</v>
      </c>
      <c r="AB130" s="272">
        <f t="shared" si="266"/>
        <v>5.7458489119199969</v>
      </c>
      <c r="AC130" s="216">
        <f>Sizing!GJ146</f>
        <v>0.25</v>
      </c>
      <c r="AD130" s="216">
        <f>Sizing!GK146</f>
        <v>2.3622047244094495E-2</v>
      </c>
      <c r="AE130" s="17">
        <f>Sizing!GL146</f>
        <v>2.3622047244094495E-2</v>
      </c>
      <c r="AF130" s="170">
        <f>Sizing!JC146</f>
        <v>2.1476328638547018E-3</v>
      </c>
      <c r="AG130" s="272">
        <f>Sizing!JD146</f>
        <v>4.6342559962249626E-2</v>
      </c>
      <c r="AH130" s="170">
        <f>Sizing!JC146</f>
        <v>2.1476328638547018E-3</v>
      </c>
      <c r="AI130" s="272">
        <f>Sizing!JD146</f>
        <v>4.6342559962249626E-2</v>
      </c>
      <c r="AJ130" s="216">
        <f>Sizing!IT146</f>
        <v>0.25</v>
      </c>
      <c r="AK130" s="216">
        <f>Sizing!IU146</f>
        <v>1.5748031496062995E-2</v>
      </c>
      <c r="AL130" s="17">
        <f>Sizing!IV146</f>
        <v>1.5748031496062995E-2</v>
      </c>
      <c r="AM130" s="170">
        <f t="shared" si="267"/>
        <v>0</v>
      </c>
      <c r="AN130" s="11">
        <f t="shared" si="268"/>
        <v>1.0308361001657169</v>
      </c>
      <c r="AO130" s="11">
        <f t="shared" si="269"/>
        <v>1.0308361001657169</v>
      </c>
      <c r="AP130" s="11">
        <f t="shared" si="270"/>
        <v>2.0616722003314338</v>
      </c>
      <c r="AQ130" s="555">
        <f t="shared" si="271"/>
        <v>32892289.385083754</v>
      </c>
      <c r="AR130" s="311">
        <f t="shared" si="272"/>
        <v>11.024423322613732</v>
      </c>
      <c r="AS130" s="11">
        <f t="shared" si="273"/>
        <v>3.2470593416087525E-2</v>
      </c>
      <c r="AT130" s="11">
        <f t="shared" si="274"/>
        <v>1.8883017309422268</v>
      </c>
      <c r="AU130" s="11">
        <f t="shared" si="275"/>
        <v>1.9207723243583144</v>
      </c>
      <c r="AV130" s="555">
        <f t="shared" si="276"/>
        <v>30644347.40183093</v>
      </c>
      <c r="AW130" s="138">
        <f t="shared" si="277"/>
        <v>3.9370078740157494E-2</v>
      </c>
      <c r="AX130" s="138">
        <f t="shared" si="278"/>
        <v>4.724409448818899E-2</v>
      </c>
      <c r="AY130" s="554">
        <f t="shared" si="279"/>
        <v>3.1496062992125991E-2</v>
      </c>
      <c r="AZ130" s="12">
        <f t="shared" si="280"/>
        <v>771.67420568188504</v>
      </c>
      <c r="BA130" s="11">
        <f t="shared" si="281"/>
        <v>136.61824278025679</v>
      </c>
      <c r="BB130">
        <f t="shared" si="282"/>
        <v>686.41307396562195</v>
      </c>
      <c r="BC130" s="555">
        <f t="shared" si="283"/>
        <v>2588455464.967473</v>
      </c>
      <c r="BD130">
        <f t="shared" si="284"/>
        <v>86</v>
      </c>
      <c r="BE130" s="207">
        <f t="shared" si="285"/>
        <v>3.5546260980000004</v>
      </c>
      <c r="BF130" s="207">
        <f>'Inputs-Imperial'!$E$15*BE130</f>
        <v>2.6659695735000004</v>
      </c>
      <c r="BG130" s="207">
        <f>'Inputs-Imperial'!$E$12*BE130</f>
        <v>0.8886565245000001</v>
      </c>
      <c r="BH130">
        <f>'Inputs-Imperial'!$E$11*BE130</f>
        <v>0.63983269764000006</v>
      </c>
      <c r="BI130">
        <f t="shared" si="286"/>
        <v>0.67864505898918892</v>
      </c>
      <c r="BJ130">
        <f>'Weight '!U132+'Weight '!V132 /12</f>
        <v>2.4934383202099744E-2</v>
      </c>
      <c r="BK130">
        <f>('Weight '!AK132+'Weight '!AL132)/12</f>
        <v>3.9370078740157488E-3</v>
      </c>
      <c r="BL130">
        <f>'Weight '!AG132/12</f>
        <v>2.9450275189974087E-2</v>
      </c>
      <c r="BM130">
        <f>'Weight '!AI132/12</f>
        <v>2.9450275189974087E-2</v>
      </c>
      <c r="BN130" s="554">
        <f t="shared" si="287"/>
        <v>1.8444019610229712</v>
      </c>
      <c r="BO130" s="554">
        <f t="shared" si="288"/>
        <v>3.8843075325468783</v>
      </c>
      <c r="BP130">
        <f t="shared" si="289"/>
        <v>2.9450275189974087E-2</v>
      </c>
      <c r="BQ130">
        <f t="shared" si="289"/>
        <v>2.9450275189974087E-2</v>
      </c>
      <c r="BR130">
        <f t="shared" si="290"/>
        <v>0.58093214726005182</v>
      </c>
      <c r="BS130">
        <f t="shared" si="291"/>
        <v>0.4264436260096664</v>
      </c>
      <c r="BT130">
        <f t="shared" si="292"/>
        <v>0.99453570655388401</v>
      </c>
      <c r="BU130">
        <f t="shared" si="293"/>
        <v>0.63121622819082934</v>
      </c>
      <c r="BV130">
        <f t="shared" si="294"/>
        <v>201.26923125253504</v>
      </c>
      <c r="BW130" s="207">
        <f t="shared" si="295"/>
        <v>110.51823651791327</v>
      </c>
      <c r="BX130">
        <f t="shared" si="296"/>
        <v>1.2848160834241542</v>
      </c>
      <c r="BY130" s="575">
        <f t="shared" si="297"/>
        <v>-44.448442907353268</v>
      </c>
      <c r="BZ130">
        <f t="shared" si="298"/>
        <v>216.08537888831947</v>
      </c>
      <c r="CA130" s="207">
        <f t="shared" si="299"/>
        <v>102.38259403294043</v>
      </c>
      <c r="CB130">
        <f t="shared" si="300"/>
        <v>1.3136349607608755</v>
      </c>
      <c r="CC130">
        <f t="shared" si="301"/>
        <v>160.04210706535451</v>
      </c>
      <c r="CD130">
        <f t="shared" si="302"/>
        <v>162.73800986653464</v>
      </c>
      <c r="CE130" s="207">
        <f t="shared" si="303"/>
        <v>131.67597936793192</v>
      </c>
      <c r="CF130">
        <f t="shared" si="304"/>
        <v>1.2098690344304424</v>
      </c>
      <c r="CG130">
        <f t="shared" si="305"/>
        <v>5.9345684132567715</v>
      </c>
      <c r="CH130">
        <f t="shared" si="306"/>
        <v>160.75982039544905</v>
      </c>
      <c r="CI130" s="207">
        <f t="shared" ref="CI130" si="386" xml:space="preserve"> ($BQ$38-CH130*($BP130+$BR130+$BQ130+$BN130))/($BP130+$BR130+$BQ130+$BO130)</f>
        <v>132.76221599974158</v>
      </c>
      <c r="CJ130">
        <f t="shared" si="308"/>
        <v>1.2060212596162714</v>
      </c>
      <c r="CK130">
        <f t="shared" si="309"/>
        <v>0.6458220567769466</v>
      </c>
      <c r="CL130">
        <f t="shared" si="310"/>
        <v>160.54454637652341</v>
      </c>
      <c r="CM130" s="207">
        <f t="shared" ref="CM130" si="387" xml:space="preserve"> ($BQ$38-CL130*($BP130+$BR130+$BQ130+$BN130))/($BP130+$BR130+$BQ130+$BO130)</f>
        <v>132.88042435574178</v>
      </c>
      <c r="CN130">
        <f t="shared" si="312"/>
        <v>1.2056025302881284</v>
      </c>
      <c r="CO130">
        <f t="shared" si="313"/>
        <v>7.2117720374512473E-2</v>
      </c>
      <c r="CP130">
        <f t="shared" si="314"/>
        <v>160.52050713639858</v>
      </c>
      <c r="CQ130" s="207">
        <f t="shared" ref="CQ130" si="388" xml:space="preserve"> ($BQ$38-CP130*($BP130+$BR130+$BQ130+$BN130))/($BP130+$BR130+$BQ130+$BO130)</f>
        <v>132.89362445795959</v>
      </c>
      <c r="CR130">
        <f t="shared" si="316"/>
        <v>1.2055557715807061</v>
      </c>
      <c r="CS130">
        <f t="shared" si="317"/>
        <v>8.075628584261807E-3</v>
      </c>
      <c r="CT130">
        <f t="shared" si="318"/>
        <v>160.51781526020383</v>
      </c>
      <c r="CU130" s="636">
        <f t="shared" si="319"/>
        <v>132.89510258458685</v>
      </c>
      <c r="CV130" s="575">
        <f t="shared" si="320"/>
        <v>1.2055505356143965</v>
      </c>
      <c r="CW130">
        <f t="shared" si="321"/>
        <v>9.0457607864458112E-4</v>
      </c>
      <c r="CX130" s="576">
        <f t="shared" si="322"/>
        <v>0.33914974525525932</v>
      </c>
    </row>
    <row r="131" spans="1:102" x14ac:dyDescent="0.25">
      <c r="A131" s="186">
        <v>87</v>
      </c>
      <c r="B131" s="187">
        <f>A131/100*'Inputs-Imperial'!$E$5</f>
        <v>20.950788071999998</v>
      </c>
      <c r="C131" s="188">
        <f>'Inputs-Imperial'!$E$10+('Inputs-Imperial'!$E$9-'Inputs-Imperial'!$E$10)*(100-A131)/100</f>
        <v>3.5368275410000001</v>
      </c>
      <c r="D131" s="187">
        <f t="shared" si="323"/>
        <v>0.24081365600000026</v>
      </c>
      <c r="E131" s="188">
        <f t="shared" si="324"/>
        <v>0.85385943858104818</v>
      </c>
      <c r="F131" s="423">
        <f>Sizing!F147</f>
        <v>78.069794483240614</v>
      </c>
      <c r="G131" s="423">
        <f>Sizing!G147</f>
        <v>780.69794483240617</v>
      </c>
      <c r="H131" s="423">
        <f>Sizing!H147</f>
        <v>1223.3964547177563</v>
      </c>
      <c r="I131" s="423">
        <f>Sizing!I147</f>
        <v>-1112.8359566030217</v>
      </c>
      <c r="J131" s="189">
        <f>Sizing!J147</f>
        <v>122.33964547177561</v>
      </c>
      <c r="K131" s="128">
        <v>87</v>
      </c>
      <c r="L131" s="12">
        <f t="shared" si="265"/>
        <v>251.40945686399999</v>
      </c>
      <c r="M131" s="11">
        <f t="shared" si="265"/>
        <v>42.441930491999997</v>
      </c>
      <c r="N131" s="11">
        <f t="shared" si="265"/>
        <v>2.8897638720000032</v>
      </c>
      <c r="O131" s="152">
        <f t="shared" si="325"/>
        <v>122.95575915567093</v>
      </c>
      <c r="P131" s="170">
        <f t="shared" si="260"/>
        <v>7.639547488559999</v>
      </c>
      <c r="Q131" s="8">
        <f t="shared" si="261"/>
        <v>3.8197737442799995</v>
      </c>
      <c r="R131" s="170">
        <f>Sizing!X147</f>
        <v>10.610482622999999</v>
      </c>
      <c r="S131" s="8">
        <f>Sizing!Y147</f>
        <v>31.831447868999998</v>
      </c>
      <c r="T131" s="8">
        <f>Sizing!Z147</f>
        <v>21.220965245999999</v>
      </c>
      <c r="U131" s="17">
        <f>Sizing!CN147</f>
        <v>0.75</v>
      </c>
      <c r="V131" s="17">
        <f>Sizing!CO147</f>
        <v>2.3622047244094495E-2</v>
      </c>
      <c r="W131" s="17">
        <f>Sizing!CP147</f>
        <v>1.5748031496062995E-2</v>
      </c>
      <c r="X131" s="170">
        <f>Sizing!DU147</f>
        <v>0.12489389406218925</v>
      </c>
      <c r="Y131" s="170">
        <f>Sizing!DV147</f>
        <v>0.35340330227968902</v>
      </c>
      <c r="Z131" s="170">
        <f>Sizing!DW147</f>
        <v>0.12489389406218925</v>
      </c>
      <c r="AA131" s="272">
        <f>Sizing!DX147</f>
        <v>0.35340330227968902</v>
      </c>
      <c r="AB131" s="272">
        <f t="shared" si="266"/>
        <v>5.7074040287999948</v>
      </c>
      <c r="AC131" s="216">
        <f>Sizing!GJ147</f>
        <v>0.25</v>
      </c>
      <c r="AD131" s="216">
        <f>Sizing!GK147</f>
        <v>2.3622047244094495E-2</v>
      </c>
      <c r="AE131" s="17">
        <f>Sizing!GL147</f>
        <v>2.3622047244094495E-2</v>
      </c>
      <c r="AF131" s="170">
        <f>Sizing!JC147</f>
        <v>2.1476328638547018E-3</v>
      </c>
      <c r="AG131" s="272">
        <f>Sizing!JD147</f>
        <v>4.6342559962249626E-2</v>
      </c>
      <c r="AH131" s="170">
        <f>Sizing!JC147</f>
        <v>2.1476328638547018E-3</v>
      </c>
      <c r="AI131" s="272">
        <f>Sizing!JD147</f>
        <v>4.6342559962249626E-2</v>
      </c>
      <c r="AJ131" s="216">
        <f>Sizing!IT147</f>
        <v>0.25</v>
      </c>
      <c r="AK131" s="216">
        <f>Sizing!IU147</f>
        <v>1.5748031496062995E-2</v>
      </c>
      <c r="AL131" s="17">
        <f>Sizing!IV147</f>
        <v>1.5748031496062995E-2</v>
      </c>
      <c r="AM131" s="170">
        <f t="shared" si="267"/>
        <v>0</v>
      </c>
      <c r="AN131" s="11">
        <f t="shared" si="268"/>
        <v>1.0170878124472398</v>
      </c>
      <c r="AO131" s="11">
        <f t="shared" si="269"/>
        <v>1.0170878124472398</v>
      </c>
      <c r="AP131" s="11">
        <f t="shared" si="270"/>
        <v>2.0341756248944796</v>
      </c>
      <c r="AQ131" s="555">
        <f t="shared" si="271"/>
        <v>32453604.071179006</v>
      </c>
      <c r="AR131" s="311">
        <f t="shared" si="272"/>
        <v>10.969222347464733</v>
      </c>
      <c r="AS131" s="11">
        <f t="shared" si="273"/>
        <v>3.2146237041836036E-2</v>
      </c>
      <c r="AT131" s="11">
        <f t="shared" si="274"/>
        <v>1.8694390420134344</v>
      </c>
      <c r="AU131" s="11">
        <f t="shared" si="275"/>
        <v>1.9015852790552703</v>
      </c>
      <c r="AV131" s="555">
        <f t="shared" si="276"/>
        <v>30338233.827398013</v>
      </c>
      <c r="AW131" s="138">
        <f t="shared" si="277"/>
        <v>3.9370078740157494E-2</v>
      </c>
      <c r="AX131" s="138">
        <f t="shared" si="278"/>
        <v>4.724409448818899E-2</v>
      </c>
      <c r="AY131" s="554">
        <f t="shared" si="279"/>
        <v>3.1496062992125991E-2</v>
      </c>
      <c r="AZ131" s="12">
        <f t="shared" si="280"/>
        <v>763.96577102992546</v>
      </c>
      <c r="BA131" s="11">
        <f t="shared" si="281"/>
        <v>135.93417432570621</v>
      </c>
      <c r="BB131">
        <f t="shared" si="282"/>
        <v>676.15369017629098</v>
      </c>
      <c r="BC131" s="555">
        <f t="shared" si="283"/>
        <v>2549767451.8105116</v>
      </c>
      <c r="BD131">
        <f t="shared" si="284"/>
        <v>87</v>
      </c>
      <c r="BE131" s="207">
        <f t="shared" si="285"/>
        <v>3.5368275410000001</v>
      </c>
      <c r="BF131" s="207">
        <f>'Inputs-Imperial'!$E$15*BE131</f>
        <v>2.6526206557499998</v>
      </c>
      <c r="BG131" s="207">
        <f>'Inputs-Imperial'!$E$12*BE131</f>
        <v>0.88420688525000002</v>
      </c>
      <c r="BH131">
        <f>'Inputs-Imperial'!$E$11*BE131</f>
        <v>0.63662895738000003</v>
      </c>
      <c r="BI131">
        <f t="shared" si="286"/>
        <v>0.67524697929467936</v>
      </c>
      <c r="BJ131">
        <f>'Weight '!U133+'Weight '!V133 /12</f>
        <v>2.4934383202099744E-2</v>
      </c>
      <c r="BK131">
        <f>('Weight '!AK133+'Weight '!AL133)/12</f>
        <v>3.9370078740157488E-3</v>
      </c>
      <c r="BL131">
        <f>'Weight '!AG133/12</f>
        <v>2.9450275189974087E-2</v>
      </c>
      <c r="BM131">
        <f>'Weight '!AI133/12</f>
        <v>2.9450275189974087E-2</v>
      </c>
      <c r="BN131" s="554">
        <f t="shared" si="287"/>
        <v>1.8319737008630606</v>
      </c>
      <c r="BO131" s="554">
        <f t="shared" si="288"/>
        <v>3.8680512673455638</v>
      </c>
      <c r="BP131">
        <f t="shared" si="289"/>
        <v>2.9450275189974087E-2</v>
      </c>
      <c r="BQ131">
        <f t="shared" si="289"/>
        <v>2.9450275189974087E-2</v>
      </c>
      <c r="BR131">
        <f t="shared" si="290"/>
        <v>0.57772840700005179</v>
      </c>
      <c r="BS131">
        <f t="shared" si="291"/>
        <v>0.4221837805986936</v>
      </c>
      <c r="BT131">
        <f t="shared" si="292"/>
        <v>0.9846010560931544</v>
      </c>
      <c r="BU131">
        <f t="shared" si="293"/>
        <v>0.61866848004529174</v>
      </c>
      <c r="BV131">
        <f t="shared" si="294"/>
        <v>202.54373393402122</v>
      </c>
      <c r="BW131" s="207">
        <f t="shared" si="295"/>
        <v>110.99567007122269</v>
      </c>
      <c r="BX131">
        <f t="shared" si="296"/>
        <v>1.2787587785848955</v>
      </c>
      <c r="BY131" s="575">
        <f t="shared" si="297"/>
        <v>-44.178183444050347</v>
      </c>
      <c r="BZ131">
        <f t="shared" si="298"/>
        <v>217.269795082038</v>
      </c>
      <c r="CA131" s="207">
        <f t="shared" si="299"/>
        <v>102.92566468084921</v>
      </c>
      <c r="CB131">
        <f t="shared" si="300"/>
        <v>1.3070844585825685</v>
      </c>
      <c r="CC131">
        <f t="shared" si="301"/>
        <v>160.15204428487704</v>
      </c>
      <c r="CD131">
        <f t="shared" si="302"/>
        <v>163.88578032041232</v>
      </c>
      <c r="CE131" s="207">
        <f t="shared" si="303"/>
        <v>132.18055385697593</v>
      </c>
      <c r="CF131">
        <f t="shared" si="304"/>
        <v>1.2043999386739641</v>
      </c>
      <c r="CG131">
        <f t="shared" si="305"/>
        <v>6.7645407022144379</v>
      </c>
      <c r="CH131">
        <f t="shared" si="306"/>
        <v>161.63093341967416</v>
      </c>
      <c r="CI131" s="207">
        <f t="shared" ref="CI131" si="389" xml:space="preserve"> ($BQ$38-CH131*($BP131+$BR131+$BQ131+$BN131))/($BP131+$BR131+$BQ131+$BO131)</f>
        <v>133.41622892721526</v>
      </c>
      <c r="CJ131">
        <f t="shared" si="308"/>
        <v>1.2000627251372231</v>
      </c>
      <c r="CK131">
        <f t="shared" si="309"/>
        <v>0.76835755087098256</v>
      </c>
      <c r="CL131">
        <f t="shared" si="310"/>
        <v>161.3748142360505</v>
      </c>
      <c r="CM131" s="207">
        <f t="shared" ref="CM131" si="390" xml:space="preserve"> ($BQ$38-CL131*($BP131+$BR131+$BQ131+$BN131))/($BP131+$BR131+$BQ131+$BO131)</f>
        <v>133.55658439441356</v>
      </c>
      <c r="CN131">
        <f t="shared" si="312"/>
        <v>1.199570078124307</v>
      </c>
      <c r="CO131">
        <f t="shared" si="313"/>
        <v>8.97487495732463E-2</v>
      </c>
      <c r="CP131">
        <f t="shared" si="314"/>
        <v>161.34489798619273</v>
      </c>
      <c r="CQ131" s="207">
        <f t="shared" ref="CQ131" si="391" xml:space="preserve"> ($BQ$38-CP131*($BP131+$BR131+$BQ131+$BN131))/($BP131+$BR131+$BQ131+$BO131)</f>
        <v>133.57297875100255</v>
      </c>
      <c r="CR131">
        <f t="shared" si="316"/>
        <v>1.1995125340117516</v>
      </c>
      <c r="CS131">
        <f t="shared" si="317"/>
        <v>1.0516109123271278E-2</v>
      </c>
      <c r="CT131">
        <f t="shared" si="318"/>
        <v>161.34139261648497</v>
      </c>
      <c r="CU131" s="636">
        <f t="shared" si="319"/>
        <v>133.57489972309091</v>
      </c>
      <c r="CV131" s="575">
        <f t="shared" si="320"/>
        <v>1.1995057914089864</v>
      </c>
      <c r="CW131">
        <f t="shared" si="321"/>
        <v>1.2326522780661264E-3</v>
      </c>
      <c r="CX131" s="576">
        <f t="shared" si="322"/>
        <v>0.33914737925554578</v>
      </c>
    </row>
    <row r="132" spans="1:102" x14ac:dyDescent="0.25">
      <c r="A132" s="186">
        <v>88</v>
      </c>
      <c r="B132" s="187">
        <f>A132/100*'Inputs-Imperial'!$E$5</f>
        <v>21.191601727999998</v>
      </c>
      <c r="C132" s="188">
        <f>'Inputs-Imperial'!$E$10+('Inputs-Imperial'!$E$9-'Inputs-Imperial'!$E$10)*(100-A132)/100</f>
        <v>3.5190289840000002</v>
      </c>
      <c r="D132" s="187">
        <f t="shared" si="323"/>
        <v>0.24081365600000026</v>
      </c>
      <c r="E132" s="188">
        <f t="shared" si="324"/>
        <v>0.84957330299835365</v>
      </c>
      <c r="F132" s="423">
        <f>Sizing!F148</f>
        <v>70.995519190580012</v>
      </c>
      <c r="G132" s="423">
        <f>Sizing!G148</f>
        <v>709.95519190580012</v>
      </c>
      <c r="H132" s="423">
        <f>Sizing!H148</f>
        <v>1035.3937283909781</v>
      </c>
      <c r="I132" s="423">
        <f>Sizing!I148</f>
        <v>-995.01701424962357</v>
      </c>
      <c r="J132" s="189">
        <f>Sizing!J148</f>
        <v>103.53937283909779</v>
      </c>
      <c r="K132" s="128">
        <v>88</v>
      </c>
      <c r="L132" s="12">
        <f t="shared" si="265"/>
        <v>254.299220736</v>
      </c>
      <c r="M132" s="11">
        <f t="shared" si="265"/>
        <v>42.228347808000002</v>
      </c>
      <c r="N132" s="11">
        <f t="shared" si="265"/>
        <v>2.8897638720000032</v>
      </c>
      <c r="O132" s="152">
        <f t="shared" si="325"/>
        <v>122.33855563176292</v>
      </c>
      <c r="P132" s="170">
        <f t="shared" si="260"/>
        <v>7.6011026054400004</v>
      </c>
      <c r="Q132" s="8">
        <f t="shared" si="261"/>
        <v>3.8005513027200002</v>
      </c>
      <c r="R132" s="170">
        <f>Sizing!X148</f>
        <v>10.557086952000001</v>
      </c>
      <c r="S132" s="8">
        <f>Sizing!Y148</f>
        <v>31.671260856000004</v>
      </c>
      <c r="T132" s="8">
        <f>Sizing!Z148</f>
        <v>21.114173904000005</v>
      </c>
      <c r="U132" s="17">
        <f>Sizing!CN148</f>
        <v>0.75</v>
      </c>
      <c r="V132" s="17">
        <f>Sizing!CO148</f>
        <v>2.3622047244094495E-2</v>
      </c>
      <c r="W132" s="17">
        <f>Sizing!CP148</f>
        <v>1.5748031496062995E-2</v>
      </c>
      <c r="X132" s="170">
        <f>Sizing!DU148</f>
        <v>0.12489389406218925</v>
      </c>
      <c r="Y132" s="170">
        <f>Sizing!DV148</f>
        <v>0.35340330227968902</v>
      </c>
      <c r="Z132" s="170">
        <f>Sizing!DW148</f>
        <v>0.12489389406218925</v>
      </c>
      <c r="AA132" s="272">
        <f>Sizing!DX148</f>
        <v>0.35340330227968902</v>
      </c>
      <c r="AB132" s="272">
        <f t="shared" si="266"/>
        <v>5.6689591456799961</v>
      </c>
      <c r="AC132" s="216">
        <f>Sizing!GJ148</f>
        <v>0.25</v>
      </c>
      <c r="AD132" s="216">
        <f>Sizing!GK148</f>
        <v>2.3622047244094495E-2</v>
      </c>
      <c r="AE132" s="17">
        <f>Sizing!GL148</f>
        <v>2.3622047244094495E-2</v>
      </c>
      <c r="AF132" s="170">
        <f>Sizing!JC148</f>
        <v>2.1476328638547018E-3</v>
      </c>
      <c r="AG132" s="272">
        <f>Sizing!JD148</f>
        <v>4.6342559962249626E-2</v>
      </c>
      <c r="AH132" s="170">
        <f>Sizing!JC148</f>
        <v>2.1476328638547018E-3</v>
      </c>
      <c r="AI132" s="272">
        <f>Sizing!JD148</f>
        <v>4.6342559962249626E-2</v>
      </c>
      <c r="AJ132" s="216">
        <f>Sizing!IT148</f>
        <v>0.25</v>
      </c>
      <c r="AK132" s="216">
        <f>Sizing!IU148</f>
        <v>1.5748031496062995E-2</v>
      </c>
      <c r="AL132" s="17">
        <f>Sizing!IV148</f>
        <v>1.5748031496062995E-2</v>
      </c>
      <c r="AM132" s="170">
        <f t="shared" si="267"/>
        <v>0</v>
      </c>
      <c r="AN132" s="11">
        <f t="shared" si="268"/>
        <v>1.0034318218808782</v>
      </c>
      <c r="AO132" s="11">
        <f t="shared" si="269"/>
        <v>1.0034318218808782</v>
      </c>
      <c r="AP132" s="11">
        <f t="shared" si="270"/>
        <v>2.0068636437617564</v>
      </c>
      <c r="AQ132" s="555">
        <f t="shared" si="271"/>
        <v>32017863.808030941</v>
      </c>
      <c r="AR132" s="311">
        <f t="shared" si="272"/>
        <v>10.914021372315737</v>
      </c>
      <c r="AS132" s="11">
        <f t="shared" si="273"/>
        <v>3.1823508845870499E-2</v>
      </c>
      <c r="AT132" s="11">
        <f t="shared" si="274"/>
        <v>1.8506710385077361</v>
      </c>
      <c r="AU132" s="11">
        <f t="shared" si="275"/>
        <v>1.8824945473536066</v>
      </c>
      <c r="AV132" s="555">
        <f t="shared" si="276"/>
        <v>30033656.857497964</v>
      </c>
      <c r="AW132" s="138">
        <f t="shared" si="277"/>
        <v>3.9370078740157494E-2</v>
      </c>
      <c r="AX132" s="138">
        <f t="shared" si="278"/>
        <v>4.724409448818899E-2</v>
      </c>
      <c r="AY132" s="554">
        <f t="shared" si="279"/>
        <v>3.1496062992125991E-2</v>
      </c>
      <c r="AZ132" s="12">
        <f t="shared" si="280"/>
        <v>756.29603056410053</v>
      </c>
      <c r="BA132" s="11">
        <f t="shared" si="281"/>
        <v>135.25010587115554</v>
      </c>
      <c r="BB132">
        <f t="shared" si="282"/>
        <v>665.99704613421864</v>
      </c>
      <c r="BC132" s="555">
        <f t="shared" si="283"/>
        <v>2511466869.007585</v>
      </c>
      <c r="BD132">
        <f t="shared" si="284"/>
        <v>88</v>
      </c>
      <c r="BE132" s="207">
        <f t="shared" si="285"/>
        <v>3.5190289840000002</v>
      </c>
      <c r="BF132" s="207">
        <f>'Inputs-Imperial'!$E$15*BE132</f>
        <v>2.6392717380000001</v>
      </c>
      <c r="BG132" s="207">
        <f>'Inputs-Imperial'!$E$12*BE132</f>
        <v>0.87975724600000005</v>
      </c>
      <c r="BH132">
        <f>'Inputs-Imperial'!$E$11*BE132</f>
        <v>0.63342521711999999</v>
      </c>
      <c r="BI132">
        <f t="shared" si="286"/>
        <v>0.6718488996001698</v>
      </c>
      <c r="BJ132">
        <f>'Weight '!U134+'Weight '!V134 /12</f>
        <v>2.4934383202099744E-2</v>
      </c>
      <c r="BK132">
        <f>('Weight '!AK134+'Weight '!AL134)/12</f>
        <v>3.9370078740157488E-3</v>
      </c>
      <c r="BL132">
        <f>'Weight '!AG134/12</f>
        <v>2.9450275189974087E-2</v>
      </c>
      <c r="BM132">
        <f>'Weight '!AI134/12</f>
        <v>2.9450275189974087E-2</v>
      </c>
      <c r="BN132" s="554">
        <f t="shared" si="287"/>
        <v>1.8195461542511584</v>
      </c>
      <c r="BO132" s="554">
        <f t="shared" si="288"/>
        <v>3.8517942885962455</v>
      </c>
      <c r="BP132">
        <f t="shared" si="289"/>
        <v>2.9450275189974087E-2</v>
      </c>
      <c r="BQ132">
        <f t="shared" si="289"/>
        <v>2.9450275189974087E-2</v>
      </c>
      <c r="BR132">
        <f t="shared" si="290"/>
        <v>0.57452466674005176</v>
      </c>
      <c r="BS132">
        <f t="shared" si="291"/>
        <v>0.41794531842033245</v>
      </c>
      <c r="BT132">
        <f t="shared" si="292"/>
        <v>0.97471627479931311</v>
      </c>
      <c r="BU132">
        <f t="shared" si="293"/>
        <v>0.60630874273953361</v>
      </c>
      <c r="BV132">
        <f t="shared" si="294"/>
        <v>203.83442132082882</v>
      </c>
      <c r="BW132" s="207">
        <f t="shared" si="295"/>
        <v>111.47726423707213</v>
      </c>
      <c r="BX132">
        <f t="shared" si="296"/>
        <v>1.2727017458039609</v>
      </c>
      <c r="BY132" s="575">
        <f t="shared" si="297"/>
        <v>-43.905012200557408</v>
      </c>
      <c r="BZ132">
        <f t="shared" si="298"/>
        <v>218.4694253876813</v>
      </c>
      <c r="CA132" s="207">
        <f t="shared" si="299"/>
        <v>103.47336477348126</v>
      </c>
      <c r="CB132">
        <f t="shared" si="300"/>
        <v>1.3005380708116068</v>
      </c>
      <c r="CC132">
        <f t="shared" si="301"/>
        <v>160.26979265188646</v>
      </c>
      <c r="CD132">
        <f t="shared" si="302"/>
        <v>165.0461611703858</v>
      </c>
      <c r="CE132" s="207">
        <f t="shared" si="303"/>
        <v>132.69060542875135</v>
      </c>
      <c r="CF132">
        <f t="shared" si="304"/>
        <v>1.1989250245200649</v>
      </c>
      <c r="CG132">
        <f t="shared" si="305"/>
        <v>7.5960013673355018</v>
      </c>
      <c r="CH132">
        <f t="shared" si="306"/>
        <v>162.5141607146073</v>
      </c>
      <c r="CI132" s="207">
        <f t="shared" ref="CI132" si="392" xml:space="preserve"> ($BQ$38-CH132*($BP132+$BR132+$BQ132+$BN132))/($BP132+$BR132+$BQ132+$BO132)</f>
        <v>134.07535920109356</v>
      </c>
      <c r="CJ132">
        <f t="shared" si="308"/>
        <v>1.1941090649696198</v>
      </c>
      <c r="CK132">
        <f t="shared" si="309"/>
        <v>0.89896975674732893</v>
      </c>
      <c r="CL132">
        <f t="shared" si="310"/>
        <v>162.21450412902485</v>
      </c>
      <c r="CM132" s="207">
        <f t="shared" ref="CM132" si="393" xml:space="preserve"> ($BQ$38-CL132*($BP132+$BR132+$BQ132+$BN132))/($BP132+$BR132+$BQ132+$BO132)</f>
        <v>134.23924171001863</v>
      </c>
      <c r="CN132">
        <f t="shared" si="312"/>
        <v>1.1935391069382555</v>
      </c>
      <c r="CO132">
        <f t="shared" si="313"/>
        <v>0.10961890954393994</v>
      </c>
      <c r="CP132">
        <f t="shared" si="314"/>
        <v>162.1779644925102</v>
      </c>
      <c r="CQ132" s="207">
        <f t="shared" ref="CQ132" si="394" xml:space="preserve"> ($BQ$38-CP132*($BP132+$BR132+$BQ132+$BN132))/($BP132+$BR132+$BQ132+$BO132)</f>
        <v>134.2592252765256</v>
      </c>
      <c r="CR132">
        <f t="shared" si="316"/>
        <v>1.1934696071832136</v>
      </c>
      <c r="CS132">
        <f t="shared" si="317"/>
        <v>1.3413482593618298E-2</v>
      </c>
      <c r="CT132">
        <f t="shared" si="318"/>
        <v>162.17349333164566</v>
      </c>
      <c r="CU132" s="636">
        <f t="shared" si="319"/>
        <v>134.26167055921098</v>
      </c>
      <c r="CV132" s="575">
        <f t="shared" si="320"/>
        <v>1.1934611028680511</v>
      </c>
      <c r="CW132">
        <f t="shared" si="321"/>
        <v>1.6420340188805227E-3</v>
      </c>
      <c r="CX132" s="576">
        <f t="shared" si="322"/>
        <v>0.33914500514044388</v>
      </c>
    </row>
    <row r="133" spans="1:102" x14ac:dyDescent="0.25">
      <c r="A133" s="186">
        <v>89</v>
      </c>
      <c r="B133" s="187">
        <f>A133/100*'Inputs-Imperial'!$E$5</f>
        <v>21.432415383999999</v>
      </c>
      <c r="C133" s="188">
        <f>'Inputs-Imperial'!$E$10+('Inputs-Imperial'!$E$9-'Inputs-Imperial'!$E$10)*(100-A133)/100</f>
        <v>3.5012304270000003</v>
      </c>
      <c r="D133" s="187">
        <f t="shared" si="323"/>
        <v>0.24081365600000026</v>
      </c>
      <c r="E133" s="188">
        <f t="shared" si="324"/>
        <v>0.84528716741565935</v>
      </c>
      <c r="F133" s="423">
        <f>Sizing!F149</f>
        <v>64.056476184030103</v>
      </c>
      <c r="G133" s="423">
        <f>Sizing!G149</f>
        <v>640.56476184030112</v>
      </c>
      <c r="H133" s="423">
        <f>Sizing!H149</f>
        <v>864.42682303196057</v>
      </c>
      <c r="I133" s="423">
        <f>Sizing!I149</f>
        <v>-881.72800540231628</v>
      </c>
      <c r="J133" s="189">
        <f>Sizing!J149</f>
        <v>86.442682303196037</v>
      </c>
      <c r="K133" s="128">
        <v>89</v>
      </c>
      <c r="L133" s="12">
        <f t="shared" si="265"/>
        <v>257.188984608</v>
      </c>
      <c r="M133" s="11">
        <f t="shared" si="265"/>
        <v>42.014765124000007</v>
      </c>
      <c r="N133" s="11">
        <f t="shared" si="265"/>
        <v>2.8897638720000032</v>
      </c>
      <c r="O133" s="152">
        <f t="shared" si="325"/>
        <v>121.72135210785494</v>
      </c>
      <c r="P133" s="170">
        <f t="shared" si="260"/>
        <v>7.5626577223200009</v>
      </c>
      <c r="Q133" s="8">
        <f t="shared" si="261"/>
        <v>3.7813288611600004</v>
      </c>
      <c r="R133" s="170">
        <f>Sizing!X149</f>
        <v>10.503691281000002</v>
      </c>
      <c r="S133" s="8">
        <f>Sizing!Y149</f>
        <v>31.511073843000005</v>
      </c>
      <c r="T133" s="8">
        <f>Sizing!Z149</f>
        <v>21.007382562000004</v>
      </c>
      <c r="U133" s="17">
        <f>Sizing!CN149</f>
        <v>0.75</v>
      </c>
      <c r="V133" s="17">
        <f>Sizing!CO149</f>
        <v>2.3622047244094495E-2</v>
      </c>
      <c r="W133" s="17">
        <f>Sizing!CP149</f>
        <v>1.5748031496062995E-2</v>
      </c>
      <c r="X133" s="170">
        <f>Sizing!DU149</f>
        <v>0.12489389406218925</v>
      </c>
      <c r="Y133" s="170">
        <f>Sizing!DV149</f>
        <v>0.35340330227968902</v>
      </c>
      <c r="Z133" s="170">
        <f>Sizing!DW149</f>
        <v>0.12489389406218925</v>
      </c>
      <c r="AA133" s="272">
        <f>Sizing!DX149</f>
        <v>0.35340330227968902</v>
      </c>
      <c r="AB133" s="272">
        <f t="shared" si="266"/>
        <v>5.6305142625599967</v>
      </c>
      <c r="AC133" s="216">
        <f>Sizing!GJ149</f>
        <v>0.25</v>
      </c>
      <c r="AD133" s="216">
        <f>Sizing!GK149</f>
        <v>2.3622047244094495E-2</v>
      </c>
      <c r="AE133" s="17">
        <f>Sizing!GL149</f>
        <v>2.3622047244094495E-2</v>
      </c>
      <c r="AF133" s="170">
        <f>Sizing!JC149</f>
        <v>2.1476328638547018E-3</v>
      </c>
      <c r="AG133" s="272">
        <f>Sizing!JD149</f>
        <v>4.6342559962249626E-2</v>
      </c>
      <c r="AH133" s="170">
        <f>Sizing!JC149</f>
        <v>2.1476328638547018E-3</v>
      </c>
      <c r="AI133" s="272">
        <f>Sizing!JD149</f>
        <v>4.6342559962249626E-2</v>
      </c>
      <c r="AJ133" s="216">
        <f>Sizing!IT149</f>
        <v>0.25</v>
      </c>
      <c r="AK133" s="216">
        <f>Sizing!IU149</f>
        <v>1.5748031496062995E-2</v>
      </c>
      <c r="AL133" s="17">
        <f>Sizing!IV149</f>
        <v>1.5748031496062995E-2</v>
      </c>
      <c r="AM133" s="170">
        <f t="shared" si="267"/>
        <v>0</v>
      </c>
      <c r="AN133" s="11">
        <f t="shared" si="268"/>
        <v>0.98986812846663086</v>
      </c>
      <c r="AO133" s="11">
        <f t="shared" si="269"/>
        <v>0.98986812846663086</v>
      </c>
      <c r="AP133" s="11">
        <f t="shared" si="270"/>
        <v>1.9797362569332617</v>
      </c>
      <c r="AQ133" s="555">
        <f t="shared" si="271"/>
        <v>31585068.595639504</v>
      </c>
      <c r="AR133" s="311">
        <f t="shared" si="272"/>
        <v>10.858820397166744</v>
      </c>
      <c r="AS133" s="11">
        <f t="shared" si="273"/>
        <v>3.1502408828191233E-2</v>
      </c>
      <c r="AT133" s="11">
        <f t="shared" si="274"/>
        <v>1.8319977204251283</v>
      </c>
      <c r="AU133" s="11">
        <f t="shared" si="275"/>
        <v>1.8635001292533195</v>
      </c>
      <c r="AV133" s="555">
        <f t="shared" si="276"/>
        <v>29730616.492130727</v>
      </c>
      <c r="AW133" s="138">
        <f t="shared" si="277"/>
        <v>3.9370078740157494E-2</v>
      </c>
      <c r="AX133" s="138">
        <f t="shared" si="278"/>
        <v>4.724409448818899E-2</v>
      </c>
      <c r="AY133" s="554">
        <f t="shared" si="279"/>
        <v>3.1496062992125991E-2</v>
      </c>
      <c r="AZ133" s="12">
        <f t="shared" si="280"/>
        <v>748.66498428440934</v>
      </c>
      <c r="BA133" s="11">
        <f t="shared" si="281"/>
        <v>134.56603741660487</v>
      </c>
      <c r="BB133">
        <f t="shared" si="282"/>
        <v>655.94262481695068</v>
      </c>
      <c r="BC133" s="555">
        <f t="shared" si="283"/>
        <v>2473551766.8732233</v>
      </c>
      <c r="BD133">
        <f t="shared" si="284"/>
        <v>89</v>
      </c>
      <c r="BE133" s="207">
        <f t="shared" si="285"/>
        <v>3.5012304270000003</v>
      </c>
      <c r="BF133" s="207">
        <f>'Inputs-Imperial'!$E$15*BE133</f>
        <v>2.6259228202500005</v>
      </c>
      <c r="BG133" s="207">
        <f>'Inputs-Imperial'!$E$12*BE133</f>
        <v>0.87530760675000008</v>
      </c>
      <c r="BH133">
        <f>'Inputs-Imperial'!$E$11*BE133</f>
        <v>0.63022147686000007</v>
      </c>
      <c r="BI133">
        <f t="shared" si="286"/>
        <v>0.66845081990566035</v>
      </c>
      <c r="BJ133">
        <f>'Weight '!U135+'Weight '!V135 /12</f>
        <v>2.4934383202099744E-2</v>
      </c>
      <c r="BK133">
        <f>('Weight '!AK135+'Weight '!AL135)/12</f>
        <v>3.9370078740157488E-3</v>
      </c>
      <c r="BL133">
        <f>'Weight '!AG135/12</f>
        <v>2.9450275189974087E-2</v>
      </c>
      <c r="BM133">
        <f>'Weight '!AI135/12</f>
        <v>2.9450275189974087E-2</v>
      </c>
      <c r="BN133" s="554">
        <f t="shared" si="287"/>
        <v>1.8071194404375093</v>
      </c>
      <c r="BO133" s="554">
        <f t="shared" si="288"/>
        <v>3.8355364770486733</v>
      </c>
      <c r="BP133">
        <f t="shared" si="289"/>
        <v>2.9450275189974087E-2</v>
      </c>
      <c r="BQ133">
        <f t="shared" si="289"/>
        <v>2.9450275189974087E-2</v>
      </c>
      <c r="BR133">
        <f t="shared" si="290"/>
        <v>0.57132092648005184</v>
      </c>
      <c r="BS133">
        <f t="shared" si="291"/>
        <v>0.41372823947458293</v>
      </c>
      <c r="BT133">
        <f t="shared" si="292"/>
        <v>0.96488136267235936</v>
      </c>
      <c r="BU133">
        <f t="shared" si="293"/>
        <v>0.5941351287698019</v>
      </c>
      <c r="BV133">
        <f t="shared" si="294"/>
        <v>205.14159363245469</v>
      </c>
      <c r="BW133" s="207">
        <f t="shared" si="295"/>
        <v>111.96307662899038</v>
      </c>
      <c r="BX133">
        <f t="shared" si="296"/>
        <v>1.2666449789845917</v>
      </c>
      <c r="BY133" s="575">
        <f t="shared" si="297"/>
        <v>-43.628889502610775</v>
      </c>
      <c r="BZ133">
        <f t="shared" si="298"/>
        <v>219.68455679999161</v>
      </c>
      <c r="CA133" s="207">
        <f t="shared" si="299"/>
        <v>104.02575455447804</v>
      </c>
      <c r="CB133">
        <f t="shared" si="300"/>
        <v>1.2939957963591391</v>
      </c>
      <c r="CC133">
        <f t="shared" si="301"/>
        <v>160.39547741263402</v>
      </c>
      <c r="CD133">
        <f t="shared" si="302"/>
        <v>166.21939766244694</v>
      </c>
      <c r="CE133" s="207">
        <f t="shared" si="303"/>
        <v>133.2062030608069</v>
      </c>
      <c r="CF133">
        <f t="shared" si="304"/>
        <v>1.1934443621963751</v>
      </c>
      <c r="CG133">
        <f t="shared" si="305"/>
        <v>8.4290638290428852</v>
      </c>
      <c r="CH133">
        <f t="shared" si="306"/>
        <v>163.40970971943264</v>
      </c>
      <c r="CI133" s="207">
        <f t="shared" ref="CI133" si="395" xml:space="preserve"> ($BQ$38-CH133*($BP133+$BR133+$BQ133+$BN133))/($BP133+$BR133+$BQ133+$BO133)</f>
        <v>134.73968684094601</v>
      </c>
      <c r="CJ133">
        <f t="shared" si="308"/>
        <v>1.1881602078652693</v>
      </c>
      <c r="CK133">
        <f t="shared" si="309"/>
        <v>1.0376920509288379</v>
      </c>
      <c r="CL133">
        <f t="shared" si="310"/>
        <v>163.06381236912304</v>
      </c>
      <c r="CM133" s="207">
        <f t="shared" ref="CM133" si="396" xml:space="preserve"> ($BQ$38-CL133*($BP133+$BR133+$BQ133+$BN133))/($BP133+$BR133+$BQ133+$BO133)</f>
        <v>134.92847221037169</v>
      </c>
      <c r="CN133">
        <f t="shared" si="312"/>
        <v>1.1875096818926962</v>
      </c>
      <c r="CO133">
        <f t="shared" si="313"/>
        <v>0.13185461804708076</v>
      </c>
      <c r="CP133">
        <f t="shared" si="314"/>
        <v>163.01986082977402</v>
      </c>
      <c r="CQ133" s="207">
        <f t="shared" ref="CQ133" si="397" xml:space="preserve"> ($BQ$38-CP133*($BP133+$BR133+$BQ133+$BN133))/($BP133+$BR133+$BQ133+$BO133)</f>
        <v>134.95246027384025</v>
      </c>
      <c r="CR133">
        <f t="shared" si="316"/>
        <v>1.1874270226359673</v>
      </c>
      <c r="CS133">
        <f t="shared" si="317"/>
        <v>1.6818591553894535E-2</v>
      </c>
      <c r="CT133">
        <f t="shared" si="318"/>
        <v>163.0142546325894</v>
      </c>
      <c r="CU133" s="636">
        <f t="shared" si="319"/>
        <v>134.95552004867119</v>
      </c>
      <c r="CV133" s="575">
        <f t="shared" si="320"/>
        <v>1.1874164791123678</v>
      </c>
      <c r="CW133">
        <f t="shared" si="321"/>
        <v>2.1463246232649169E-3</v>
      </c>
      <c r="CX133" s="576">
        <f t="shared" si="322"/>
        <v>0.33914262539121015</v>
      </c>
    </row>
    <row r="134" spans="1:102" x14ac:dyDescent="0.25">
      <c r="A134" s="186">
        <v>90</v>
      </c>
      <c r="B134" s="187">
        <f>A134/100*'Inputs-Imperial'!$E$5</f>
        <v>21.673229039999999</v>
      </c>
      <c r="C134" s="188">
        <f>'Inputs-Imperial'!$E$10+('Inputs-Imperial'!$E$9-'Inputs-Imperial'!$E$10)*(100-A134)/100</f>
        <v>3.4834318700000004</v>
      </c>
      <c r="D134" s="187">
        <f t="shared" si="323"/>
        <v>0.24081365600000026</v>
      </c>
      <c r="E134" s="188">
        <f t="shared" si="324"/>
        <v>0.84100103183296493</v>
      </c>
      <c r="F134" s="423">
        <f>Sizing!F150</f>
        <v>57.258823884279124</v>
      </c>
      <c r="G134" s="423">
        <f>Sizing!G150</f>
        <v>572.58823884279127</v>
      </c>
      <c r="H134" s="423">
        <f>Sizing!H150</f>
        <v>710.17008082842813</v>
      </c>
      <c r="I134" s="423">
        <f>Sizing!I150</f>
        <v>-773.08426899028905</v>
      </c>
      <c r="J134" s="189">
        <f>Sizing!J150</f>
        <v>71.017008082842807</v>
      </c>
      <c r="K134" s="128">
        <v>90</v>
      </c>
      <c r="L134" s="12">
        <f t="shared" si="265"/>
        <v>260.07874848</v>
      </c>
      <c r="M134" s="11">
        <f t="shared" si="265"/>
        <v>41.801182440000005</v>
      </c>
      <c r="N134" s="11">
        <f t="shared" si="265"/>
        <v>2.8897638720000032</v>
      </c>
      <c r="O134" s="152">
        <f t="shared" si="325"/>
        <v>121.10414858394694</v>
      </c>
      <c r="P134" s="170">
        <f t="shared" si="260"/>
        <v>7.5242128392000005</v>
      </c>
      <c r="Q134" s="8">
        <f t="shared" si="261"/>
        <v>3.7621064196000003</v>
      </c>
      <c r="R134" s="170">
        <f>Sizing!X150</f>
        <v>10.450295610000001</v>
      </c>
      <c r="S134" s="8">
        <f>Sizing!Y150</f>
        <v>31.350886830000004</v>
      </c>
      <c r="T134" s="8">
        <f>Sizing!Z150</f>
        <v>20.900591220000003</v>
      </c>
      <c r="U134" s="17">
        <f>Sizing!CN150</f>
        <v>0.75</v>
      </c>
      <c r="V134" s="17">
        <f>Sizing!CO150</f>
        <v>2.3622047244094495E-2</v>
      </c>
      <c r="W134" s="17">
        <f>Sizing!CP150</f>
        <v>1.5748031496062995E-2</v>
      </c>
      <c r="X134" s="170">
        <f>Sizing!DU150</f>
        <v>2.9973794920998782E-2</v>
      </c>
      <c r="Y134" s="170">
        <f>Sizing!DV150</f>
        <v>0.17312941668300849</v>
      </c>
      <c r="Z134" s="170">
        <f>Sizing!DW150</f>
        <v>2.9973794920998782E-2</v>
      </c>
      <c r="AA134" s="272">
        <f>Sizing!DX150</f>
        <v>0.17312941668300849</v>
      </c>
      <c r="AB134" s="272">
        <f t="shared" si="266"/>
        <v>5.7723432650366764</v>
      </c>
      <c r="AC134" s="216">
        <f>Sizing!GJ150</f>
        <v>0.25</v>
      </c>
      <c r="AD134" s="216">
        <f>Sizing!GK150</f>
        <v>2.3622047244094495E-2</v>
      </c>
      <c r="AE134" s="17">
        <f>Sizing!GL150</f>
        <v>2.3622047244094495E-2</v>
      </c>
      <c r="AF134" s="170">
        <f>Sizing!JC150</f>
        <v>5.2711395752220482E-4</v>
      </c>
      <c r="AG134" s="272">
        <f>Sizing!JD150</f>
        <v>2.2958962466152619E-2</v>
      </c>
      <c r="AH134" s="170">
        <f>Sizing!JC150</f>
        <v>5.2711395752220482E-4</v>
      </c>
      <c r="AI134" s="272">
        <f>Sizing!JD150</f>
        <v>2.2958962466152619E-2</v>
      </c>
      <c r="AJ134" s="216">
        <f>Sizing!IT150</f>
        <v>0.25</v>
      </c>
      <c r="AK134" s="216">
        <f>Sizing!IU150</f>
        <v>1.5748031496062995E-2</v>
      </c>
      <c r="AL134" s="17">
        <f>Sizing!IV150</f>
        <v>1.5748031496062995E-2</v>
      </c>
      <c r="AM134" s="170">
        <f t="shared" si="267"/>
        <v>0</v>
      </c>
      <c r="AN134" s="11">
        <f t="shared" si="268"/>
        <v>0.24968131281125489</v>
      </c>
      <c r="AO134" s="11">
        <f t="shared" si="269"/>
        <v>0.24968131281125489</v>
      </c>
      <c r="AP134" s="11">
        <f t="shared" si="270"/>
        <v>0.49936262562250977</v>
      </c>
      <c r="AQ134" s="555">
        <f t="shared" si="271"/>
        <v>7966921.2144541331</v>
      </c>
      <c r="AR134" s="311">
        <f t="shared" si="272"/>
        <v>10.811497743234998</v>
      </c>
      <c r="AS134" s="11">
        <f t="shared" si="273"/>
        <v>7.821181068119628E-3</v>
      </c>
      <c r="AT134" s="11">
        <f t="shared" si="274"/>
        <v>0.44474344499963475</v>
      </c>
      <c r="AU134" s="11">
        <f t="shared" si="275"/>
        <v>0.45256462606775438</v>
      </c>
      <c r="AV134" s="555">
        <f t="shared" si="276"/>
        <v>7220297.505917646</v>
      </c>
      <c r="AW134" s="138">
        <f t="shared" si="277"/>
        <v>3.9370078740157494E-2</v>
      </c>
      <c r="AX134" s="138">
        <f t="shared" si="278"/>
        <v>4.724409448818899E-2</v>
      </c>
      <c r="AY134" s="554">
        <f t="shared" si="279"/>
        <v>3.1496062992125991E-2</v>
      </c>
      <c r="AZ134" s="12">
        <f t="shared" si="280"/>
        <v>741.07263219085189</v>
      </c>
      <c r="BA134" s="11">
        <f t="shared" si="281"/>
        <v>133.88196896205423</v>
      </c>
      <c r="BB134">
        <f t="shared" si="282"/>
        <v>645.98990920203482</v>
      </c>
      <c r="BC134" s="555">
        <f t="shared" si="283"/>
        <v>2436020195.7219634</v>
      </c>
      <c r="BD134">
        <f t="shared" si="284"/>
        <v>90</v>
      </c>
      <c r="BE134" s="207">
        <f t="shared" si="285"/>
        <v>3.4834318700000004</v>
      </c>
      <c r="BF134" s="207">
        <f>'Inputs-Imperial'!$E$15*BE134</f>
        <v>2.6125739025000003</v>
      </c>
      <c r="BG134" s="207">
        <f>'Inputs-Imperial'!$E$12*BE134</f>
        <v>0.87085796750000011</v>
      </c>
      <c r="BH134">
        <f>'Inputs-Imperial'!$E$11*BE134</f>
        <v>0.62701773660000004</v>
      </c>
      <c r="BI134">
        <f t="shared" si="286"/>
        <v>0.66505274021115079</v>
      </c>
      <c r="BJ134">
        <f>'Weight '!U136+'Weight '!V136 /12</f>
        <v>2.4934383202099744E-2</v>
      </c>
      <c r="BK134">
        <f>('Weight '!AK136+'Weight '!AL136)/12</f>
        <v>3.9370078740157488E-3</v>
      </c>
      <c r="BL134">
        <f>'Weight '!AG136/12</f>
        <v>1.4427451390250708E-2</v>
      </c>
      <c r="BM134">
        <f>'Weight '!AI136/12</f>
        <v>1.4427451390250708E-2</v>
      </c>
      <c r="BN134" s="554">
        <f t="shared" si="287"/>
        <v>1.7946936818972763</v>
      </c>
      <c r="BO134" s="554">
        <f t="shared" si="288"/>
        <v>3.8192777102276825</v>
      </c>
      <c r="BP134">
        <f t="shared" si="289"/>
        <v>1.4427451390250708E-2</v>
      </c>
      <c r="BQ134">
        <f t="shared" si="289"/>
        <v>1.4427451390250708E-2</v>
      </c>
      <c r="BR134">
        <f t="shared" si="290"/>
        <v>0.59816283381949864</v>
      </c>
      <c r="BS134">
        <f t="shared" si="291"/>
        <v>0.40953254376144482</v>
      </c>
      <c r="BT134">
        <f t="shared" si="292"/>
        <v>0.9550963197122937</v>
      </c>
      <c r="BU134">
        <f t="shared" si="293"/>
        <v>0.58214576015488495</v>
      </c>
      <c r="BV134">
        <f t="shared" si="294"/>
        <v>206.4655582745944</v>
      </c>
      <c r="BW134" s="207">
        <f t="shared" si="295"/>
        <v>112.45316600738646</v>
      </c>
      <c r="BX134">
        <f t="shared" si="296"/>
        <v>1.2605884718213423</v>
      </c>
      <c r="BY134" s="575">
        <f t="shared" si="297"/>
        <v>-43.349775021710386</v>
      </c>
      <c r="BZ134">
        <f t="shared" si="298"/>
        <v>220.9154832818312</v>
      </c>
      <c r="CA134" s="207">
        <f t="shared" si="299"/>
        <v>104.58289539560748</v>
      </c>
      <c r="CB134">
        <f t="shared" si="300"/>
        <v>1.2874576339049937</v>
      </c>
      <c r="CC134">
        <f t="shared" si="301"/>
        <v>160.52922625207506</v>
      </c>
      <c r="CD134">
        <f t="shared" si="302"/>
        <v>167.40574119780618</v>
      </c>
      <c r="CE134" s="207">
        <f t="shared" si="303"/>
        <v>133.72741693166134</v>
      </c>
      <c r="CF134">
        <f t="shared" si="304"/>
        <v>1.187958021803893</v>
      </c>
      <c r="CG134">
        <f t="shared" si="305"/>
        <v>9.2638440872310852</v>
      </c>
      <c r="CH134">
        <f t="shared" si="306"/>
        <v>164.31779316872914</v>
      </c>
      <c r="CI134" s="207">
        <f t="shared" ref="CI134" si="398" xml:space="preserve"> ($BQ$38-CH134*($BP134+$BR134+$BQ134+$BN134))/($BP134+$BR134+$BQ134+$BO134)</f>
        <v>135.4092932467131</v>
      </c>
      <c r="CJ134">
        <f t="shared" si="308"/>
        <v>1.1822160836237565</v>
      </c>
      <c r="CK134">
        <f t="shared" si="309"/>
        <v>1.1845601461869215</v>
      </c>
      <c r="CL134">
        <f t="shared" si="310"/>
        <v>163.92293978666683</v>
      </c>
      <c r="CM134" s="207">
        <f t="shared" ref="CM134" si="399" xml:space="preserve"> ($BQ$38-CL134*($BP134+$BR134+$BQ134+$BN134))/($BP134+$BR134+$BQ134+$BO134)</f>
        <v>135.62435339181769</v>
      </c>
      <c r="CN134">
        <f t="shared" si="312"/>
        <v>1.1814818666976066</v>
      </c>
      <c r="CO134">
        <f t="shared" si="313"/>
        <v>0.15658299793203767</v>
      </c>
      <c r="CP134">
        <f t="shared" si="314"/>
        <v>163.87074545402282</v>
      </c>
      <c r="CQ134" s="207">
        <f t="shared" ref="CQ134" si="400" xml:space="preserve"> ($BQ$38-CP134*($BP134+$BR134+$BQ134+$BN134))/($BP134+$BR134+$BQ134+$BO134)</f>
        <v>135.65278146477334</v>
      </c>
      <c r="CR134">
        <f t="shared" si="316"/>
        <v>1.1813848130462583</v>
      </c>
      <c r="CS134">
        <f t="shared" si="317"/>
        <v>2.0784951946216879E-2</v>
      </c>
      <c r="CT134">
        <f t="shared" si="318"/>
        <v>163.86381713670741</v>
      </c>
      <c r="CU134" s="636">
        <f t="shared" si="319"/>
        <v>135.65655502983537</v>
      </c>
      <c r="CV134" s="575">
        <f t="shared" si="320"/>
        <v>1.1813719300672241</v>
      </c>
      <c r="CW134">
        <f t="shared" si="321"/>
        <v>2.7605344392149789E-3</v>
      </c>
      <c r="CX134" s="576">
        <f t="shared" si="322"/>
        <v>0.33914024277076615</v>
      </c>
    </row>
    <row r="135" spans="1:102" x14ac:dyDescent="0.25">
      <c r="A135" s="186">
        <v>91</v>
      </c>
      <c r="B135" s="187">
        <f>A135/100*'Inputs-Imperial'!$E$5</f>
        <v>21.914042695999999</v>
      </c>
      <c r="C135" s="188">
        <f>'Inputs-Imperial'!$E$10+('Inputs-Imperial'!$E$9-'Inputs-Imperial'!$E$10)*(100-A135)/100</f>
        <v>3.4656333130000001</v>
      </c>
      <c r="D135" s="187">
        <f t="shared" si="323"/>
        <v>0.24081365600000026</v>
      </c>
      <c r="E135" s="188">
        <f t="shared" si="324"/>
        <v>0.8367148962502704</v>
      </c>
      <c r="F135" s="423">
        <f>Sizing!F151</f>
        <v>50.609573406962888</v>
      </c>
      <c r="G135" s="423">
        <f>Sizing!G151</f>
        <v>506.09573406962892</v>
      </c>
      <c r="H135" s="423">
        <f>Sizing!H151</f>
        <v>572.28301365009418</v>
      </c>
      <c r="I135" s="423">
        <f>Sizing!I151</f>
        <v>-669.21652282427499</v>
      </c>
      <c r="J135" s="189">
        <f>Sizing!J151</f>
        <v>57.228301365009415</v>
      </c>
      <c r="K135" s="128">
        <v>91</v>
      </c>
      <c r="L135" s="12">
        <f t="shared" si="265"/>
        <v>262.968512352</v>
      </c>
      <c r="M135" s="11">
        <f t="shared" si="265"/>
        <v>41.587599756000003</v>
      </c>
      <c r="N135" s="11">
        <f t="shared" si="265"/>
        <v>2.8897638720000032</v>
      </c>
      <c r="O135" s="152">
        <f t="shared" si="325"/>
        <v>120.48694506003895</v>
      </c>
      <c r="P135" s="170">
        <f t="shared" si="260"/>
        <v>7.4857679560800001</v>
      </c>
      <c r="Q135" s="8">
        <f t="shared" si="261"/>
        <v>3.7428839780400001</v>
      </c>
      <c r="R135" s="170">
        <f>Sizing!X151</f>
        <v>10.396899939000001</v>
      </c>
      <c r="S135" s="8">
        <f>Sizing!Y151</f>
        <v>31.190699817000002</v>
      </c>
      <c r="T135" s="8">
        <f>Sizing!Z151</f>
        <v>20.793799878000002</v>
      </c>
      <c r="U135" s="17">
        <f>Sizing!CN151</f>
        <v>0.75</v>
      </c>
      <c r="V135" s="17">
        <f>Sizing!CO151</f>
        <v>2.3622047244094495E-2</v>
      </c>
      <c r="W135" s="17">
        <f>Sizing!CP151</f>
        <v>1.5748031496062995E-2</v>
      </c>
      <c r="X135" s="170">
        <f>Sizing!DU151</f>
        <v>2.9973794920998782E-2</v>
      </c>
      <c r="Y135" s="170">
        <f>Sizing!DV151</f>
        <v>0.17312941668300849</v>
      </c>
      <c r="Z135" s="170">
        <f>Sizing!DW151</f>
        <v>2.9973794920998782E-2</v>
      </c>
      <c r="AA135" s="272">
        <f>Sizing!DX151</f>
        <v>0.17312941668300849</v>
      </c>
      <c r="AB135" s="272">
        <f t="shared" si="266"/>
        <v>5.733898381916676</v>
      </c>
      <c r="AC135" s="216">
        <f>Sizing!GJ151</f>
        <v>0.25</v>
      </c>
      <c r="AD135" s="216">
        <f>Sizing!GK151</f>
        <v>2.3622047244094495E-2</v>
      </c>
      <c r="AE135" s="17">
        <f>Sizing!GL151</f>
        <v>2.3622047244094495E-2</v>
      </c>
      <c r="AF135" s="170">
        <f>Sizing!JC151</f>
        <v>5.2711395752220482E-4</v>
      </c>
      <c r="AG135" s="272">
        <f>Sizing!JD151</f>
        <v>2.2958962466152619E-2</v>
      </c>
      <c r="AH135" s="170">
        <f>Sizing!JC151</f>
        <v>5.2711395752220482E-4</v>
      </c>
      <c r="AI135" s="272">
        <f>Sizing!JD151</f>
        <v>2.2958962466152619E-2</v>
      </c>
      <c r="AJ135" s="216">
        <f>Sizing!IT151</f>
        <v>0.25</v>
      </c>
      <c r="AK135" s="216">
        <f>Sizing!IU151</f>
        <v>1.5748031496062995E-2</v>
      </c>
      <c r="AL135" s="17">
        <f>Sizing!IV151</f>
        <v>1.5748031496062995E-2</v>
      </c>
      <c r="AM135" s="170">
        <f t="shared" si="267"/>
        <v>0</v>
      </c>
      <c r="AN135" s="11">
        <f t="shared" si="268"/>
        <v>0.24636653994098465</v>
      </c>
      <c r="AO135" s="11">
        <f t="shared" si="269"/>
        <v>0.24636653994098465</v>
      </c>
      <c r="AP135" s="11">
        <f t="shared" si="270"/>
        <v>0.49273307988196929</v>
      </c>
      <c r="AQ135" s="555">
        <f t="shared" si="271"/>
        <v>7861152.2483913172</v>
      </c>
      <c r="AR135" s="311">
        <f t="shared" si="272"/>
        <v>10.756256513890001</v>
      </c>
      <c r="AS135" s="11">
        <f t="shared" si="273"/>
        <v>7.7414607766740562E-3</v>
      </c>
      <c r="AT135" s="11">
        <f t="shared" si="274"/>
        <v>0.44021023233711248</v>
      </c>
      <c r="AU135" s="11">
        <f t="shared" si="275"/>
        <v>0.44795169311378652</v>
      </c>
      <c r="AV135" s="555">
        <f t="shared" si="276"/>
        <v>7146701.9432421103</v>
      </c>
      <c r="AW135" s="138">
        <f t="shared" si="277"/>
        <v>3.9370078740157494E-2</v>
      </c>
      <c r="AX135" s="138">
        <f t="shared" si="278"/>
        <v>4.724409448818899E-2</v>
      </c>
      <c r="AY135" s="554">
        <f t="shared" si="279"/>
        <v>3.1496062992125991E-2</v>
      </c>
      <c r="AZ135" s="12">
        <f t="shared" si="280"/>
        <v>733.51897428342829</v>
      </c>
      <c r="BA135" s="11">
        <f t="shared" si="281"/>
        <v>133.19790050750362</v>
      </c>
      <c r="BB135">
        <f t="shared" si="282"/>
        <v>636.13838226701944</v>
      </c>
      <c r="BC135" s="555">
        <f t="shared" si="283"/>
        <v>2398870205.8683434</v>
      </c>
      <c r="BD135">
        <f t="shared" si="284"/>
        <v>91</v>
      </c>
      <c r="BE135" s="207">
        <f t="shared" si="285"/>
        <v>3.4656333130000001</v>
      </c>
      <c r="BF135" s="207">
        <f>'Inputs-Imperial'!$E$15*BE135</f>
        <v>2.5992249847500002</v>
      </c>
      <c r="BG135" s="207">
        <f>'Inputs-Imperial'!$E$12*BE135</f>
        <v>0.86640832825000003</v>
      </c>
      <c r="BH135">
        <f>'Inputs-Imperial'!$E$11*BE135</f>
        <v>0.62381399634000001</v>
      </c>
      <c r="BI135">
        <f t="shared" si="286"/>
        <v>0.66165466051664124</v>
      </c>
      <c r="BJ135">
        <f>'Weight '!U137+'Weight '!V137 /12</f>
        <v>2.4934383202099744E-2</v>
      </c>
      <c r="BK135">
        <f>('Weight '!AK137+'Weight '!AL137)/12</f>
        <v>3.9370078740157488E-3</v>
      </c>
      <c r="BL135">
        <f>'Weight '!AG137/12</f>
        <v>1.4427451390250708E-2</v>
      </c>
      <c r="BM135">
        <f>'Weight '!AI137/12</f>
        <v>1.4427451390250708E-2</v>
      </c>
      <c r="BN135" s="554">
        <f t="shared" si="287"/>
        <v>1.7822690044038623</v>
      </c>
      <c r="BO135" s="554">
        <f t="shared" si="288"/>
        <v>3.8030178623598738</v>
      </c>
      <c r="BP135">
        <f t="shared" si="289"/>
        <v>1.4427451390250708E-2</v>
      </c>
      <c r="BQ135">
        <f t="shared" si="289"/>
        <v>1.4427451390250708E-2</v>
      </c>
      <c r="BR135">
        <f t="shared" si="290"/>
        <v>0.59495909355949861</v>
      </c>
      <c r="BS135">
        <f t="shared" si="291"/>
        <v>0.4053582312809183</v>
      </c>
      <c r="BT135">
        <f t="shared" si="292"/>
        <v>0.94536114591911513</v>
      </c>
      <c r="BU135">
        <f t="shared" si="293"/>
        <v>0.57033876843611375</v>
      </c>
      <c r="BV135">
        <f t="shared" si="294"/>
        <v>207.80663004784975</v>
      </c>
      <c r="BW135" s="207">
        <f t="shared" si="295"/>
        <v>112.94759230969439</v>
      </c>
      <c r="BX135">
        <f t="shared" si="296"/>
        <v>1.2545322177948937</v>
      </c>
      <c r="BY135" s="575">
        <f t="shared" si="297"/>
        <v>-43.067627762158978</v>
      </c>
      <c r="BZ135">
        <f t="shared" si="298"/>
        <v>222.16250596856941</v>
      </c>
      <c r="CA135" s="207">
        <f t="shared" si="299"/>
        <v>105.14484982564254</v>
      </c>
      <c r="CB135">
        <f t="shared" si="300"/>
        <v>1.2809235818903861</v>
      </c>
      <c r="CC135">
        <f t="shared" si="301"/>
        <v>160.67116935004279</v>
      </c>
      <c r="CD135">
        <f t="shared" si="302"/>
        <v>168.60544951855513</v>
      </c>
      <c r="CE135" s="207">
        <f t="shared" si="303"/>
        <v>134.25431844957728</v>
      </c>
      <c r="CF135">
        <f t="shared" si="304"/>
        <v>1.182466073309167</v>
      </c>
      <c r="CG135">
        <f t="shared" si="305"/>
        <v>10.100460779448548</v>
      </c>
      <c r="CH135">
        <f t="shared" si="306"/>
        <v>165.23862925873894</v>
      </c>
      <c r="CI135" s="207">
        <f t="shared" ref="CI135" si="401" xml:space="preserve"> ($BQ$38-CH135*($BP135+$BR135+$BQ135+$BN135))/($BP135+$BR135+$BQ135+$BO135)</f>
        <v>136.08426122858378</v>
      </c>
      <c r="CJ135">
        <f t="shared" si="308"/>
        <v>1.1762766230929913</v>
      </c>
      <c r="CK135">
        <f t="shared" si="309"/>
        <v>1.3396121531316805</v>
      </c>
      <c r="CL135">
        <f t="shared" si="310"/>
        <v>164.79209187436172</v>
      </c>
      <c r="CM135" s="207">
        <f t="shared" ref="CM135" si="402" xml:space="preserve"> ($BQ$38-CL135*($BP135+$BR135+$BQ135+$BN135))/($BP135+$BR135+$BQ135+$BO135)</f>
        <v>136.32696437251172</v>
      </c>
      <c r="CN135">
        <f t="shared" si="312"/>
        <v>1.1754557236398036</v>
      </c>
      <c r="CO135">
        <f t="shared" si="313"/>
        <v>0.183931940032803</v>
      </c>
      <c r="CP135">
        <f t="shared" si="314"/>
        <v>164.7307812276841</v>
      </c>
      <c r="CQ135" s="207">
        <f t="shared" ref="CQ135" si="403" xml:space="preserve"> ($BQ$38-CP135*($BP135+$BR135+$BQ135+$BN135))/($BP135+$BR135+$BQ135+$BO135)</f>
        <v>136.36028809237374</v>
      </c>
      <c r="CR135">
        <f t="shared" si="316"/>
        <v>1.1753430121892217</v>
      </c>
      <c r="CS135">
        <f t="shared" si="317"/>
        <v>2.5368774130958727E-2</v>
      </c>
      <c r="CT135">
        <f t="shared" si="318"/>
        <v>164.72232496964045</v>
      </c>
      <c r="CU135" s="636">
        <f t="shared" si="319"/>
        <v>136.36488425942463</v>
      </c>
      <c r="CV135" s="575">
        <f t="shared" si="320"/>
        <v>1.175327466486114</v>
      </c>
      <c r="CW135">
        <f t="shared" si="321"/>
        <v>3.5011519857590656E-3</v>
      </c>
      <c r="CX135" s="576">
        <f t="shared" si="322"/>
        <v>0.33913786033776905</v>
      </c>
    </row>
    <row r="136" spans="1:102" x14ac:dyDescent="0.25">
      <c r="A136" s="186">
        <v>92</v>
      </c>
      <c r="B136" s="187">
        <f>A136/100*'Inputs-Imperial'!$E$5</f>
        <v>22.154856351999999</v>
      </c>
      <c r="C136" s="188">
        <f>'Inputs-Imperial'!$E$10+('Inputs-Imperial'!$E$9-'Inputs-Imperial'!$E$10)*(100-A136)/100</f>
        <v>3.4478347560000002</v>
      </c>
      <c r="D136" s="187">
        <f t="shared" si="323"/>
        <v>0.24081365600000026</v>
      </c>
      <c r="E136" s="188">
        <f t="shared" si="324"/>
        <v>0.8324287606675761</v>
      </c>
      <c r="F136" s="423">
        <f>Sizing!F152</f>
        <v>44.116819987246238</v>
      </c>
      <c r="G136" s="423">
        <f>Sizing!G152</f>
        <v>441.16819987246242</v>
      </c>
      <c r="H136" s="423">
        <f>Sizing!H152</f>
        <v>450.40824964278295</v>
      </c>
      <c r="I136" s="423">
        <f>Sizing!I152</f>
        <v>-570.27529457668811</v>
      </c>
      <c r="J136" s="189">
        <f>Sizing!J152</f>
        <v>45.040824964278293</v>
      </c>
      <c r="K136" s="128">
        <v>92</v>
      </c>
      <c r="L136" s="12">
        <f t="shared" si="265"/>
        <v>265.85827622400001</v>
      </c>
      <c r="M136" s="11">
        <f t="shared" si="265"/>
        <v>41.374017072000001</v>
      </c>
      <c r="N136" s="11">
        <f t="shared" si="265"/>
        <v>2.8897638720000032</v>
      </c>
      <c r="O136" s="152">
        <f t="shared" si="325"/>
        <v>119.86974153613096</v>
      </c>
      <c r="P136" s="170">
        <f t="shared" si="260"/>
        <v>7.4473230729599997</v>
      </c>
      <c r="Q136" s="8">
        <f t="shared" si="261"/>
        <v>3.7236615364799999</v>
      </c>
      <c r="R136" s="170">
        <f>Sizing!X152</f>
        <v>10.343504268</v>
      </c>
      <c r="S136" s="8">
        <f>Sizing!Y152</f>
        <v>31.030512804000001</v>
      </c>
      <c r="T136" s="8">
        <f>Sizing!Z152</f>
        <v>20.687008536</v>
      </c>
      <c r="U136" s="17">
        <f>Sizing!CN152</f>
        <v>0.75</v>
      </c>
      <c r="V136" s="17">
        <f>Sizing!CO152</f>
        <v>2.3622047244094495E-2</v>
      </c>
      <c r="W136" s="17">
        <f>Sizing!CP152</f>
        <v>1.5748031496062995E-2</v>
      </c>
      <c r="X136" s="170">
        <f>Sizing!DU152</f>
        <v>2.9973794920998782E-2</v>
      </c>
      <c r="Y136" s="170">
        <f>Sizing!DV152</f>
        <v>0.17312941668300849</v>
      </c>
      <c r="Z136" s="170">
        <f>Sizing!DW152</f>
        <v>2.9973794920998782E-2</v>
      </c>
      <c r="AA136" s="272">
        <f>Sizing!DX152</f>
        <v>0.17312941668300849</v>
      </c>
      <c r="AB136" s="272">
        <f t="shared" si="266"/>
        <v>5.6954534987966756</v>
      </c>
      <c r="AC136" s="216">
        <f>Sizing!GJ152</f>
        <v>0.25</v>
      </c>
      <c r="AD136" s="216">
        <f>Sizing!GK152</f>
        <v>2.3622047244094495E-2</v>
      </c>
      <c r="AE136" s="17">
        <f>Sizing!GL152</f>
        <v>2.3622047244094495E-2</v>
      </c>
      <c r="AF136" s="170">
        <f>Sizing!JC152</f>
        <v>5.2711395752220482E-4</v>
      </c>
      <c r="AG136" s="272">
        <f>Sizing!JD152</f>
        <v>2.2958962466152619E-2</v>
      </c>
      <c r="AH136" s="170">
        <f>Sizing!JC152</f>
        <v>5.2711395752220482E-4</v>
      </c>
      <c r="AI136" s="272">
        <f>Sizing!JD152</f>
        <v>2.2958962466152619E-2</v>
      </c>
      <c r="AJ136" s="216">
        <f>Sizing!IT152</f>
        <v>0.25</v>
      </c>
      <c r="AK136" s="216">
        <f>Sizing!IU152</f>
        <v>1.5748031496062995E-2</v>
      </c>
      <c r="AL136" s="17">
        <f>Sizing!IV152</f>
        <v>1.5748031496062995E-2</v>
      </c>
      <c r="AM136" s="170">
        <f t="shared" si="267"/>
        <v>0</v>
      </c>
      <c r="AN136" s="11">
        <f t="shared" si="268"/>
        <v>0.2430739178406143</v>
      </c>
      <c r="AO136" s="11">
        <f t="shared" si="269"/>
        <v>0.2430739178406143</v>
      </c>
      <c r="AP136" s="11">
        <f t="shared" si="270"/>
        <v>0.4861478356812286</v>
      </c>
      <c r="AQ136" s="555">
        <f t="shared" si="271"/>
        <v>7756090.0770687433</v>
      </c>
      <c r="AR136" s="311">
        <f t="shared" si="272"/>
        <v>10.701015284545006</v>
      </c>
      <c r="AS136" s="11">
        <f t="shared" si="273"/>
        <v>7.6621488584741639E-3</v>
      </c>
      <c r="AT136" s="11">
        <f t="shared" si="274"/>
        <v>0.43570024140063313</v>
      </c>
      <c r="AU136" s="11">
        <f t="shared" si="275"/>
        <v>0.44336239025910729</v>
      </c>
      <c r="AV136" s="555">
        <f t="shared" si="276"/>
        <v>7073483.3794240439</v>
      </c>
      <c r="AW136" s="138">
        <f t="shared" si="277"/>
        <v>3.9370078740157494E-2</v>
      </c>
      <c r="AX136" s="138">
        <f t="shared" si="278"/>
        <v>4.724409448818899E-2</v>
      </c>
      <c r="AY136" s="554">
        <f t="shared" si="279"/>
        <v>3.1496062992125991E-2</v>
      </c>
      <c r="AZ136" s="12">
        <f t="shared" si="280"/>
        <v>726.00401056213855</v>
      </c>
      <c r="BA136" s="11">
        <f t="shared" si="281"/>
        <v>132.51383205295295</v>
      </c>
      <c r="BB136">
        <f t="shared" si="282"/>
        <v>626.38752698945268</v>
      </c>
      <c r="BC136" s="555">
        <f t="shared" si="283"/>
        <v>2362099847.6269026</v>
      </c>
      <c r="BD136">
        <f t="shared" si="284"/>
        <v>92</v>
      </c>
      <c r="BE136" s="207">
        <f t="shared" si="285"/>
        <v>3.4478347560000002</v>
      </c>
      <c r="BF136" s="207">
        <f>'Inputs-Imperial'!$E$15*BE136</f>
        <v>2.5858760670000001</v>
      </c>
      <c r="BG136" s="207">
        <f>'Inputs-Imperial'!$E$12*BE136</f>
        <v>0.86195868900000006</v>
      </c>
      <c r="BH136">
        <f>'Inputs-Imperial'!$E$11*BE136</f>
        <v>0.62061025607999998</v>
      </c>
      <c r="BI136">
        <f t="shared" si="286"/>
        <v>0.65825658082213168</v>
      </c>
      <c r="BJ136">
        <f>'Weight '!U138+'Weight '!V138 /12</f>
        <v>2.4934383202099744E-2</v>
      </c>
      <c r="BK136">
        <f>('Weight '!AK138+'Weight '!AL138)/12</f>
        <v>3.9370078740157488E-3</v>
      </c>
      <c r="BL136">
        <f>'Weight '!AG138/12</f>
        <v>1.4427451390250708E-2</v>
      </c>
      <c r="BM136">
        <f>'Weight '!AI138/12</f>
        <v>1.4427451390250708E-2</v>
      </c>
      <c r="BN136" s="554">
        <f t="shared" si="287"/>
        <v>1.7698455371037018</v>
      </c>
      <c r="BO136" s="554">
        <f t="shared" si="288"/>
        <v>3.786756804298812</v>
      </c>
      <c r="BP136">
        <f t="shared" si="289"/>
        <v>1.4427451390250708E-2</v>
      </c>
      <c r="BQ136">
        <f t="shared" si="289"/>
        <v>1.4427451390250708E-2</v>
      </c>
      <c r="BR136">
        <f t="shared" si="290"/>
        <v>0.59175535329949858</v>
      </c>
      <c r="BS136">
        <f t="shared" si="291"/>
        <v>0.40120530203300331</v>
      </c>
      <c r="BT136">
        <f t="shared" si="292"/>
        <v>0.93567584129282499</v>
      </c>
      <c r="BU136">
        <f t="shared" si="293"/>
        <v>0.55871229467736017</v>
      </c>
      <c r="BV136">
        <f t="shared" si="294"/>
        <v>209.16513136353822</v>
      </c>
      <c r="BW136" s="207">
        <f t="shared" si="295"/>
        <v>113.44641668148809</v>
      </c>
      <c r="BX136">
        <f t="shared" si="296"/>
        <v>1.2484762101667468</v>
      </c>
      <c r="BY136" s="575">
        <f t="shared" si="297"/>
        <v>-42.782406047786537</v>
      </c>
      <c r="BZ136">
        <f t="shared" si="298"/>
        <v>223.42593337946707</v>
      </c>
      <c r="CA136" s="207">
        <f t="shared" si="299"/>
        <v>105.7116815601767</v>
      </c>
      <c r="CB136">
        <f t="shared" si="300"/>
        <v>1.2743936385104344</v>
      </c>
      <c r="CC136">
        <f t="shared" si="301"/>
        <v>160.82143943894988</v>
      </c>
      <c r="CD136">
        <f t="shared" si="302"/>
        <v>169.8187868998171</v>
      </c>
      <c r="CE136" s="207">
        <f t="shared" si="303"/>
        <v>134.78698028224696</v>
      </c>
      <c r="CF136">
        <f t="shared" si="304"/>
        <v>1.1769685865362169</v>
      </c>
      <c r="CG136">
        <f t="shared" si="305"/>
        <v>10.939035240639184</v>
      </c>
      <c r="CH136">
        <f t="shared" si="306"/>
        <v>166.17244181960405</v>
      </c>
      <c r="CI136" s="207">
        <f t="shared" ref="CI136" si="404" xml:space="preserve"> ($BQ$38-CH136*($BP136+$BR136+$BQ136+$BN136))/($BP136+$BR136+$BQ136+$BO136)</f>
        <v>136.76467503776229</v>
      </c>
      <c r="CJ136">
        <f t="shared" si="308"/>
        <v>1.1703417581693958</v>
      </c>
      <c r="CK136">
        <f t="shared" si="309"/>
        <v>1.5028886434734758</v>
      </c>
      <c r="CL136">
        <f t="shared" si="310"/>
        <v>165.67147893844623</v>
      </c>
      <c r="CM136" s="207">
        <f t="shared" ref="CM136" si="405" xml:space="preserve"> ($BQ$38-CL136*($BP136+$BR136+$BQ136+$BN136))/($BP136+$BR136+$BQ136+$BO136)</f>
        <v>137.03638592660548</v>
      </c>
      <c r="CN136">
        <f t="shared" si="312"/>
        <v>1.1694313136122978</v>
      </c>
      <c r="CO136">
        <f t="shared" si="313"/>
        <v>0.21403016786810802</v>
      </c>
      <c r="CP136">
        <f t="shared" si="314"/>
        <v>165.60013554915685</v>
      </c>
      <c r="CQ136" s="207">
        <f t="shared" ref="CQ136" si="406" xml:space="preserve"> ($BQ$38-CP136*($BP136+$BR136+$BQ136+$BN136))/($BP136+$BR136+$BQ136+$BO136)</f>
        <v>137.07508096060099</v>
      </c>
      <c r="CR136">
        <f t="shared" si="316"/>
        <v>1.1693016549032267</v>
      </c>
      <c r="CS136">
        <f t="shared" si="317"/>
        <v>3.0628985809986631E-2</v>
      </c>
      <c r="CT136">
        <f t="shared" si="318"/>
        <v>165.58992588722018</v>
      </c>
      <c r="CU136" s="636">
        <f t="shared" si="319"/>
        <v>137.08061844935304</v>
      </c>
      <c r="CV136" s="575">
        <f t="shared" si="320"/>
        <v>1.1692830999733312</v>
      </c>
      <c r="CW136">
        <f t="shared" si="321"/>
        <v>4.3862158627199221E-3</v>
      </c>
      <c r="CX136" s="576">
        <f t="shared" si="322"/>
        <v>0.33913548146079747</v>
      </c>
    </row>
    <row r="137" spans="1:102" x14ac:dyDescent="0.25">
      <c r="A137" s="186">
        <v>93</v>
      </c>
      <c r="B137" s="187">
        <f>A137/100*'Inputs-Imperial'!$E$5</f>
        <v>22.395670008</v>
      </c>
      <c r="C137" s="188">
        <f>'Inputs-Imperial'!$E$10+('Inputs-Imperial'!$E$9-'Inputs-Imperial'!$E$10)*(100-A137)/100</f>
        <v>3.4300361990000003</v>
      </c>
      <c r="D137" s="187">
        <f t="shared" si="323"/>
        <v>0.24081365600000026</v>
      </c>
      <c r="E137" s="188">
        <f t="shared" si="324"/>
        <v>0.82814262508488168</v>
      </c>
      <c r="F137" s="423">
        <f>Sizing!F153</f>
        <v>37.790074179373399</v>
      </c>
      <c r="G137" s="423">
        <f>Sizing!G153</f>
        <v>377.90074179373403</v>
      </c>
      <c r="H137" s="423">
        <f>Sizing!H153</f>
        <v>344.16892252055641</v>
      </c>
      <c r="I137" s="423">
        <f>Sizing!I153</f>
        <v>-476.43734320419384</v>
      </c>
      <c r="J137" s="189">
        <f>Sizing!J153</f>
        <v>34.416892252055639</v>
      </c>
      <c r="K137" s="128">
        <v>93</v>
      </c>
      <c r="L137" s="12">
        <f t="shared" si="265"/>
        <v>268.74804009600001</v>
      </c>
      <c r="M137" s="11">
        <f t="shared" si="265"/>
        <v>41.160434388000006</v>
      </c>
      <c r="N137" s="11">
        <f t="shared" si="265"/>
        <v>2.8897638720000032</v>
      </c>
      <c r="O137" s="152">
        <f t="shared" si="325"/>
        <v>119.25253801222296</v>
      </c>
      <c r="P137" s="170">
        <f t="shared" si="260"/>
        <v>7.4088781898400011</v>
      </c>
      <c r="Q137" s="8">
        <f t="shared" si="261"/>
        <v>3.7044390949200006</v>
      </c>
      <c r="R137" s="170">
        <f>Sizing!X153</f>
        <v>10.290108597000001</v>
      </c>
      <c r="S137" s="8">
        <f>Sizing!Y153</f>
        <v>30.870325791000006</v>
      </c>
      <c r="T137" s="8">
        <f>Sizing!Z153</f>
        <v>20.580217194000006</v>
      </c>
      <c r="U137" s="17">
        <f>Sizing!CN153</f>
        <v>0.75</v>
      </c>
      <c r="V137" s="17">
        <f>Sizing!CO153</f>
        <v>2.3622047244094495E-2</v>
      </c>
      <c r="W137" s="17">
        <f>Sizing!CP153</f>
        <v>1.5748031496062995E-2</v>
      </c>
      <c r="X137" s="170">
        <f>Sizing!DU153</f>
        <v>2.9973794920998782E-2</v>
      </c>
      <c r="Y137" s="170">
        <f>Sizing!DV153</f>
        <v>0.17312941668300849</v>
      </c>
      <c r="Z137" s="170">
        <f>Sizing!DW153</f>
        <v>2.9973794920998782E-2</v>
      </c>
      <c r="AA137" s="272">
        <f>Sizing!DX153</f>
        <v>0.17312941668300849</v>
      </c>
      <c r="AB137" s="272">
        <f t="shared" si="266"/>
        <v>5.657008615676677</v>
      </c>
      <c r="AC137" s="216">
        <f>Sizing!GJ153</f>
        <v>0.25</v>
      </c>
      <c r="AD137" s="216">
        <f>Sizing!GK153</f>
        <v>2.3622047244094495E-2</v>
      </c>
      <c r="AE137" s="17">
        <f>Sizing!GL153</f>
        <v>2.3622047244094495E-2</v>
      </c>
      <c r="AF137" s="170">
        <f>Sizing!JC153</f>
        <v>5.2711395752220482E-4</v>
      </c>
      <c r="AG137" s="272">
        <f>Sizing!JD153</f>
        <v>2.2958962466152619E-2</v>
      </c>
      <c r="AH137" s="170">
        <f>Sizing!JC153</f>
        <v>5.2711395752220482E-4</v>
      </c>
      <c r="AI137" s="272">
        <f>Sizing!JD153</f>
        <v>2.2958962466152619E-2</v>
      </c>
      <c r="AJ137" s="216">
        <f>Sizing!IT153</f>
        <v>0.25</v>
      </c>
      <c r="AK137" s="216">
        <f>Sizing!IU153</f>
        <v>1.5748031496062995E-2</v>
      </c>
      <c r="AL137" s="17">
        <f>Sizing!IV153</f>
        <v>1.5748031496062995E-2</v>
      </c>
      <c r="AM137" s="170">
        <f t="shared" si="267"/>
        <v>0</v>
      </c>
      <c r="AN137" s="11">
        <f t="shared" si="268"/>
        <v>0.23980344651014393</v>
      </c>
      <c r="AO137" s="11">
        <f t="shared" si="269"/>
        <v>0.23980344651014393</v>
      </c>
      <c r="AP137" s="11">
        <f t="shared" si="270"/>
        <v>0.47960689302028786</v>
      </c>
      <c r="AQ137" s="555">
        <f t="shared" si="271"/>
        <v>7651734.700486416</v>
      </c>
      <c r="AR137" s="311">
        <f t="shared" si="272"/>
        <v>10.645774055200011</v>
      </c>
      <c r="AS137" s="11">
        <f t="shared" si="273"/>
        <v>7.5832453135197993E-3</v>
      </c>
      <c r="AT137" s="11">
        <f t="shared" si="274"/>
        <v>0.43121347219019679</v>
      </c>
      <c r="AU137" s="11">
        <f t="shared" si="275"/>
        <v>0.43879671750371657</v>
      </c>
      <c r="AV137" s="555">
        <f t="shared" si="276"/>
        <v>7000641.814463445</v>
      </c>
      <c r="AW137" s="138">
        <f t="shared" si="277"/>
        <v>3.9370078740157494E-2</v>
      </c>
      <c r="AX137" s="138">
        <f t="shared" si="278"/>
        <v>4.724409448818899E-2</v>
      </c>
      <c r="AY137" s="554">
        <f t="shared" si="279"/>
        <v>3.1496062992125991E-2</v>
      </c>
      <c r="AZ137" s="12">
        <f t="shared" si="280"/>
        <v>718.52774102698322</v>
      </c>
      <c r="BA137" s="11">
        <f t="shared" si="281"/>
        <v>131.82976359840237</v>
      </c>
      <c r="BB137">
        <f t="shared" si="282"/>
        <v>616.73682634688305</v>
      </c>
      <c r="BC137" s="555">
        <f t="shared" si="283"/>
        <v>2325707171.31218</v>
      </c>
      <c r="BD137">
        <f t="shared" si="284"/>
        <v>93</v>
      </c>
      <c r="BE137" s="207">
        <f t="shared" si="285"/>
        <v>3.4300361990000003</v>
      </c>
      <c r="BF137" s="207">
        <f>'Inputs-Imperial'!$E$15*BE137</f>
        <v>2.5725271492500004</v>
      </c>
      <c r="BG137" s="207">
        <f>'Inputs-Imperial'!$E$12*BE137</f>
        <v>0.85750904975000009</v>
      </c>
      <c r="BH137">
        <f>'Inputs-Imperial'!$E$11*BE137</f>
        <v>0.61740651582000006</v>
      </c>
      <c r="BI137">
        <f t="shared" si="286"/>
        <v>0.65485850112762223</v>
      </c>
      <c r="BJ137">
        <f>'Weight '!U139+'Weight '!V139 /12</f>
        <v>2.4934383202099744E-2</v>
      </c>
      <c r="BK137">
        <f>('Weight '!AK139+'Weight '!AL139)/12</f>
        <v>3.9370078740157488E-3</v>
      </c>
      <c r="BL137">
        <f>'Weight '!AG139/12</f>
        <v>1.4427451390250708E-2</v>
      </c>
      <c r="BM137">
        <f>'Weight '!AI139/12</f>
        <v>1.4427451390250708E-2</v>
      </c>
      <c r="BN137" s="554">
        <f t="shared" si="287"/>
        <v>1.7574234125925499</v>
      </c>
      <c r="BO137" s="554">
        <f t="shared" si="288"/>
        <v>3.7704944034487422</v>
      </c>
      <c r="BP137">
        <f t="shared" si="289"/>
        <v>1.4427451390250708E-2</v>
      </c>
      <c r="BQ137">
        <f t="shared" si="289"/>
        <v>1.4427451390250708E-2</v>
      </c>
      <c r="BR137">
        <f t="shared" si="290"/>
        <v>0.58855161303949866</v>
      </c>
      <c r="BS137">
        <f t="shared" si="291"/>
        <v>0.39707375601770001</v>
      </c>
      <c r="BT137">
        <f t="shared" si="292"/>
        <v>0.92604040583342284</v>
      </c>
      <c r="BU137">
        <f t="shared" si="293"/>
        <v>0.54726448946503792</v>
      </c>
      <c r="BV137">
        <f t="shared" si="294"/>
        <v>210.54139246688032</v>
      </c>
      <c r="BW137" s="207">
        <f t="shared" si="295"/>
        <v>113.94970150860348</v>
      </c>
      <c r="BX137">
        <f t="shared" si="296"/>
        <v>1.2424204419737928</v>
      </c>
      <c r="BY137" s="575">
        <f t="shared" si="297"/>
        <v>-42.494067508353623</v>
      </c>
      <c r="BZ137">
        <f t="shared" si="298"/>
        <v>224.70608163633153</v>
      </c>
      <c r="CA137" s="207">
        <f t="shared" si="299"/>
        <v>106.28345553241132</v>
      </c>
      <c r="CB137">
        <f t="shared" si="300"/>
        <v>1.2678678017064908</v>
      </c>
      <c r="CC137">
        <f t="shared" si="301"/>
        <v>160.98017186307368</v>
      </c>
      <c r="CD137">
        <f t="shared" si="302"/>
        <v>171.04602434864032</v>
      </c>
      <c r="CE137" s="207">
        <f t="shared" si="303"/>
        <v>135.32547638742605</v>
      </c>
      <c r="CF137">
        <f t="shared" si="304"/>
        <v>1.1714656311581928</v>
      </c>
      <c r="CG137">
        <f t="shared" si="305"/>
        <v>11.77969156448885</v>
      </c>
      <c r="CH137">
        <f t="shared" si="306"/>
        <v>167.11946049381069</v>
      </c>
      <c r="CI137" s="207">
        <f t="shared" ref="CI137" si="407" xml:space="preserve"> ($BQ$38-CH137*($BP137+$BR137+$BQ137+$BN137))/($BP137+$BR137+$BQ137+$BO137)</f>
        <v>137.45062039815872</v>
      </c>
      <c r="CJ137">
        <f t="shared" si="308"/>
        <v>1.1644114217977251</v>
      </c>
      <c r="CK137">
        <f t="shared" si="309"/>
        <v>1.6744327150048495</v>
      </c>
      <c r="CL137">
        <f t="shared" si="310"/>
        <v>166.56131625547573</v>
      </c>
      <c r="CM137" s="207">
        <f t="shared" ref="CM137" si="408" xml:space="preserve"> ($BQ$38-CL137*($BP137+$BR137+$BQ137+$BN137))/($BP137+$BR137+$BQ137+$BO137)</f>
        <v>137.75270051937298</v>
      </c>
      <c r="CN137">
        <f t="shared" si="312"/>
        <v>1.1634086961434074</v>
      </c>
      <c r="CO137">
        <f t="shared" si="313"/>
        <v>0.24700730419604966</v>
      </c>
      <c r="CP137">
        <f t="shared" si="314"/>
        <v>166.47898048741038</v>
      </c>
      <c r="CQ137" s="207">
        <f t="shared" ref="CQ137" si="409" xml:space="preserve"> ($BQ$38-CP137*($BP137+$BR137+$BQ137+$BN137))/($BP137+$BR137+$BQ137+$BO137)</f>
        <v>137.7972624750274</v>
      </c>
      <c r="CR137">
        <f t="shared" si="316"/>
        <v>1.1632607770550489</v>
      </c>
      <c r="CS137">
        <f t="shared" si="317"/>
        <v>3.6627256903708272E-2</v>
      </c>
      <c r="CT137">
        <f t="shared" si="318"/>
        <v>166.46677140177582</v>
      </c>
      <c r="CU137" s="636">
        <f t="shared" si="319"/>
        <v>137.80387030471567</v>
      </c>
      <c r="CV137" s="575">
        <f t="shared" si="320"/>
        <v>1.1632388430054956</v>
      </c>
      <c r="CW137">
        <f t="shared" si="321"/>
        <v>5.4353874926871271E-3</v>
      </c>
      <c r="CX137" s="576">
        <f t="shared" si="322"/>
        <v>0.33913310983266842</v>
      </c>
    </row>
    <row r="138" spans="1:102" x14ac:dyDescent="0.25">
      <c r="A138" s="186">
        <v>94</v>
      </c>
      <c r="B138" s="187">
        <f>A138/100*'Inputs-Imperial'!$E$5</f>
        <v>22.636483663999996</v>
      </c>
      <c r="C138" s="188">
        <f>'Inputs-Imperial'!$E$10+('Inputs-Imperial'!$E$9-'Inputs-Imperial'!$E$10)*(100-A138)/100</f>
        <v>3.4122376420000005</v>
      </c>
      <c r="D138" s="187">
        <f t="shared" si="323"/>
        <v>0.24081365599999671</v>
      </c>
      <c r="E138" s="188">
        <f t="shared" si="324"/>
        <v>0.82385648950217516</v>
      </c>
      <c r="F138" s="423">
        <f>Sizing!F154</f>
        <v>31.640756540793706</v>
      </c>
      <c r="G138" s="423">
        <f>Sizing!G154</f>
        <v>316.40756540793711</v>
      </c>
      <c r="H138" s="423">
        <f>Sizing!H154</f>
        <v>253.16526328409657</v>
      </c>
      <c r="I138" s="423">
        <f>Sizing!I154</f>
        <v>-387.91539176595984</v>
      </c>
      <c r="J138" s="189">
        <f>Sizing!J154</f>
        <v>25.316526328409655</v>
      </c>
      <c r="K138" s="128">
        <v>94</v>
      </c>
      <c r="L138" s="12">
        <f t="shared" si="265"/>
        <v>271.63780396799996</v>
      </c>
      <c r="M138" s="11">
        <f t="shared" si="265"/>
        <v>40.946851704000004</v>
      </c>
      <c r="N138" s="11">
        <f t="shared" si="265"/>
        <v>2.8897638719999605</v>
      </c>
      <c r="O138" s="152">
        <f t="shared" si="325"/>
        <v>118.63533448831323</v>
      </c>
      <c r="P138" s="170">
        <f t="shared" si="260"/>
        <v>7.3704333067200007</v>
      </c>
      <c r="Q138" s="8">
        <f t="shared" si="261"/>
        <v>3.6852166533600004</v>
      </c>
      <c r="R138" s="170">
        <f>Sizing!X154</f>
        <v>10.236712926000001</v>
      </c>
      <c r="S138" s="8">
        <f>Sizing!Y154</f>
        <v>30.710138778000001</v>
      </c>
      <c r="T138" s="8">
        <f>Sizing!Z154</f>
        <v>20.473425851999998</v>
      </c>
      <c r="U138" s="17">
        <f>Sizing!CN154</f>
        <v>0.75</v>
      </c>
      <c r="V138" s="17">
        <f>Sizing!CO154</f>
        <v>2.3622047244094495E-2</v>
      </c>
      <c r="W138" s="17">
        <f>Sizing!CP154</f>
        <v>1.5748031496062995E-2</v>
      </c>
      <c r="X138" s="170">
        <f>Sizing!DU154</f>
        <v>2.9973794920998782E-2</v>
      </c>
      <c r="Y138" s="170">
        <f>Sizing!DV154</f>
        <v>0.17312941668300849</v>
      </c>
      <c r="Z138" s="170">
        <f>Sizing!DW154</f>
        <v>2.9973794920998782E-2</v>
      </c>
      <c r="AA138" s="272">
        <f>Sizing!DX154</f>
        <v>0.17312941668300849</v>
      </c>
      <c r="AB138" s="272">
        <f t="shared" si="266"/>
        <v>5.6185637325566766</v>
      </c>
      <c r="AC138" s="216">
        <f>Sizing!GJ154</f>
        <v>0.25</v>
      </c>
      <c r="AD138" s="216">
        <f>Sizing!GK154</f>
        <v>2.3622047244094495E-2</v>
      </c>
      <c r="AE138" s="17">
        <f>Sizing!GL154</f>
        <v>2.3622047244094495E-2</v>
      </c>
      <c r="AF138" s="170">
        <f>Sizing!JC154</f>
        <v>5.2711395752220482E-4</v>
      </c>
      <c r="AG138" s="272">
        <f>Sizing!JD154</f>
        <v>2.2958962466152619E-2</v>
      </c>
      <c r="AH138" s="170">
        <f>Sizing!JC154</f>
        <v>5.2711395752220482E-4</v>
      </c>
      <c r="AI138" s="272">
        <f>Sizing!JD154</f>
        <v>2.2958962466152619E-2</v>
      </c>
      <c r="AJ138" s="216">
        <f>Sizing!IT154</f>
        <v>0.25</v>
      </c>
      <c r="AK138" s="216">
        <f>Sizing!IU154</f>
        <v>1.5748031496062995E-2</v>
      </c>
      <c r="AL138" s="17">
        <f>Sizing!IV154</f>
        <v>1.5748031496062995E-2</v>
      </c>
      <c r="AM138" s="170">
        <f t="shared" si="267"/>
        <v>0</v>
      </c>
      <c r="AN138" s="11">
        <f t="shared" si="268"/>
        <v>0.23655512594957331</v>
      </c>
      <c r="AO138" s="11">
        <f t="shared" si="269"/>
        <v>0.23655512594957331</v>
      </c>
      <c r="AP138" s="11">
        <f t="shared" si="270"/>
        <v>0.47311025189914663</v>
      </c>
      <c r="AQ138" s="555">
        <f t="shared" si="271"/>
        <v>7548086.1186443269</v>
      </c>
      <c r="AR138" s="311">
        <f t="shared" si="272"/>
        <v>10.590532825855014</v>
      </c>
      <c r="AS138" s="11">
        <f t="shared" si="273"/>
        <v>7.5047501418110396E-3</v>
      </c>
      <c r="AT138" s="11">
        <f t="shared" si="274"/>
        <v>0.42674992470580314</v>
      </c>
      <c r="AU138" s="11">
        <f t="shared" si="275"/>
        <v>0.43425467484761415</v>
      </c>
      <c r="AV138" s="555">
        <f t="shared" si="276"/>
        <v>6928177.2483603088</v>
      </c>
      <c r="AW138" s="138">
        <f t="shared" si="277"/>
        <v>3.9370078740157494E-2</v>
      </c>
      <c r="AX138" s="138">
        <f t="shared" si="278"/>
        <v>4.724409448818899E-2</v>
      </c>
      <c r="AY138" s="554">
        <f t="shared" si="279"/>
        <v>3.1496062992125991E-2</v>
      </c>
      <c r="AZ138" s="12">
        <f t="shared" si="280"/>
        <v>711.09016567796118</v>
      </c>
      <c r="BA138" s="11">
        <f t="shared" si="281"/>
        <v>131.1456951438517</v>
      </c>
      <c r="BB138">
        <f t="shared" si="282"/>
        <v>607.18576331685711</v>
      </c>
      <c r="BC138" s="555">
        <f t="shared" si="283"/>
        <v>2289690227.2387085</v>
      </c>
      <c r="BD138">
        <f t="shared" si="284"/>
        <v>94</v>
      </c>
      <c r="BE138" s="207">
        <f t="shared" si="285"/>
        <v>3.4122376420000005</v>
      </c>
      <c r="BF138" s="207">
        <f>'Inputs-Imperial'!$E$15*BE138</f>
        <v>2.5591782315000002</v>
      </c>
      <c r="BG138" s="207">
        <f>'Inputs-Imperial'!$E$12*BE138</f>
        <v>0.85305941050000011</v>
      </c>
      <c r="BH138">
        <f>'Inputs-Imperial'!$E$11*BE138</f>
        <v>0.61420277556000002</v>
      </c>
      <c r="BI138">
        <f t="shared" si="286"/>
        <v>0.65146042143311267</v>
      </c>
      <c r="BJ138">
        <f>'Weight '!U140+'Weight '!V140 /12</f>
        <v>2.4934383202099744E-2</v>
      </c>
      <c r="BK138">
        <f>('Weight '!AK140+'Weight '!AL140)/12</f>
        <v>3.9370078740157488E-3</v>
      </c>
      <c r="BL138">
        <f>'Weight '!AG140/12</f>
        <v>1.4427451390250708E-2</v>
      </c>
      <c r="BM138">
        <f>'Weight '!AI140/12</f>
        <v>1.4427451390250708E-2</v>
      </c>
      <c r="BN138" s="554">
        <f t="shared" si="287"/>
        <v>1.7450027669932859</v>
      </c>
      <c r="BO138" s="554">
        <f t="shared" si="288"/>
        <v>3.7542305236867834</v>
      </c>
      <c r="BP138">
        <f t="shared" si="289"/>
        <v>1.4427451390250708E-2</v>
      </c>
      <c r="BQ138">
        <f t="shared" si="289"/>
        <v>1.4427451390250708E-2</v>
      </c>
      <c r="BR138">
        <f t="shared" si="290"/>
        <v>0.58534787277949862</v>
      </c>
      <c r="BS138">
        <f t="shared" si="291"/>
        <v>0.39296359323500812</v>
      </c>
      <c r="BT138">
        <f t="shared" si="292"/>
        <v>0.91645483954090823</v>
      </c>
      <c r="BU138">
        <f t="shared" si="293"/>
        <v>0.53599351290810116</v>
      </c>
      <c r="BV138">
        <f t="shared" si="294"/>
        <v>211.93575166785484</v>
      </c>
      <c r="BW138" s="207">
        <f t="shared" si="295"/>
        <v>114.45751045030522</v>
      </c>
      <c r="BX138">
        <f t="shared" si="296"/>
        <v>1.2363649060227528</v>
      </c>
      <c r="BY138" s="575">
        <f t="shared" si="297"/>
        <v>-42.202569065621844</v>
      </c>
      <c r="BZ138">
        <f t="shared" si="298"/>
        <v>226.00327468972878</v>
      </c>
      <c r="CA138" s="207">
        <f t="shared" si="299"/>
        <v>106.86023792495308</v>
      </c>
      <c r="CB138">
        <f t="shared" si="300"/>
        <v>1.2613460691582765</v>
      </c>
      <c r="CC138">
        <f t="shared" si="301"/>
        <v>161.14750463947198</v>
      </c>
      <c r="CD138">
        <f t="shared" si="302"/>
        <v>172.28743980990478</v>
      </c>
      <c r="CE138" s="207">
        <f t="shared" si="303"/>
        <v>135.86988204455278</v>
      </c>
      <c r="CF138">
        <f t="shared" si="304"/>
        <v>1.1659572766887554</v>
      </c>
      <c r="CG138">
        <f t="shared" si="305"/>
        <v>12.622556666428794</v>
      </c>
      <c r="CH138">
        <f t="shared" si="306"/>
        <v>168.07992092109518</v>
      </c>
      <c r="CI138" s="207">
        <f t="shared" ref="CI138" si="410" xml:space="preserve"> ($BQ$38-CH138*($BP138+$BR138+$BQ138+$BN138))/($BP138+$BR138+$BQ138+$BO138)</f>
        <v>138.14218453903948</v>
      </c>
      <c r="CJ138">
        <f t="shared" si="308"/>
        <v>1.1584855479705074</v>
      </c>
      <c r="CK138">
        <f t="shared" si="309"/>
        <v>1.8542900583554776</v>
      </c>
      <c r="CL138">
        <f t="shared" si="310"/>
        <v>167.46182423497669</v>
      </c>
      <c r="CM138" s="207">
        <f t="shared" ref="CM138" si="411" xml:space="preserve"> ($BQ$38-CL138*($BP138+$BR138+$BQ138+$BN138))/($BP138+$BR138+$BQ138+$BO138)</f>
        <v>138.47599234331017</v>
      </c>
      <c r="CN138">
        <f t="shared" si="312"/>
        <v>1.1573879294256191</v>
      </c>
      <c r="CO138">
        <f t="shared" si="313"/>
        <v>0.28299393947694718</v>
      </c>
      <c r="CP138">
        <f t="shared" si="314"/>
        <v>167.3674929218177</v>
      </c>
      <c r="CQ138" s="207">
        <f t="shared" ref="CQ138" si="412" xml:space="preserve"> ($BQ$38-CP138*($BP138+$BR138+$BQ138+$BN138))/($BP138+$BR138+$BQ138+$BO138)</f>
        <v>138.52693668458681</v>
      </c>
      <c r="CR138">
        <f t="shared" si="316"/>
        <v>1.1572204155058516</v>
      </c>
      <c r="CS138">
        <f t="shared" si="317"/>
        <v>4.3428026444706447E-2</v>
      </c>
      <c r="CT138">
        <f t="shared" si="318"/>
        <v>167.35301691300279</v>
      </c>
      <c r="CU138" s="636">
        <f t="shared" si="319"/>
        <v>138.53475456296351</v>
      </c>
      <c r="CV138" s="575">
        <f t="shared" si="320"/>
        <v>1.1571947089520258</v>
      </c>
      <c r="CW138">
        <f t="shared" si="321"/>
        <v>6.6700247614104313E-3</v>
      </c>
      <c r="CX138" s="576">
        <f t="shared" si="322"/>
        <v>0.33913074948489347</v>
      </c>
    </row>
    <row r="139" spans="1:102" x14ac:dyDescent="0.25">
      <c r="A139" s="186">
        <v>95</v>
      </c>
      <c r="B139" s="187">
        <f>A139/100*'Inputs-Imperial'!$E$5</f>
        <v>22.877297319999997</v>
      </c>
      <c r="C139" s="188">
        <f>'Inputs-Imperial'!$E$10+('Inputs-Imperial'!$E$9-'Inputs-Imperial'!$E$10)*(100-A139)/100</f>
        <v>3.3944390850000001</v>
      </c>
      <c r="D139" s="187">
        <f t="shared" si="323"/>
        <v>0.24081365600000026</v>
      </c>
      <c r="E139" s="188">
        <f t="shared" si="324"/>
        <v>0.81957035391949296</v>
      </c>
      <c r="F139" s="423">
        <f>Sizing!F155</f>
        <v>25.682978094637896</v>
      </c>
      <c r="G139" s="423">
        <f>Sizing!G155</f>
        <v>256.829780946379</v>
      </c>
      <c r="H139" s="423">
        <f>Sizing!H155</f>
        <v>176.970000672152</v>
      </c>
      <c r="I139" s="423">
        <f>Sizing!I155</f>
        <v>-304.97375609246745</v>
      </c>
      <c r="J139" s="189">
        <f>Sizing!J155</f>
        <v>17.6970000672152</v>
      </c>
      <c r="K139" s="128">
        <v>95</v>
      </c>
      <c r="L139" s="12">
        <f t="shared" si="265"/>
        <v>274.52756783999996</v>
      </c>
      <c r="M139" s="11">
        <f t="shared" si="265"/>
        <v>40.733269020000002</v>
      </c>
      <c r="N139" s="11">
        <f t="shared" si="265"/>
        <v>2.8897638720000032</v>
      </c>
      <c r="O139" s="152">
        <f t="shared" si="325"/>
        <v>118.01813096440699</v>
      </c>
      <c r="P139" s="170">
        <f t="shared" si="260"/>
        <v>7.3319884236000004</v>
      </c>
      <c r="Q139" s="8">
        <f t="shared" si="261"/>
        <v>3.6659942118000002</v>
      </c>
      <c r="R139" s="170">
        <f>Sizing!X155</f>
        <v>10.183317255</v>
      </c>
      <c r="S139" s="8">
        <f>Sizing!Y155</f>
        <v>30.549951765000003</v>
      </c>
      <c r="T139" s="8">
        <f>Sizing!Z155</f>
        <v>20.366634510000004</v>
      </c>
      <c r="U139" s="17">
        <f>Sizing!CN155</f>
        <v>0.75</v>
      </c>
      <c r="V139" s="17">
        <f>Sizing!CO155</f>
        <v>2.3622047244094495E-2</v>
      </c>
      <c r="W139" s="17">
        <f>Sizing!CP155</f>
        <v>1.5748031496062995E-2</v>
      </c>
      <c r="X139" s="170">
        <f>Sizing!DU155</f>
        <v>2.9973794920998782E-2</v>
      </c>
      <c r="Y139" s="170">
        <f>Sizing!DV155</f>
        <v>0.17312941668300849</v>
      </c>
      <c r="Z139" s="170">
        <f>Sizing!DW155</f>
        <v>2.9973794920998782E-2</v>
      </c>
      <c r="AA139" s="272">
        <f>Sizing!DX155</f>
        <v>0.17312941668300849</v>
      </c>
      <c r="AB139" s="272">
        <f t="shared" si="266"/>
        <v>5.5801188494366762</v>
      </c>
      <c r="AC139" s="216">
        <f>Sizing!GJ155</f>
        <v>0.25</v>
      </c>
      <c r="AD139" s="216">
        <f>Sizing!GK155</f>
        <v>2.3622047244094495E-2</v>
      </c>
      <c r="AE139" s="17">
        <f>Sizing!GL155</f>
        <v>2.3622047244094495E-2</v>
      </c>
      <c r="AF139" s="170">
        <f>Sizing!JC155</f>
        <v>5.2711395752220482E-4</v>
      </c>
      <c r="AG139" s="272">
        <f>Sizing!JD155</f>
        <v>2.2958962466152619E-2</v>
      </c>
      <c r="AH139" s="170">
        <f>Sizing!JC155</f>
        <v>5.2711395752220482E-4</v>
      </c>
      <c r="AI139" s="272">
        <f>Sizing!JD155</f>
        <v>2.2958962466152619E-2</v>
      </c>
      <c r="AJ139" s="216">
        <f>Sizing!IT155</f>
        <v>0.25</v>
      </c>
      <c r="AK139" s="216">
        <f>Sizing!IU155</f>
        <v>1.5748031496062995E-2</v>
      </c>
      <c r="AL139" s="17">
        <f>Sizing!IV155</f>
        <v>1.5748031496062995E-2</v>
      </c>
      <c r="AM139" s="170">
        <f t="shared" si="267"/>
        <v>0</v>
      </c>
      <c r="AN139" s="11">
        <f t="shared" si="268"/>
        <v>0.23332895615890253</v>
      </c>
      <c r="AO139" s="11">
        <f t="shared" si="269"/>
        <v>0.23332895615890253</v>
      </c>
      <c r="AP139" s="11">
        <f t="shared" si="270"/>
        <v>0.46665791231780507</v>
      </c>
      <c r="AQ139" s="555">
        <f t="shared" si="271"/>
        <v>7445144.3315424789</v>
      </c>
      <c r="AR139" s="311">
        <f t="shared" si="272"/>
        <v>10.535291596510017</v>
      </c>
      <c r="AS139" s="11">
        <f t="shared" si="273"/>
        <v>7.4266633433478857E-3</v>
      </c>
      <c r="AT139" s="11">
        <f t="shared" si="274"/>
        <v>0.42230959894745274</v>
      </c>
      <c r="AU139" s="11">
        <f t="shared" si="275"/>
        <v>0.42973626229080064</v>
      </c>
      <c r="AV139" s="555">
        <f t="shared" si="276"/>
        <v>6856089.6811146457</v>
      </c>
      <c r="AW139" s="138">
        <f t="shared" si="277"/>
        <v>3.9370078740157494E-2</v>
      </c>
      <c r="AX139" s="138">
        <f t="shared" si="278"/>
        <v>4.724409448818899E-2</v>
      </c>
      <c r="AY139" s="554">
        <f t="shared" si="279"/>
        <v>3.1496062992125991E-2</v>
      </c>
      <c r="AZ139" s="12">
        <f t="shared" si="280"/>
        <v>703.69128451507311</v>
      </c>
      <c r="BA139" s="11">
        <f t="shared" si="281"/>
        <v>130.46162668930108</v>
      </c>
      <c r="BB139">
        <f t="shared" si="282"/>
        <v>597.73382087692357</v>
      </c>
      <c r="BC139" s="555">
        <f t="shared" si="283"/>
        <v>2254047065.7210283</v>
      </c>
      <c r="BD139">
        <f t="shared" si="284"/>
        <v>95</v>
      </c>
      <c r="BE139" s="207">
        <f t="shared" si="285"/>
        <v>3.3944390850000001</v>
      </c>
      <c r="BF139" s="207">
        <f>'Inputs-Imperial'!$E$15*BE139</f>
        <v>2.5458293137500001</v>
      </c>
      <c r="BG139" s="207">
        <f>'Inputs-Imperial'!$E$12*BE139</f>
        <v>0.84860977125000003</v>
      </c>
      <c r="BH139">
        <f>'Inputs-Imperial'!$E$11*BE139</f>
        <v>0.61099903529999999</v>
      </c>
      <c r="BI139">
        <f t="shared" si="286"/>
        <v>0.64806234173860311</v>
      </c>
      <c r="BJ139">
        <f>'Weight '!U141+'Weight '!V141 /12</f>
        <v>2.4934383202099744E-2</v>
      </c>
      <c r="BK139">
        <f>('Weight '!AK141+'Weight '!AL141)/12</f>
        <v>3.9370078740157488E-3</v>
      </c>
      <c r="BL139">
        <f>'Weight '!AG141/12</f>
        <v>1.4427451390250708E-2</v>
      </c>
      <c r="BM139">
        <f>'Weight '!AI141/12</f>
        <v>1.4427451390250708E-2</v>
      </c>
      <c r="BN139" s="554">
        <f t="shared" si="287"/>
        <v>1.7325837400352617</v>
      </c>
      <c r="BO139" s="554">
        <f t="shared" si="288"/>
        <v>3.7379650252835841</v>
      </c>
      <c r="BP139">
        <f t="shared" si="289"/>
        <v>1.4427451390250708E-2</v>
      </c>
      <c r="BQ139">
        <f t="shared" si="289"/>
        <v>1.4427451390250708E-2</v>
      </c>
      <c r="BR139">
        <f t="shared" si="290"/>
        <v>0.58214413251949859</v>
      </c>
      <c r="BS139">
        <f t="shared" si="291"/>
        <v>0.38887481368492777</v>
      </c>
      <c r="BT139">
        <f t="shared" si="292"/>
        <v>0.90691914241528138</v>
      </c>
      <c r="BU139">
        <f t="shared" si="293"/>
        <v>0.52489753463804623</v>
      </c>
      <c r="BV139">
        <f t="shared" si="294"/>
        <v>213.34855558002315</v>
      </c>
      <c r="BW139" s="207">
        <f t="shared" si="295"/>
        <v>114.96990847353781</v>
      </c>
      <c r="BX139">
        <f t="shared" si="296"/>
        <v>1.2303095948844913</v>
      </c>
      <c r="BY139" s="575">
        <f t="shared" si="297"/>
        <v>-41.907866919083034</v>
      </c>
      <c r="BZ139">
        <f t="shared" si="298"/>
        <v>227.31784455305083</v>
      </c>
      <c r="CA139" s="207">
        <f t="shared" si="299"/>
        <v>107.44209620265981</v>
      </c>
      <c r="CB139">
        <f t="shared" si="300"/>
        <v>1.2548284382758212</v>
      </c>
      <c r="CC139">
        <f t="shared" si="301"/>
        <v>161.32357852058522</v>
      </c>
      <c r="CD139">
        <f t="shared" si="302"/>
        <v>173.54331837952242</v>
      </c>
      <c r="CE139" s="207">
        <f t="shared" si="303"/>
        <v>136.4202738873899</v>
      </c>
      <c r="CF139">
        <f t="shared" si="304"/>
        <v>1.1604435924731829</v>
      </c>
      <c r="CG139">
        <f t="shared" si="305"/>
        <v>13.467760348350252</v>
      </c>
      <c r="CH139">
        <f t="shared" si="306"/>
        <v>169.05406493007234</v>
      </c>
      <c r="CI139" s="207">
        <f t="shared" ref="CI139" si="413" xml:space="preserve"> ($BQ$38-CH139*($BP139+$BR139+$BQ139+$BN139))/($BP139+$BR139+$BQ139+$BO139)</f>
        <v>138.83945622867461</v>
      </c>
      <c r="CJ139">
        <f t="shared" si="308"/>
        <v>1.152564071727096</v>
      </c>
      <c r="CK139">
        <f t="shared" si="309"/>
        <v>2.0425090255703804</v>
      </c>
      <c r="CL139">
        <f t="shared" si="310"/>
        <v>168.37322858821554</v>
      </c>
      <c r="CM139" s="207">
        <f t="shared" ref="CM139" si="414" xml:space="preserve"> ($BQ$38-CL139*($BP139+$BR139+$BQ139+$BN139))/($BP139+$BR139+$BQ139+$BO139)</f>
        <v>139.20634735524413</v>
      </c>
      <c r="CN139">
        <f t="shared" si="312"/>
        <v>1.1513690703441806</v>
      </c>
      <c r="CO139">
        <f t="shared" si="313"/>
        <v>0.32212170229481707</v>
      </c>
      <c r="CP139">
        <f t="shared" si="314"/>
        <v>168.2658546874506</v>
      </c>
      <c r="CQ139" s="207">
        <f t="shared" ref="CQ139" si="415" xml:space="preserve"> ($BQ$38-CP139*($BP139+$BR139+$BQ139+$BN139))/($BP139+$BR139+$BQ139+$BO139)</f>
        <v>139.26420932440456</v>
      </c>
      <c r="CR139">
        <f t="shared" si="316"/>
        <v>1.1511806080779725</v>
      </c>
      <c r="CS139">
        <f t="shared" si="317"/>
        <v>5.1098531555581417E-2</v>
      </c>
      <c r="CT139">
        <f t="shared" si="318"/>
        <v>168.24882184359873</v>
      </c>
      <c r="CU139" s="636">
        <f t="shared" si="319"/>
        <v>139.27338803430192</v>
      </c>
      <c r="CV139" s="575">
        <f t="shared" si="320"/>
        <v>1.1511507120945965</v>
      </c>
      <c r="CW139">
        <f t="shared" si="321"/>
        <v>8.1132566309953802E-3</v>
      </c>
      <c r="CX139" s="576">
        <f t="shared" si="322"/>
        <v>0.33912840480229045</v>
      </c>
    </row>
    <row r="140" spans="1:102" x14ac:dyDescent="0.25">
      <c r="A140" s="186">
        <v>96</v>
      </c>
      <c r="B140" s="187">
        <f>A140/100*'Inputs-Imperial'!$E$5</f>
        <v>23.118110975999997</v>
      </c>
      <c r="C140" s="188">
        <f>'Inputs-Imperial'!$E$10+('Inputs-Imperial'!$E$9-'Inputs-Imperial'!$E$10)*(100-A140)/100</f>
        <v>3.3766405280000003</v>
      </c>
      <c r="D140" s="187">
        <f t="shared" si="323"/>
        <v>0.24081365600000026</v>
      </c>
      <c r="E140" s="188">
        <f t="shared" si="324"/>
        <v>0.81528421833679854</v>
      </c>
      <c r="F140" s="423">
        <f>Sizing!F156</f>
        <v>19.934865001398848</v>
      </c>
      <c r="G140" s="423">
        <f>Sizing!G156</f>
        <v>199.34865001398848</v>
      </c>
      <c r="H140" s="423">
        <f>Sizing!H156</f>
        <v>115.12188215277526</v>
      </c>
      <c r="I140" s="423">
        <f>Sizing!I156</f>
        <v>-227.95546138880047</v>
      </c>
      <c r="J140" s="189">
        <f>Sizing!J156</f>
        <v>11.512188215277526</v>
      </c>
      <c r="K140" s="128">
        <v>96</v>
      </c>
      <c r="L140" s="12">
        <f t="shared" si="265"/>
        <v>277.41733171199996</v>
      </c>
      <c r="M140" s="11">
        <f t="shared" si="265"/>
        <v>40.519686336000007</v>
      </c>
      <c r="N140" s="11">
        <f t="shared" si="265"/>
        <v>2.8897638720000032</v>
      </c>
      <c r="O140" s="152">
        <f t="shared" si="325"/>
        <v>117.40092744049899</v>
      </c>
      <c r="P140" s="170">
        <f t="shared" si="260"/>
        <v>7.2935435404800009</v>
      </c>
      <c r="Q140" s="8">
        <f t="shared" si="261"/>
        <v>3.6467717702400004</v>
      </c>
      <c r="R140" s="170">
        <f>Sizing!X156</f>
        <v>10.129921584000002</v>
      </c>
      <c r="S140" s="8">
        <f>Sizing!Y156</f>
        <v>30.389764752000005</v>
      </c>
      <c r="T140" s="8">
        <f>Sizing!Z156</f>
        <v>20.259843168000003</v>
      </c>
      <c r="U140" s="17">
        <f>Sizing!CN156</f>
        <v>0.75</v>
      </c>
      <c r="V140" s="17">
        <f>Sizing!CO156</f>
        <v>2.3622047244094495E-2</v>
      </c>
      <c r="W140" s="17">
        <f>Sizing!CP156</f>
        <v>1.5748031496062995E-2</v>
      </c>
      <c r="X140" s="170">
        <f>Sizing!DU156</f>
        <v>2.9973794920998782E-2</v>
      </c>
      <c r="Y140" s="170">
        <f>Sizing!DV156</f>
        <v>0.17312941668300849</v>
      </c>
      <c r="Z140" s="170">
        <f>Sizing!DW156</f>
        <v>2.9973794920998782E-2</v>
      </c>
      <c r="AA140" s="272">
        <f>Sizing!DX156</f>
        <v>0.17312941668300849</v>
      </c>
      <c r="AB140" s="272">
        <f t="shared" si="266"/>
        <v>5.5416739663166767</v>
      </c>
      <c r="AC140" s="216">
        <f>Sizing!GJ156</f>
        <v>0.25</v>
      </c>
      <c r="AD140" s="216">
        <f>Sizing!GK156</f>
        <v>2.3622047244094495E-2</v>
      </c>
      <c r="AE140" s="17">
        <f>Sizing!GL156</f>
        <v>2.3622047244094495E-2</v>
      </c>
      <c r="AF140" s="170">
        <f>Sizing!JC156</f>
        <v>5.2711395752220482E-4</v>
      </c>
      <c r="AG140" s="272">
        <f>Sizing!JD156</f>
        <v>2.2958962466152619E-2</v>
      </c>
      <c r="AH140" s="170">
        <f>Sizing!JC156</f>
        <v>5.2711395752220482E-4</v>
      </c>
      <c r="AI140" s="272">
        <f>Sizing!JD156</f>
        <v>2.2958962466152619E-2</v>
      </c>
      <c r="AJ140" s="216">
        <f>Sizing!IT156</f>
        <v>0.25</v>
      </c>
      <c r="AK140" s="216">
        <f>Sizing!IU156</f>
        <v>1.5748031496062995E-2</v>
      </c>
      <c r="AL140" s="17">
        <f>Sizing!IV156</f>
        <v>1.5748031496062995E-2</v>
      </c>
      <c r="AM140" s="170">
        <f t="shared" si="267"/>
        <v>0</v>
      </c>
      <c r="AN140" s="11">
        <f t="shared" si="268"/>
        <v>0.23012493713813167</v>
      </c>
      <c r="AO140" s="11">
        <f t="shared" si="269"/>
        <v>0.23012493713813167</v>
      </c>
      <c r="AP140" s="11">
        <f t="shared" si="270"/>
        <v>0.46024987427626335</v>
      </c>
      <c r="AQ140" s="555">
        <f t="shared" si="271"/>
        <v>7342909.3391808756</v>
      </c>
      <c r="AR140" s="311">
        <f t="shared" si="272"/>
        <v>10.48005036716502</v>
      </c>
      <c r="AS140" s="11">
        <f t="shared" si="273"/>
        <v>7.3489849181302613E-3</v>
      </c>
      <c r="AT140" s="11">
        <f t="shared" si="274"/>
        <v>0.41789249491514519</v>
      </c>
      <c r="AU140" s="11">
        <f t="shared" si="275"/>
        <v>0.42524147983327543</v>
      </c>
      <c r="AV140" s="555">
        <f t="shared" si="276"/>
        <v>6784379.1127264462</v>
      </c>
      <c r="AW140" s="138">
        <f t="shared" si="277"/>
        <v>3.9370078740157494E-2</v>
      </c>
      <c r="AX140" s="138">
        <f t="shared" si="278"/>
        <v>4.724409448818899E-2</v>
      </c>
      <c r="AY140" s="554">
        <f t="shared" si="279"/>
        <v>3.1496062992125991E-2</v>
      </c>
      <c r="AZ140" s="12">
        <f t="shared" si="280"/>
        <v>696.33109753831923</v>
      </c>
      <c r="BA140" s="11">
        <f t="shared" si="281"/>
        <v>129.77755823475042</v>
      </c>
      <c r="BB140">
        <f t="shared" si="282"/>
        <v>588.38048200463095</v>
      </c>
      <c r="BC140" s="555">
        <f t="shared" si="283"/>
        <v>2218775737.0736794</v>
      </c>
      <c r="BD140">
        <f t="shared" si="284"/>
        <v>96</v>
      </c>
      <c r="BE140" s="207">
        <f t="shared" si="285"/>
        <v>3.3766405280000003</v>
      </c>
      <c r="BF140" s="207">
        <f>'Inputs-Imperial'!$E$15*BE140</f>
        <v>2.5324803960000004</v>
      </c>
      <c r="BG140" s="207">
        <f>'Inputs-Imperial'!$E$12*BE140</f>
        <v>0.84416013200000006</v>
      </c>
      <c r="BH140">
        <f>'Inputs-Imperial'!$E$11*BE140</f>
        <v>0.60779529504000007</v>
      </c>
      <c r="BI140">
        <f t="shared" si="286"/>
        <v>0.64466426204409366</v>
      </c>
      <c r="BJ140">
        <f>'Weight '!U142+'Weight '!V142 /12</f>
        <v>2.4934383202099744E-2</v>
      </c>
      <c r="BK140">
        <f>('Weight '!AK142+'Weight '!AL142)/12</f>
        <v>3.9370078740157488E-3</v>
      </c>
      <c r="BL140">
        <f>'Weight '!AG142/12</f>
        <v>1.4427451390250708E-2</v>
      </c>
      <c r="BM140">
        <f>'Weight '!AI142/12</f>
        <v>1.4427451390250708E-2</v>
      </c>
      <c r="BN140" s="554">
        <f t="shared" si="287"/>
        <v>1.7201664751351986</v>
      </c>
      <c r="BO140" s="554">
        <f t="shared" si="288"/>
        <v>3.7216977648224256</v>
      </c>
      <c r="BP140">
        <f t="shared" si="289"/>
        <v>1.4427451390250708E-2</v>
      </c>
      <c r="BQ140">
        <f t="shared" si="289"/>
        <v>1.4427451390250708E-2</v>
      </c>
      <c r="BR140">
        <f t="shared" si="290"/>
        <v>0.57894039225949867</v>
      </c>
      <c r="BS140">
        <f t="shared" si="291"/>
        <v>0.3848074173674591</v>
      </c>
      <c r="BT140">
        <f t="shared" si="292"/>
        <v>0.89743331445654295</v>
      </c>
      <c r="BU140">
        <f t="shared" si="293"/>
        <v>0.51397473380891157</v>
      </c>
      <c r="BV140">
        <f t="shared" si="294"/>
        <v>214.78015936763896</v>
      </c>
      <c r="BW140" s="207">
        <f t="shared" si="295"/>
        <v>115.48696188830202</v>
      </c>
      <c r="BX140">
        <f t="shared" si="296"/>
        <v>1.2242545008881944</v>
      </c>
      <c r="BY140" s="575">
        <f t="shared" si="297"/>
        <v>-41.609916531335287</v>
      </c>
      <c r="BZ140">
        <f t="shared" si="298"/>
        <v>228.65013154475071</v>
      </c>
      <c r="CA140" s="207">
        <f t="shared" si="299"/>
        <v>108.02909914657589</v>
      </c>
      <c r="CB140">
        <f t="shared" si="300"/>
        <v>1.2483149061911987</v>
      </c>
      <c r="CC140">
        <f t="shared" si="301"/>
        <v>161.50853705857821</v>
      </c>
      <c r="CD140">
        <f t="shared" si="302"/>
        <v>174.81395252522464</v>
      </c>
      <c r="CE140" s="207">
        <f t="shared" si="303"/>
        <v>136.97672993773071</v>
      </c>
      <c r="CF140">
        <f t="shared" si="304"/>
        <v>1.1549246476791859</v>
      </c>
      <c r="CG140">
        <f t="shared" si="305"/>
        <v>14.315435365082919</v>
      </c>
      <c r="CH140">
        <f t="shared" si="306"/>
        <v>170.04214073686367</v>
      </c>
      <c r="CI140" s="207">
        <f t="shared" ref="CI140" si="416" xml:space="preserve"> ($BQ$38-CH140*($BP140+$BR140+$BQ140+$BN140))/($BP140+$BR140+$BQ140+$BO140)</f>
        <v>139.54252580902119</v>
      </c>
      <c r="CJ140">
        <f t="shared" si="308"/>
        <v>1.146646929152318</v>
      </c>
      <c r="CK140">
        <f t="shared" si="309"/>
        <v>2.2391407005695445</v>
      </c>
      <c r="CL140">
        <f t="shared" si="310"/>
        <v>169.29576050334049</v>
      </c>
      <c r="CM140" s="207">
        <f t="shared" ref="CM140" si="417" xml:space="preserve"> ($BQ$38-CL140*($BP140+$BR140+$BQ140+$BN140))/($BP140+$BR140+$BQ140+$BO140)</f>
        <v>139.94385331448936</v>
      </c>
      <c r="CN140">
        <f t="shared" si="312"/>
        <v>1.145352174505416</v>
      </c>
      <c r="CO140">
        <f t="shared" si="313"/>
        <v>0.36452333179791019</v>
      </c>
      <c r="CP140">
        <f t="shared" si="314"/>
        <v>169.17425272607451</v>
      </c>
      <c r="CQ140" s="207">
        <f t="shared" ref="CQ140" si="418" xml:space="preserve"> ($BQ$38-CP140*($BP140+$BR140+$BQ140+$BN140))/($BP140+$BR140+$BQ140+$BO140)</f>
        <v>140.00918785974517</v>
      </c>
      <c r="CR140">
        <f t="shared" si="316"/>
        <v>1.1451413935225017</v>
      </c>
      <c r="CS140">
        <f t="shared" si="317"/>
        <v>5.9708838578254486E-2</v>
      </c>
      <c r="CT140">
        <f t="shared" si="318"/>
        <v>169.15434977988176</v>
      </c>
      <c r="CU140" s="636">
        <f t="shared" si="319"/>
        <v>140.01988964335123</v>
      </c>
      <c r="CV140" s="575">
        <f t="shared" si="320"/>
        <v>1.1451068676455922</v>
      </c>
      <c r="CW140">
        <f t="shared" si="321"/>
        <v>9.7900587942501005E-3</v>
      </c>
      <c r="CX140" s="576">
        <f t="shared" si="322"/>
        <v>0.33912608053775989</v>
      </c>
    </row>
    <row r="141" spans="1:102" x14ac:dyDescent="0.25">
      <c r="A141" s="186">
        <v>97</v>
      </c>
      <c r="B141" s="187">
        <f>A141/100*'Inputs-Imperial'!$E$5</f>
        <v>23.358924631999997</v>
      </c>
      <c r="C141" s="188">
        <f>'Inputs-Imperial'!$E$10+('Inputs-Imperial'!$E$9-'Inputs-Imperial'!$E$10)*(100-A141)/100</f>
        <v>3.3588419710000004</v>
      </c>
      <c r="D141" s="187">
        <f t="shared" si="323"/>
        <v>0.24081365600000026</v>
      </c>
      <c r="E141" s="188">
        <f t="shared" si="324"/>
        <v>0.81099808275410412</v>
      </c>
      <c r="F141" s="423">
        <f>Sizing!F157</f>
        <v>14.421051478122273</v>
      </c>
      <c r="G141" s="423">
        <f>Sizing!G157</f>
        <v>144.21051478122274</v>
      </c>
      <c r="H141" s="423">
        <f>Sizing!H157</f>
        <v>67.116004924242191</v>
      </c>
      <c r="I141" s="423">
        <f>Sizing!I157</f>
        <v>-157.33476660259635</v>
      </c>
      <c r="J141" s="189">
        <f>Sizing!J157</f>
        <v>6.7116004924242185</v>
      </c>
      <c r="K141" s="128">
        <v>97</v>
      </c>
      <c r="L141" s="12">
        <f t="shared" si="265"/>
        <v>280.30709558399997</v>
      </c>
      <c r="M141" s="11">
        <f t="shared" si="265"/>
        <v>40.306103652000004</v>
      </c>
      <c r="N141" s="11">
        <f t="shared" si="265"/>
        <v>2.8897638720000032</v>
      </c>
      <c r="O141" s="152">
        <f t="shared" si="325"/>
        <v>116.78372391659099</v>
      </c>
      <c r="P141" s="170">
        <f t="shared" si="260"/>
        <v>7.2550986573600005</v>
      </c>
      <c r="Q141" s="8">
        <f t="shared" si="261"/>
        <v>3.6275493286800002</v>
      </c>
      <c r="R141" s="170">
        <f>Sizing!X157</f>
        <v>10.076525913000001</v>
      </c>
      <c r="S141" s="8">
        <f>Sizing!Y157</f>
        <v>30.229577739000003</v>
      </c>
      <c r="T141" s="8">
        <f>Sizing!Z157</f>
        <v>20.153051826000002</v>
      </c>
      <c r="U141" s="17">
        <f>Sizing!CN157</f>
        <v>0.75</v>
      </c>
      <c r="V141" s="17">
        <f>Sizing!CO157</f>
        <v>2.3622047244094495E-2</v>
      </c>
      <c r="W141" s="17">
        <f>Sizing!CP157</f>
        <v>1.5748031496062995E-2</v>
      </c>
      <c r="X141" s="170">
        <f>Sizing!DU157</f>
        <v>2.9973794920998782E-2</v>
      </c>
      <c r="Y141" s="170">
        <f>Sizing!DV157</f>
        <v>0.17312941668300849</v>
      </c>
      <c r="Z141" s="170">
        <f>Sizing!DW157</f>
        <v>2.9973794920998782E-2</v>
      </c>
      <c r="AA141" s="272">
        <f>Sizing!DX157</f>
        <v>0.17312941668300849</v>
      </c>
      <c r="AB141" s="272">
        <f t="shared" si="266"/>
        <v>5.5032290831966764</v>
      </c>
      <c r="AC141" s="216">
        <f>Sizing!GJ157</f>
        <v>0.25</v>
      </c>
      <c r="AD141" s="216">
        <f>Sizing!GK157</f>
        <v>2.3622047244094495E-2</v>
      </c>
      <c r="AE141" s="17">
        <f>Sizing!GL157</f>
        <v>2.3622047244094495E-2</v>
      </c>
      <c r="AF141" s="170">
        <f>Sizing!JC157</f>
        <v>5.2711395752220482E-4</v>
      </c>
      <c r="AG141" s="272">
        <f>Sizing!JD157</f>
        <v>2.2958962466152619E-2</v>
      </c>
      <c r="AH141" s="170">
        <f>Sizing!JC157</f>
        <v>5.2711395752220482E-4</v>
      </c>
      <c r="AI141" s="272">
        <f>Sizing!JD157</f>
        <v>2.2958962466152619E-2</v>
      </c>
      <c r="AJ141" s="216">
        <f>Sizing!IT157</f>
        <v>0.25</v>
      </c>
      <c r="AK141" s="216">
        <f>Sizing!IU157</f>
        <v>1.5748031496062995E-2</v>
      </c>
      <c r="AL141" s="17">
        <f>Sizing!IV157</f>
        <v>1.5748031496062995E-2</v>
      </c>
      <c r="AM141" s="170">
        <f t="shared" si="267"/>
        <v>0</v>
      </c>
      <c r="AN141" s="11">
        <f t="shared" si="268"/>
        <v>0.22694306888726057</v>
      </c>
      <c r="AO141" s="11">
        <f t="shared" si="269"/>
        <v>0.22694306888726057</v>
      </c>
      <c r="AP141" s="11">
        <f t="shared" si="270"/>
        <v>0.45388613777452114</v>
      </c>
      <c r="AQ141" s="555">
        <f t="shared" si="271"/>
        <v>7241381.1415595096</v>
      </c>
      <c r="AR141" s="311">
        <f t="shared" si="272"/>
        <v>10.424809137820024</v>
      </c>
      <c r="AS141" s="11">
        <f t="shared" si="273"/>
        <v>7.2717148661583172E-3</v>
      </c>
      <c r="AT141" s="11">
        <f t="shared" si="274"/>
        <v>0.41349861260888043</v>
      </c>
      <c r="AU141" s="11">
        <f t="shared" si="275"/>
        <v>0.42077032747503873</v>
      </c>
      <c r="AV141" s="555">
        <f t="shared" si="276"/>
        <v>6713045.5431957133</v>
      </c>
      <c r="AW141" s="138">
        <f t="shared" si="277"/>
        <v>3.9370078740157494E-2</v>
      </c>
      <c r="AX141" s="138">
        <f t="shared" si="278"/>
        <v>4.724409448818899E-2</v>
      </c>
      <c r="AY141" s="554">
        <f t="shared" si="279"/>
        <v>3.1496062992125991E-2</v>
      </c>
      <c r="AZ141" s="12">
        <f t="shared" si="280"/>
        <v>689.00960474769897</v>
      </c>
      <c r="BA141" s="11">
        <f t="shared" si="281"/>
        <v>129.09348978019975</v>
      </c>
      <c r="BB141">
        <f t="shared" si="282"/>
        <v>579.12522967752636</v>
      </c>
      <c r="BC141" s="555">
        <f t="shared" si="283"/>
        <v>2183874291.611196</v>
      </c>
      <c r="BD141">
        <f t="shared" si="284"/>
        <v>97</v>
      </c>
      <c r="BE141" s="207">
        <f t="shared" si="285"/>
        <v>3.3588419710000004</v>
      </c>
      <c r="BF141" s="207">
        <f>'Inputs-Imperial'!$E$15*BE141</f>
        <v>2.5191314782500003</v>
      </c>
      <c r="BG141" s="207">
        <f>'Inputs-Imperial'!$E$12*BE141</f>
        <v>0.83971049275000009</v>
      </c>
      <c r="BH141">
        <f>'Inputs-Imperial'!$E$11*BE141</f>
        <v>0.60459155478000004</v>
      </c>
      <c r="BI141">
        <f t="shared" si="286"/>
        <v>0.6412661823495841</v>
      </c>
      <c r="BJ141">
        <f>'Weight '!U143+'Weight '!V143 /12</f>
        <v>2.4934383202099744E-2</v>
      </c>
      <c r="BK141">
        <f>('Weight '!AK143+'Weight '!AL143)/12</f>
        <v>3.9370078740157488E-3</v>
      </c>
      <c r="BL141">
        <f>'Weight '!AG143/12</f>
        <v>1.4427451390250708E-2</v>
      </c>
      <c r="BM141">
        <f>'Weight '!AI143/12</f>
        <v>1.4427451390250708E-2</v>
      </c>
      <c r="BN141" s="554">
        <f t="shared" si="287"/>
        <v>1.70775111947967</v>
      </c>
      <c r="BO141" s="554">
        <f t="shared" si="288"/>
        <v>3.7054285951167314</v>
      </c>
      <c r="BP141">
        <f t="shared" si="289"/>
        <v>1.4427451390250708E-2</v>
      </c>
      <c r="BQ141">
        <f t="shared" si="289"/>
        <v>1.4427451390250708E-2</v>
      </c>
      <c r="BR141">
        <f t="shared" si="290"/>
        <v>0.57573665199949864</v>
      </c>
      <c r="BS141">
        <f t="shared" si="291"/>
        <v>0.38076140428260186</v>
      </c>
      <c r="BT141">
        <f t="shared" si="292"/>
        <v>0.88799735566469196</v>
      </c>
      <c r="BU141">
        <f t="shared" si="293"/>
        <v>0.50322329909727515</v>
      </c>
      <c r="BV141">
        <f t="shared" si="294"/>
        <v>216.23092700137198</v>
      </c>
      <c r="BW141" s="207">
        <f t="shared" si="295"/>
        <v>116.00873838419992</v>
      </c>
      <c r="BX141">
        <f t="shared" si="296"/>
        <v>1.2181996161154094</v>
      </c>
      <c r="BY141" s="575">
        <f t="shared" si="297"/>
        <v>-41.308672613096363</v>
      </c>
      <c r="BZ141">
        <f t="shared" si="298"/>
        <v>230.00048453907078</v>
      </c>
      <c r="CA141" s="207">
        <f t="shared" si="299"/>
        <v>108.62131688899932</v>
      </c>
      <c r="CB141">
        <f t="shared" si="300"/>
        <v>1.2418054697500551</v>
      </c>
      <c r="CC141">
        <f t="shared" si="301"/>
        <v>161.7025266714804</v>
      </c>
      <c r="CD141">
        <f t="shared" si="302"/>
        <v>176.09964231524398</v>
      </c>
      <c r="CE141" s="207">
        <f t="shared" si="303"/>
        <v>137.53932964021084</v>
      </c>
      <c r="CF141">
        <f t="shared" si="304"/>
        <v>1.1494005112874293</v>
      </c>
      <c r="CG141">
        <f t="shared" si="305"/>
        <v>15.165717492696412</v>
      </c>
      <c r="CH141">
        <f t="shared" si="306"/>
        <v>171.04440315101184</v>
      </c>
      <c r="CI141" s="207">
        <f t="shared" ref="CI141" si="419" xml:space="preserve"> ($BQ$38-CH141*($BP141+$BR141+$BQ141+$BN141))/($BP141+$BR141+$BQ141+$BO141)</f>
        <v>140.25148523148405</v>
      </c>
      <c r="CJ141">
        <f t="shared" si="308"/>
        <v>1.1407340573747107</v>
      </c>
      <c r="CK141">
        <f t="shared" si="309"/>
        <v>2.4442389715431574</v>
      </c>
      <c r="CL141">
        <f t="shared" si="310"/>
        <v>170.22965682716412</v>
      </c>
      <c r="CM141" s="207">
        <f t="shared" ref="CM141" si="420" xml:space="preserve"> ($BQ$38-CL141*($BP141+$BR141+$BQ141+$BN141))/($BP141+$BR141+$BQ141+$BO141)</f>
        <v>140.68859982209088</v>
      </c>
      <c r="CN141">
        <f t="shared" si="312"/>
        <v>1.1393372962647434</v>
      </c>
      <c r="CO141">
        <f t="shared" si="313"/>
        <v>0.41033275221152898</v>
      </c>
      <c r="CP141">
        <f t="shared" si="314"/>
        <v>170.09287924309362</v>
      </c>
      <c r="CQ141" s="207">
        <f t="shared" ref="CQ141" si="421" xml:space="preserve"> ($BQ$38-CP141*($BP141+$BR141+$BQ141+$BN141))/($BP141+$BR141+$BQ141+$BO141)</f>
        <v>140.76198153111514</v>
      </c>
      <c r="CR141">
        <f t="shared" si="316"/>
        <v>1.139102811487638</v>
      </c>
      <c r="CS141">
        <f t="shared" si="317"/>
        <v>6.9331876426121042E-2</v>
      </c>
      <c r="CT141">
        <f t="shared" si="318"/>
        <v>170.06976861761825</v>
      </c>
      <c r="CU141" s="636">
        <f t="shared" si="319"/>
        <v>140.77438047210777</v>
      </c>
      <c r="CV141" s="575">
        <f t="shared" si="320"/>
        <v>1.1390631917655893</v>
      </c>
      <c r="CW141">
        <f t="shared" si="321"/>
        <v>1.1727330451385853E-2</v>
      </c>
      <c r="CX141" s="576">
        <f t="shared" si="322"/>
        <v>0.33912378182724251</v>
      </c>
    </row>
    <row r="142" spans="1:102" x14ac:dyDescent="0.25">
      <c r="A142" s="186">
        <v>98</v>
      </c>
      <c r="B142" s="187">
        <f>A142/100*'Inputs-Imperial'!$E$5</f>
        <v>23.599738287999998</v>
      </c>
      <c r="C142" s="188">
        <f>'Inputs-Imperial'!$E$10+('Inputs-Imperial'!$E$9-'Inputs-Imperial'!$E$10)*(100-A142)/100</f>
        <v>3.3410434140000005</v>
      </c>
      <c r="D142" s="187">
        <f t="shared" si="323"/>
        <v>0.24081365600000026</v>
      </c>
      <c r="E142" s="188">
        <f t="shared" si="324"/>
        <v>0.80671194717140982</v>
      </c>
      <c r="F142" s="423">
        <f>Sizing!F158</f>
        <v>9.1781850854377307</v>
      </c>
      <c r="G142" s="423">
        <f>Sizing!G158</f>
        <v>91.781850854377311</v>
      </c>
      <c r="H142" s="423">
        <f>Sizing!H158</f>
        <v>32.388143626133861</v>
      </c>
      <c r="I142" s="423">
        <f>Sizing!I158</f>
        <v>-93.837957113525647</v>
      </c>
      <c r="J142" s="189">
        <f>Sizing!J158</f>
        <v>3.2388143626133861</v>
      </c>
      <c r="K142" s="128">
        <v>98</v>
      </c>
      <c r="L142" s="12">
        <f t="shared" si="265"/>
        <v>283.19685945599997</v>
      </c>
      <c r="M142" s="11">
        <f t="shared" si="265"/>
        <v>40.092520968000002</v>
      </c>
      <c r="N142" s="11">
        <f t="shared" si="265"/>
        <v>2.8897638720000032</v>
      </c>
      <c r="O142" s="152">
        <f t="shared" si="325"/>
        <v>116.16652039268303</v>
      </c>
      <c r="P142" s="170">
        <f t="shared" si="260"/>
        <v>7.2166537742400001</v>
      </c>
      <c r="Q142" s="8">
        <f t="shared" si="261"/>
        <v>3.60832688712</v>
      </c>
      <c r="R142" s="170">
        <f>Sizing!X158</f>
        <v>10.023130242000001</v>
      </c>
      <c r="S142" s="8">
        <f>Sizing!Y158</f>
        <v>30.069390726000002</v>
      </c>
      <c r="T142" s="8">
        <f>Sizing!Z158</f>
        <v>20.046260484000001</v>
      </c>
      <c r="U142" s="17">
        <f>Sizing!CN158</f>
        <v>0.75</v>
      </c>
      <c r="V142" s="17">
        <f>Sizing!CO158</f>
        <v>2.3622047244094495E-2</v>
      </c>
      <c r="W142" s="17">
        <f>Sizing!CP158</f>
        <v>1.5748031496062995E-2</v>
      </c>
      <c r="X142" s="170">
        <f>Sizing!DU158</f>
        <v>2.9973794920998782E-2</v>
      </c>
      <c r="Y142" s="170">
        <f>Sizing!DV158</f>
        <v>0.17312941668300849</v>
      </c>
      <c r="Z142" s="170">
        <f>Sizing!DW158</f>
        <v>2.9973794920998782E-2</v>
      </c>
      <c r="AA142" s="272">
        <f>Sizing!DX158</f>
        <v>0.17312941668300849</v>
      </c>
      <c r="AB142" s="272">
        <f t="shared" si="266"/>
        <v>5.464784200076676</v>
      </c>
      <c r="AC142" s="216">
        <f>Sizing!GJ158</f>
        <v>0.25</v>
      </c>
      <c r="AD142" s="216">
        <f>Sizing!GK158</f>
        <v>2.3622047244094495E-2</v>
      </c>
      <c r="AE142" s="17">
        <f>Sizing!GL158</f>
        <v>2.3622047244094495E-2</v>
      </c>
      <c r="AF142" s="170">
        <f>Sizing!JC158</f>
        <v>5.2711395752220482E-4</v>
      </c>
      <c r="AG142" s="272">
        <f>Sizing!JD158</f>
        <v>2.2958962466152619E-2</v>
      </c>
      <c r="AH142" s="170">
        <f>Sizing!JC158</f>
        <v>5.2711395752220482E-4</v>
      </c>
      <c r="AI142" s="272">
        <f>Sizing!JD158</f>
        <v>2.2958962466152619E-2</v>
      </c>
      <c r="AJ142" s="216">
        <f>Sizing!IT158</f>
        <v>0.25</v>
      </c>
      <c r="AK142" s="216">
        <f>Sizing!IU158</f>
        <v>1.5748031496062995E-2</v>
      </c>
      <c r="AL142" s="17">
        <f>Sizing!IV158</f>
        <v>1.5748031496062995E-2</v>
      </c>
      <c r="AM142" s="170">
        <f t="shared" si="267"/>
        <v>0</v>
      </c>
      <c r="AN142" s="11">
        <f t="shared" si="268"/>
        <v>0.22378335140628935</v>
      </c>
      <c r="AO142" s="11">
        <f t="shared" si="269"/>
        <v>0.22378335140628935</v>
      </c>
      <c r="AP142" s="11">
        <f t="shared" si="270"/>
        <v>0.44756670281257871</v>
      </c>
      <c r="AQ142" s="555">
        <f t="shared" si="271"/>
        <v>7140559.7386783874</v>
      </c>
      <c r="AR142" s="311">
        <f t="shared" si="272"/>
        <v>10.369567908475029</v>
      </c>
      <c r="AS142" s="11">
        <f t="shared" si="273"/>
        <v>7.194853187432051E-3</v>
      </c>
      <c r="AT142" s="11">
        <f t="shared" si="274"/>
        <v>0.40912795202865859</v>
      </c>
      <c r="AU142" s="11">
        <f t="shared" si="275"/>
        <v>0.41632280521609066</v>
      </c>
      <c r="AV142" s="555">
        <f t="shared" si="276"/>
        <v>6642088.9725224497</v>
      </c>
      <c r="AW142" s="138">
        <f t="shared" si="277"/>
        <v>3.9370078740157494E-2</v>
      </c>
      <c r="AX142" s="138">
        <f t="shared" si="278"/>
        <v>4.724409448818899E-2</v>
      </c>
      <c r="AY142" s="554">
        <f t="shared" si="279"/>
        <v>3.1496062992125991E-2</v>
      </c>
      <c r="AZ142" s="12">
        <f t="shared" si="280"/>
        <v>681.72680614321268</v>
      </c>
      <c r="BA142" s="11">
        <f t="shared" si="281"/>
        <v>128.40942132564911</v>
      </c>
      <c r="BB142">
        <f t="shared" si="282"/>
        <v>569.96754687315786</v>
      </c>
      <c r="BC142" s="555">
        <f t="shared" si="283"/>
        <v>2149340779.6481161</v>
      </c>
      <c r="BD142">
        <f t="shared" si="284"/>
        <v>98</v>
      </c>
      <c r="BE142" s="207">
        <f t="shared" si="285"/>
        <v>3.3410434140000005</v>
      </c>
      <c r="BF142" s="207">
        <f>'Inputs-Imperial'!$E$15*BE142</f>
        <v>2.5057825605000001</v>
      </c>
      <c r="BG142" s="207">
        <f>'Inputs-Imperial'!$E$12*BE142</f>
        <v>0.83526085350000012</v>
      </c>
      <c r="BH142">
        <f>'Inputs-Imperial'!$E$11*BE142</f>
        <v>0.60138781452000012</v>
      </c>
      <c r="BI142">
        <f t="shared" si="286"/>
        <v>0.63786810265507465</v>
      </c>
      <c r="BJ142">
        <f>'Weight '!U144+'Weight '!V144 /12</f>
        <v>2.4934383202099744E-2</v>
      </c>
      <c r="BK142">
        <f>('Weight '!AK144+'Weight '!AL144)/12</f>
        <v>3.9370078740157488E-3</v>
      </c>
      <c r="BL142">
        <f>'Weight '!AG144/12</f>
        <v>1.4427451390250708E-2</v>
      </c>
      <c r="BM142">
        <f>'Weight '!AI144/12</f>
        <v>1.4427451390250708E-2</v>
      </c>
      <c r="BN142" s="554">
        <f t="shared" si="287"/>
        <v>1.6953378241091834</v>
      </c>
      <c r="BO142" s="554">
        <f t="shared" si="288"/>
        <v>3.6891573651259955</v>
      </c>
      <c r="BP142">
        <f t="shared" si="289"/>
        <v>1.4427451390250708E-2</v>
      </c>
      <c r="BQ142">
        <f t="shared" si="289"/>
        <v>1.4427451390250708E-2</v>
      </c>
      <c r="BR142">
        <f t="shared" si="290"/>
        <v>0.57253291173949872</v>
      </c>
      <c r="BS142">
        <f t="shared" si="291"/>
        <v>0.3767367744303563</v>
      </c>
      <c r="BT142">
        <f t="shared" si="292"/>
        <v>0.87861126603972894</v>
      </c>
      <c r="BU142">
        <f t="shared" si="293"/>
        <v>0.49264142870225858</v>
      </c>
      <c r="BV142">
        <f t="shared" si="294"/>
        <v>217.70123152299044</v>
      </c>
      <c r="BW142" s="207">
        <f t="shared" si="295"/>
        <v>116.53530706819267</v>
      </c>
      <c r="BX142">
        <f t="shared" si="296"/>
        <v>1.2121449323939486</v>
      </c>
      <c r="BY142" s="575">
        <f t="shared" si="297"/>
        <v>-41.004089107842574</v>
      </c>
      <c r="BZ142">
        <f t="shared" si="298"/>
        <v>231.36926122560465</v>
      </c>
      <c r="CA142" s="207">
        <f t="shared" si="299"/>
        <v>109.21882094972479</v>
      </c>
      <c r="CB142">
        <f t="shared" si="300"/>
        <v>1.2353001255029294</v>
      </c>
      <c r="CC142">
        <f t="shared" si="301"/>
        <v>161.90569671118359</v>
      </c>
      <c r="CD142">
        <f t="shared" si="302"/>
        <v>177.40069565521011</v>
      </c>
      <c r="CE142" s="207">
        <f t="shared" si="303"/>
        <v>138.10815389826917</v>
      </c>
      <c r="CF142">
        <f t="shared" si="304"/>
        <v>1.1438712520817544</v>
      </c>
      <c r="CG142">
        <f t="shared" si="305"/>
        <v>16.018745598683381</v>
      </c>
      <c r="CH142">
        <f t="shared" si="306"/>
        <v>172.06111378898231</v>
      </c>
      <c r="CI142" s="207">
        <f t="shared" ref="CI142" si="422" xml:space="preserve"> ($BQ$38-CH142*($BP142+$BR142+$BQ142+$BN142))/($BP142+$BR142+$BQ142+$BO142)</f>
        <v>140.96642809379617</v>
      </c>
      <c r="CJ142">
        <f t="shared" si="308"/>
        <v>1.1348253945643341</v>
      </c>
      <c r="CK142">
        <f t="shared" si="309"/>
        <v>2.6578606053422984</v>
      </c>
      <c r="CL142">
        <f t="shared" si="310"/>
        <v>171.1751602538682</v>
      </c>
      <c r="CM142" s="207">
        <f t="shared" ref="CM142" si="423" xml:space="preserve"> ($BQ$38-CL142*($BP142+$BR142+$BQ142+$BN142))/($BP142+$BR142+$BQ142+$BO142)</f>
        <v>141.44067836119424</v>
      </c>
      <c r="CN142">
        <f t="shared" si="312"/>
        <v>1.1333244887543894</v>
      </c>
      <c r="CO142">
        <f t="shared" si="313"/>
        <v>0.45968514948789263</v>
      </c>
      <c r="CP142">
        <f t="shared" si="314"/>
        <v>171.02193187070557</v>
      </c>
      <c r="CQ142" s="207">
        <f t="shared" ref="CQ142" si="424" xml:space="preserve"> ($BQ$38-CP142*($BP142+$BR142+$BQ142+$BN142))/($BP142+$BR142+$BQ142+$BO142)</f>
        <v>141.52270140056109</v>
      </c>
      <c r="CR142">
        <f t="shared" si="316"/>
        <v>1.1330649024878165</v>
      </c>
      <c r="CS142">
        <f t="shared" si="317"/>
        <v>8.0043472228309653E-2</v>
      </c>
      <c r="CT142">
        <f t="shared" si="318"/>
        <v>170.99525071329614</v>
      </c>
      <c r="CU142" s="636">
        <f t="shared" si="319"/>
        <v>141.53698380424751</v>
      </c>
      <c r="CV142" s="575">
        <f t="shared" si="320"/>
        <v>1.1330197015798855</v>
      </c>
      <c r="CW142">
        <f t="shared" si="321"/>
        <v>1.3953972281603555E-2</v>
      </c>
      <c r="CX142" s="576">
        <f t="shared" si="322"/>
        <v>0.33912151420486908</v>
      </c>
    </row>
    <row r="143" spans="1:102" x14ac:dyDescent="0.25">
      <c r="A143" s="186">
        <v>99</v>
      </c>
      <c r="B143" s="187">
        <f>A143/100*'Inputs-Imperial'!$E$5</f>
        <v>23.840551943999998</v>
      </c>
      <c r="C143" s="188">
        <f>'Inputs-Imperial'!$E$10+('Inputs-Imperial'!$E$9-'Inputs-Imperial'!$E$10)*(100-A143)/100</f>
        <v>3.3232448570000002</v>
      </c>
      <c r="D143" s="187">
        <f t="shared" si="323"/>
        <v>0.24081365600000026</v>
      </c>
      <c r="E143" s="188">
        <f t="shared" si="324"/>
        <v>0.80242581158871529</v>
      </c>
      <c r="F143" s="423">
        <f>Sizing!F159</f>
        <v>4.2712779409173143</v>
      </c>
      <c r="G143" s="423">
        <f>Sizing!G159</f>
        <v>42.712779409173145</v>
      </c>
      <c r="H143" s="423">
        <f>Sizing!H159</f>
        <v>10.285820567444516</v>
      </c>
      <c r="I143" s="423">
        <f>Sizing!I159</f>
        <v>-38.825819631711084</v>
      </c>
      <c r="J143" s="189">
        <f>Sizing!J159</f>
        <v>1.0285820567444515</v>
      </c>
      <c r="K143" s="128">
        <v>99</v>
      </c>
      <c r="L143" s="12">
        <f t="shared" si="265"/>
        <v>286.08662332799997</v>
      </c>
      <c r="M143" s="11">
        <f t="shared" si="265"/>
        <v>39.878938284</v>
      </c>
      <c r="N143" s="11">
        <f t="shared" si="265"/>
        <v>2.8897638720000032</v>
      </c>
      <c r="O143" s="152">
        <f t="shared" si="325"/>
        <v>115.54931686877501</v>
      </c>
      <c r="P143" s="170">
        <f t="shared" si="260"/>
        <v>7.1782088911199997</v>
      </c>
      <c r="Q143" s="8">
        <f t="shared" si="261"/>
        <v>3.5891044455599999</v>
      </c>
      <c r="R143" s="170">
        <f>Sizing!X159</f>
        <v>9.969734571</v>
      </c>
      <c r="S143" s="8">
        <f>Sizing!Y159</f>
        <v>29.909203713</v>
      </c>
      <c r="T143" s="8">
        <f>Sizing!Z159</f>
        <v>19.939469142</v>
      </c>
      <c r="U143" s="17">
        <f>Sizing!CN159</f>
        <v>0.75</v>
      </c>
      <c r="V143" s="17">
        <f>Sizing!CO159</f>
        <v>2.3622047244094495E-2</v>
      </c>
      <c r="W143" s="17">
        <f>Sizing!CP159</f>
        <v>1.5748031496062995E-2</v>
      </c>
      <c r="X143" s="170">
        <f>Sizing!DU159</f>
        <v>2.9973794920998782E-2</v>
      </c>
      <c r="Y143" s="170">
        <f>Sizing!DV159</f>
        <v>0.17312941668300849</v>
      </c>
      <c r="Z143" s="170">
        <f>Sizing!DW159</f>
        <v>2.9973794920998782E-2</v>
      </c>
      <c r="AA143" s="272">
        <f>Sizing!DX159</f>
        <v>0.17312941668300849</v>
      </c>
      <c r="AB143" s="272">
        <f t="shared" si="266"/>
        <v>5.4263393169566756</v>
      </c>
      <c r="AC143" s="216">
        <f>Sizing!GJ159</f>
        <v>0.25</v>
      </c>
      <c r="AD143" s="216">
        <f>Sizing!GK159</f>
        <v>2.3622047244094495E-2</v>
      </c>
      <c r="AE143" s="17">
        <f>Sizing!GL159</f>
        <v>2.3622047244094495E-2</v>
      </c>
      <c r="AF143" s="170">
        <f>Sizing!JC159</f>
        <v>5.2711395752220482E-4</v>
      </c>
      <c r="AG143" s="272">
        <f>Sizing!JD159</f>
        <v>2.2958962466152619E-2</v>
      </c>
      <c r="AH143" s="170">
        <f>Sizing!JC159</f>
        <v>5.2711395752220482E-4</v>
      </c>
      <c r="AI143" s="272">
        <f>Sizing!JD159</f>
        <v>2.2958962466152619E-2</v>
      </c>
      <c r="AJ143" s="216">
        <f>Sizing!IT159</f>
        <v>0.25</v>
      </c>
      <c r="AK143" s="216">
        <f>Sizing!IU159</f>
        <v>1.5748031496062995E-2</v>
      </c>
      <c r="AL143" s="17">
        <f>Sizing!IV159</f>
        <v>1.5748031496062995E-2</v>
      </c>
      <c r="AM143" s="170">
        <f t="shared" si="267"/>
        <v>0</v>
      </c>
      <c r="AN143" s="11">
        <f t="shared" si="268"/>
        <v>0.22064578469521798</v>
      </c>
      <c r="AO143" s="11">
        <f t="shared" si="269"/>
        <v>0.22064578469521798</v>
      </c>
      <c r="AP143" s="11">
        <f t="shared" si="270"/>
        <v>0.44129156939043596</v>
      </c>
      <c r="AQ143" s="555">
        <f t="shared" si="271"/>
        <v>7040445.1305375053</v>
      </c>
      <c r="AR143" s="311">
        <f t="shared" si="272"/>
        <v>10.31432667913003</v>
      </c>
      <c r="AS143" s="11">
        <f t="shared" si="273"/>
        <v>7.118399881951243E-3</v>
      </c>
      <c r="AT143" s="11">
        <f t="shared" si="274"/>
        <v>0.40478051317447972</v>
      </c>
      <c r="AU143" s="11">
        <f t="shared" si="275"/>
        <v>0.41189891305643095</v>
      </c>
      <c r="AV143" s="555">
        <f t="shared" si="276"/>
        <v>6571509.4007066498</v>
      </c>
      <c r="AW143" s="138">
        <f t="shared" si="277"/>
        <v>3.9370078740157494E-2</v>
      </c>
      <c r="AX143" s="138">
        <f t="shared" si="278"/>
        <v>4.724409448818899E-2</v>
      </c>
      <c r="AY143" s="554">
        <f t="shared" si="279"/>
        <v>3.1496062992125991E-2</v>
      </c>
      <c r="AZ143" s="12">
        <f t="shared" si="280"/>
        <v>674.48270172486025</v>
      </c>
      <c r="BA143" s="11">
        <f t="shared" si="281"/>
        <v>127.72535287109841</v>
      </c>
      <c r="BB143">
        <f t="shared" si="282"/>
        <v>560.90691656907393</v>
      </c>
      <c r="BC143" s="555">
        <f t="shared" si="283"/>
        <v>2115173251.4989793</v>
      </c>
      <c r="BD143">
        <f t="shared" si="284"/>
        <v>99</v>
      </c>
      <c r="BE143" s="207">
        <f t="shared" si="285"/>
        <v>3.3232448570000002</v>
      </c>
      <c r="BF143" s="207">
        <f>'Inputs-Imperial'!$E$15*BE143</f>
        <v>2.49243364275</v>
      </c>
      <c r="BG143" s="207">
        <f>'Inputs-Imperial'!$E$12*BE143</f>
        <v>0.83081121425000004</v>
      </c>
      <c r="BH143">
        <f>'Inputs-Imperial'!$E$11*BE143</f>
        <v>0.59818407425999998</v>
      </c>
      <c r="BI143">
        <f t="shared" si="286"/>
        <v>0.63447002296056498</v>
      </c>
      <c r="BJ143">
        <f>'Weight '!U145+'Weight '!V145 /12</f>
        <v>2.4934383202099744E-2</v>
      </c>
      <c r="BK143">
        <f>('Weight '!AK145+'Weight '!AL145)/12</f>
        <v>3.9370078740157488E-3</v>
      </c>
      <c r="BL143">
        <f>'Weight '!AG145/12</f>
        <v>1.4427451390250708E-2</v>
      </c>
      <c r="BM143">
        <f>'Weight '!AI145/12</f>
        <v>1.4427451390250708E-2</v>
      </c>
      <c r="BN143" s="554">
        <f t="shared" si="287"/>
        <v>1.6829267440038833</v>
      </c>
      <c r="BO143" s="554">
        <f t="shared" si="288"/>
        <v>3.672883919870074</v>
      </c>
      <c r="BP143">
        <f t="shared" si="289"/>
        <v>1.4427451390250708E-2</v>
      </c>
      <c r="BQ143">
        <f t="shared" si="289"/>
        <v>1.4427451390250708E-2</v>
      </c>
      <c r="BR143">
        <f t="shared" si="290"/>
        <v>0.56932917147949857</v>
      </c>
      <c r="BS143">
        <f t="shared" si="291"/>
        <v>0.37273352781072205</v>
      </c>
      <c r="BT143">
        <f t="shared" si="292"/>
        <v>0.86927504558165358</v>
      </c>
      <c r="BU143">
        <f t="shared" si="293"/>
        <v>0.48222733034552318</v>
      </c>
      <c r="BV143">
        <f t="shared" si="294"/>
        <v>219.19145531936144</v>
      </c>
      <c r="BW143" s="207">
        <f t="shared" si="295"/>
        <v>117.06673850361857</v>
      </c>
      <c r="BX143">
        <f t="shared" si="296"/>
        <v>1.2060904412916467</v>
      </c>
      <c r="BY143" s="575">
        <f t="shared" si="297"/>
        <v>-40.696119176062041</v>
      </c>
      <c r="BZ143">
        <f t="shared" si="298"/>
        <v>232.75682837804879</v>
      </c>
      <c r="CA143" s="207">
        <f t="shared" si="299"/>
        <v>109.82168427350912</v>
      </c>
      <c r="CB143">
        <f t="shared" si="300"/>
        <v>1.2287988696963525</v>
      </c>
      <c r="CC143">
        <f t="shared" si="301"/>
        <v>162.11819953335737</v>
      </c>
      <c r="CD143">
        <f t="shared" si="302"/>
        <v>178.71742853359635</v>
      </c>
      <c r="CE143" s="207">
        <f t="shared" si="303"/>
        <v>138.68328511130508</v>
      </c>
      <c r="CF143">
        <f t="shared" si="304"/>
        <v>1.1383369386390896</v>
      </c>
      <c r="CG143">
        <f t="shared" si="305"/>
        <v>16.874661714085136</v>
      </c>
      <c r="CH143">
        <f t="shared" si="306"/>
        <v>173.09254129556797</v>
      </c>
      <c r="CI143" s="207">
        <f t="shared" ref="CI143" si="425" xml:space="preserve"> ($BQ$38-CH143*($BP143+$BR143+$BQ143+$BN143))/($BP143+$BR143+$BQ143+$BO143)</f>
        <v>141.68744967806339</v>
      </c>
      <c r="CJ143">
        <f t="shared" si="308"/>
        <v>1.1289208799301467</v>
      </c>
      <c r="CK143">
        <f t="shared" si="309"/>
        <v>2.8800653239275533</v>
      </c>
      <c r="CL143">
        <f t="shared" si="310"/>
        <v>172.13251952092546</v>
      </c>
      <c r="CM143" s="207">
        <f t="shared" ref="CM143" si="426" xml:space="preserve"> ($BQ$38-CL143*($BP143+$BR143+$BQ143+$BN143))/($BP143+$BR143+$BQ143+$BO143)</f>
        <v>142.20018233858661</v>
      </c>
      <c r="CN143">
        <f t="shared" si="312"/>
        <v>1.1273138039107764</v>
      </c>
      <c r="CO143">
        <f t="shared" si="313"/>
        <v>0.5127170501507905</v>
      </c>
      <c r="CP143">
        <f t="shared" si="314"/>
        <v>171.96161383754185</v>
      </c>
      <c r="CQ143" s="207">
        <f t="shared" ref="CQ143" si="427" xml:space="preserve"> ($BQ$38-CP143*($BP143+$BR143+$BQ143+$BN143))/($BP143+$BR143+$BQ143+$BO143)</f>
        <v>142.291460399204</v>
      </c>
      <c r="CR143">
        <f t="shared" si="316"/>
        <v>1.127027707873588</v>
      </c>
      <c r="CS143">
        <f t="shared" si="317"/>
        <v>9.1922389344617272E-2</v>
      </c>
      <c r="CT143">
        <f t="shared" si="318"/>
        <v>171.93097304109364</v>
      </c>
      <c r="CU143" s="636">
        <f t="shared" si="319"/>
        <v>142.30782517081482</v>
      </c>
      <c r="CV143" s="575">
        <f t="shared" si="320"/>
        <v>1.126976415194102</v>
      </c>
      <c r="CW143">
        <f t="shared" si="321"/>
        <v>1.6500965695350089E-2</v>
      </c>
      <c r="CX143" s="576">
        <f t="shared" si="322"/>
        <v>0.33911928361831867</v>
      </c>
    </row>
    <row r="144" spans="1:102" ht="15.75" thickBot="1" x14ac:dyDescent="0.3">
      <c r="A144" s="190">
        <v>100</v>
      </c>
      <c r="B144" s="191">
        <f>A144/100*'Inputs-Imperial'!$E$5</f>
        <v>24.081365599999998</v>
      </c>
      <c r="C144" s="192">
        <f>'Inputs-Imperial'!$E$10+('Inputs-Imperial'!$E$9-'Inputs-Imperial'!$E$10)*(100-A144)/100</f>
        <v>3.3054463000000003</v>
      </c>
      <c r="D144" s="191">
        <f t="shared" si="323"/>
        <v>0.24081365600000026</v>
      </c>
      <c r="E144" s="192">
        <f t="shared" si="324"/>
        <v>0.79813967600602098</v>
      </c>
      <c r="F144" s="193">
        <f>Sizing!F160</f>
        <v>0</v>
      </c>
      <c r="G144" s="193">
        <f>Sizing!G160</f>
        <v>0</v>
      </c>
      <c r="H144" s="193">
        <f>Sizing!H160</f>
        <v>0</v>
      </c>
      <c r="I144" s="193">
        <f>Sizing!I160</f>
        <v>0</v>
      </c>
      <c r="J144" s="194">
        <f>Sizing!J160</f>
        <v>0</v>
      </c>
      <c r="K144" s="131">
        <v>100</v>
      </c>
      <c r="L144" s="168">
        <f t="shared" si="265"/>
        <v>288.97638719999998</v>
      </c>
      <c r="M144" s="172">
        <f t="shared" si="265"/>
        <v>39.665355600000005</v>
      </c>
      <c r="N144" s="172">
        <f t="shared" si="265"/>
        <v>2.8897638720000032</v>
      </c>
      <c r="O144" s="137">
        <f t="shared" si="325"/>
        <v>114.93211334486702</v>
      </c>
      <c r="P144" s="171">
        <f t="shared" si="260"/>
        <v>7.1397640080000011</v>
      </c>
      <c r="Q144" s="122">
        <f t="shared" si="261"/>
        <v>3.5698820040000006</v>
      </c>
      <c r="R144" s="171">
        <f>Sizing!X160</f>
        <v>9.9163389000000013</v>
      </c>
      <c r="S144" s="122">
        <f>Sizing!Y160</f>
        <v>29.749016700000006</v>
      </c>
      <c r="T144" s="122">
        <f>Sizing!Z160</f>
        <v>19.832677800000006</v>
      </c>
      <c r="U144" s="206">
        <f>Sizing!CN160</f>
        <v>0.75</v>
      </c>
      <c r="V144" s="206">
        <f>Sizing!CO160</f>
        <v>2.3622047244094495E-2</v>
      </c>
      <c r="W144" s="206">
        <f>Sizing!CP160</f>
        <v>1.5748031496062995E-2</v>
      </c>
      <c r="X144" s="171">
        <f>Sizing!DU160</f>
        <v>2.9973794920998782E-2</v>
      </c>
      <c r="Y144" s="171">
        <f>Sizing!DV160</f>
        <v>0.17312941668300849</v>
      </c>
      <c r="Z144" s="171">
        <f>Sizing!DW160</f>
        <v>2.9973794920998782E-2</v>
      </c>
      <c r="AA144" s="303">
        <f>Sizing!DX160</f>
        <v>0.17312941668300849</v>
      </c>
      <c r="AB144" s="272">
        <f t="shared" si="266"/>
        <v>5.387894433836677</v>
      </c>
      <c r="AC144" s="218">
        <f>Sizing!GJ160</f>
        <v>0.25</v>
      </c>
      <c r="AD144" s="218">
        <f>Sizing!GK160</f>
        <v>2.3622047244094495E-2</v>
      </c>
      <c r="AE144" s="206">
        <f>Sizing!GL160</f>
        <v>2.3622047244094495E-2</v>
      </c>
      <c r="AF144" s="171">
        <f>Sizing!JC160</f>
        <v>5.2711395752220482E-4</v>
      </c>
      <c r="AG144" s="303">
        <f>Sizing!JD160</f>
        <v>2.2958962466152619E-2</v>
      </c>
      <c r="AH144" s="171">
        <f>Sizing!JC160</f>
        <v>5.2711395752220482E-4</v>
      </c>
      <c r="AI144" s="303">
        <f>Sizing!JD160</f>
        <v>2.2958962466152619E-2</v>
      </c>
      <c r="AJ144" s="218">
        <f>Sizing!IT160</f>
        <v>0.25</v>
      </c>
      <c r="AK144" s="218">
        <f>Sizing!IU160</f>
        <v>1.5748031496062995E-2</v>
      </c>
      <c r="AL144" s="206">
        <f>Sizing!IV160</f>
        <v>1.5748031496062995E-2</v>
      </c>
      <c r="AM144" s="171">
        <f t="shared" si="267"/>
        <v>0</v>
      </c>
      <c r="AN144" s="172">
        <f t="shared" si="268"/>
        <v>0.2175303687540466</v>
      </c>
      <c r="AO144" s="172">
        <f t="shared" si="269"/>
        <v>0.2175303687540466</v>
      </c>
      <c r="AP144" s="172">
        <f t="shared" si="270"/>
        <v>0.43506073750809321</v>
      </c>
      <c r="AQ144" s="556">
        <f t="shared" si="271"/>
        <v>6941037.3171368707</v>
      </c>
      <c r="AR144" s="317">
        <f t="shared" si="272"/>
        <v>10.259085449785035</v>
      </c>
      <c r="AS144" s="172">
        <f t="shared" si="273"/>
        <v>7.0423549497161128E-3</v>
      </c>
      <c r="AT144" s="172">
        <f t="shared" si="274"/>
        <v>0.40045629604634403</v>
      </c>
      <c r="AU144" s="172">
        <f t="shared" si="275"/>
        <v>0.40749865099606014</v>
      </c>
      <c r="AV144" s="556">
        <f t="shared" si="276"/>
        <v>6501306.8277483229</v>
      </c>
      <c r="AW144" s="138">
        <f t="shared" si="277"/>
        <v>3.9370078740157494E-2</v>
      </c>
      <c r="AX144" s="138">
        <f t="shared" si="278"/>
        <v>4.724409448818899E-2</v>
      </c>
      <c r="AY144" s="554">
        <f t="shared" si="279"/>
        <v>3.1496062992125991E-2</v>
      </c>
      <c r="AZ144" s="12">
        <f t="shared" si="280"/>
        <v>667.27729149264212</v>
      </c>
      <c r="BA144" s="11">
        <f t="shared" si="281"/>
        <v>127.04128441654778</v>
      </c>
      <c r="BB144">
        <f t="shared" si="282"/>
        <v>551.94282174282239</v>
      </c>
      <c r="BC144" s="556">
        <f t="shared" si="283"/>
        <v>2081369757.4783225</v>
      </c>
      <c r="BD144">
        <f t="shared" si="284"/>
        <v>100</v>
      </c>
      <c r="BE144" s="207">
        <f t="shared" si="285"/>
        <v>3.3054463000000003</v>
      </c>
      <c r="BF144" s="207">
        <f>'Inputs-Imperial'!$E$15*BE144</f>
        <v>2.4790847250000003</v>
      </c>
      <c r="BG144" s="207">
        <f>'Inputs-Imperial'!$E$12*BE144</f>
        <v>0.82636157500000007</v>
      </c>
      <c r="BH144">
        <f>'Inputs-Imperial'!$E$11*BE144</f>
        <v>0.59498033400000006</v>
      </c>
      <c r="BI144">
        <f t="shared" si="286"/>
        <v>0.63107194326605554</v>
      </c>
      <c r="BJ144">
        <f>'Weight '!U146+'Weight '!V146 /12</f>
        <v>2.4934383202099744E-2</v>
      </c>
      <c r="BK144">
        <f>('Weight '!AK146+'Weight '!AL146)/12</f>
        <v>3.9370078740157488E-3</v>
      </c>
      <c r="BL144">
        <f>'Weight '!AG146/12</f>
        <v>1.4427451390250708E-2</v>
      </c>
      <c r="BM144">
        <f>'Weight '!AI146/12</f>
        <v>1.4427451390250708E-2</v>
      </c>
      <c r="BN144" s="554">
        <f t="shared" si="287"/>
        <v>1.6705180381708937</v>
      </c>
      <c r="BO144" s="554">
        <f t="shared" si="288"/>
        <v>3.6566081003418409</v>
      </c>
      <c r="BP144">
        <f t="shared" si="289"/>
        <v>1.4427451390250708E-2</v>
      </c>
      <c r="BQ144">
        <f t="shared" si="289"/>
        <v>1.4427451390250708E-2</v>
      </c>
      <c r="BR144">
        <f t="shared" si="290"/>
        <v>0.56612543121949865</v>
      </c>
      <c r="BS144">
        <f t="shared" si="291"/>
        <v>0.36875166442369955</v>
      </c>
      <c r="BT144">
        <f t="shared" si="292"/>
        <v>0.85998869429046632</v>
      </c>
      <c r="BU144">
        <f t="shared" si="293"/>
        <v>0.47197922127127329</v>
      </c>
      <c r="BV144">
        <f t="shared" si="294"/>
        <v>220.70199040614602</v>
      </c>
      <c r="BW144" s="207">
        <f t="shared" si="295"/>
        <v>117.60310475051934</v>
      </c>
      <c r="BX144">
        <f t="shared" si="296"/>
        <v>1.2000361341099715</v>
      </c>
      <c r="BY144" s="575">
        <f t="shared" si="297"/>
        <v>-40.384715179110088</v>
      </c>
      <c r="BZ144">
        <f t="shared" si="298"/>
        <v>234.16356213251606</v>
      </c>
      <c r="CA144" s="207">
        <f t="shared" si="299"/>
        <v>110.42998126880723</v>
      </c>
      <c r="CB144">
        <f t="shared" si="300"/>
        <v>1.2223016982637311</v>
      </c>
      <c r="CC144">
        <f t="shared" si="301"/>
        <v>162.34019056934966</v>
      </c>
      <c r="CD144">
        <f t="shared" si="302"/>
        <v>180.05016527606617</v>
      </c>
      <c r="CE144" s="207">
        <f t="shared" si="303"/>
        <v>139.26480721307874</v>
      </c>
      <c r="CF144">
        <f t="shared" si="304"/>
        <v>1.1327976393190451</v>
      </c>
      <c r="CG144">
        <f t="shared" si="305"/>
        <v>17.733611107624284</v>
      </c>
      <c r="CH144">
        <f t="shared" si="306"/>
        <v>174.13896157352474</v>
      </c>
      <c r="CI144" s="207">
        <f t="shared" ref="CI144" si="428" xml:space="preserve"> ($BQ$38-CH144*($BP144+$BR144+$BQ144+$BN144))/($BP144+$BR144+$BQ144+$BO144)</f>
        <v>142.41464699002111</v>
      </c>
      <c r="CJ144">
        <f t="shared" si="308"/>
        <v>1.1230204537169322</v>
      </c>
      <c r="CK144">
        <f t="shared" si="309"/>
        <v>3.1109158829356893</v>
      </c>
      <c r="CL144">
        <f t="shared" si="310"/>
        <v>173.10198961254616</v>
      </c>
      <c r="CM144" s="207">
        <f t="shared" ref="CM144" si="429" xml:space="preserve"> ($BQ$38-CL144*($BP144+$BR144+$BQ144+$BN144))/($BP144+$BR144+$BQ144+$BO144)</f>
        <v>142.96720712745304</v>
      </c>
      <c r="CN144">
        <f t="shared" si="312"/>
        <v>1.121305292501575</v>
      </c>
      <c r="CO144">
        <f t="shared" si="313"/>
        <v>0.56956640240271916</v>
      </c>
      <c r="CP144">
        <f t="shared" si="314"/>
        <v>172.9121341450786</v>
      </c>
      <c r="CQ144" s="207">
        <f t="shared" ref="CQ144" si="430" xml:space="preserve"> ($BQ$38-CP144*($BP144+$BR144+$BQ144+$BN144))/($BP144+$BR144+$BQ144+$BO144)</f>
        <v>143.0683733760535</v>
      </c>
      <c r="CR144">
        <f t="shared" si="316"/>
        <v>1.1209912698022373</v>
      </c>
      <c r="CS144">
        <f t="shared" si="317"/>
        <v>0.10505036782219435</v>
      </c>
      <c r="CT144">
        <f t="shared" si="318"/>
        <v>172.87711735580453</v>
      </c>
      <c r="CU144" s="636">
        <f t="shared" si="319"/>
        <v>143.08703239734032</v>
      </c>
      <c r="CV144" s="577">
        <f t="shared" si="320"/>
        <v>1.1209333517088758</v>
      </c>
      <c r="CW144" s="578">
        <f t="shared" si="321"/>
        <v>1.940145344765476E-2</v>
      </c>
      <c r="CX144" s="579">
        <f t="shared" si="322"/>
        <v>0.33911709644439714</v>
      </c>
    </row>
  </sheetData>
  <sheetProtection sheet="1" objects="1" scenarios="1"/>
  <mergeCells count="2">
    <mergeCell ref="A42:J42"/>
    <mergeCell ref="K42:O42"/>
  </mergeCells>
  <conditionalFormatting sqref="U44:W144">
    <cfRule type="colorScale" priority="11">
      <colorScale>
        <cfvo type="min"/>
        <cfvo type="max"/>
        <color rgb="FFFCFCFF"/>
        <color rgb="FFF8696B"/>
      </colorScale>
    </cfRule>
  </conditionalFormatting>
  <conditionalFormatting sqref="V44:W144">
    <cfRule type="colorScale" priority="10">
      <colorScale>
        <cfvo type="min"/>
        <cfvo type="max"/>
        <color rgb="FFFCFCFF"/>
        <color rgb="FF63BE7B"/>
      </colorScale>
    </cfRule>
  </conditionalFormatting>
  <conditionalFormatting sqref="X44:X144">
    <cfRule type="colorScale" priority="9">
      <colorScale>
        <cfvo type="min"/>
        <cfvo type="max"/>
        <color rgb="FFFCFCFF"/>
        <color rgb="FFF8696B"/>
      </colorScale>
    </cfRule>
  </conditionalFormatting>
  <conditionalFormatting sqref="Z44:Z144">
    <cfRule type="colorScale" priority="8">
      <colorScale>
        <cfvo type="min"/>
        <cfvo type="max"/>
        <color rgb="FFFCFCFF"/>
        <color rgb="FF63BE7B"/>
      </colorScale>
    </cfRule>
  </conditionalFormatting>
  <conditionalFormatting sqref="AC44:AE144">
    <cfRule type="colorScale" priority="7">
      <colorScale>
        <cfvo type="min"/>
        <cfvo type="max"/>
        <color rgb="FFFCFCFF"/>
        <color rgb="FFF8696B"/>
      </colorScale>
    </cfRule>
  </conditionalFormatting>
  <conditionalFormatting sqref="AD44:AE144">
    <cfRule type="colorScale" priority="6">
      <colorScale>
        <cfvo type="min"/>
        <cfvo type="max"/>
        <color rgb="FFFCFCFF"/>
        <color rgb="FF63BE7B"/>
      </colorScale>
    </cfRule>
  </conditionalFormatting>
  <conditionalFormatting sqref="AF44:AF144">
    <cfRule type="colorScale" priority="5">
      <colorScale>
        <cfvo type="min"/>
        <cfvo type="max"/>
        <color rgb="FFFCFCFF"/>
        <color rgb="FFF8696B"/>
      </colorScale>
    </cfRule>
  </conditionalFormatting>
  <conditionalFormatting sqref="AH44:AH144">
    <cfRule type="colorScale" priority="2">
      <colorScale>
        <cfvo type="min"/>
        <cfvo type="max"/>
        <color rgb="FFFCFCFF"/>
        <color rgb="FFF8696B"/>
      </colorScale>
    </cfRule>
  </conditionalFormatting>
  <conditionalFormatting sqref="AJ44:AL144">
    <cfRule type="colorScale" priority="4">
      <colorScale>
        <cfvo type="min"/>
        <cfvo type="max"/>
        <color rgb="FFFCFCFF"/>
        <color rgb="FFF8696B"/>
      </colorScale>
    </cfRule>
  </conditionalFormatting>
  <conditionalFormatting sqref="AK44:AL144">
    <cfRule type="colorScale" priority="3">
      <colorScale>
        <cfvo type="min"/>
        <cfvo type="max"/>
        <color rgb="FFFCFCFF"/>
        <color rgb="FF63BE7B"/>
      </colorScale>
    </cfRule>
  </conditionalFormatting>
  <conditionalFormatting sqref="AQ44:AQ144">
    <cfRule type="colorScale" priority="1">
      <colorScale>
        <cfvo type="min"/>
        <cfvo type="percentile" val="50"/>
        <cfvo type="max"/>
        <color rgb="FF63BE7B"/>
        <color rgb="FFFCFCFF"/>
        <color rgb="FFF8696B"/>
      </colorScale>
    </cfRule>
  </conditionalFormatting>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E104A1-F0F0-4515-8B3C-36BDBDEC6544}">
  <sheetPr>
    <tabColor rgb="FFFFFF00"/>
  </sheetPr>
  <dimension ref="A1:BT39"/>
  <sheetViews>
    <sheetView topLeftCell="A9" zoomScaleNormal="100" workbookViewId="0">
      <selection activeCell="L40" sqref="L40"/>
    </sheetView>
  </sheetViews>
  <sheetFormatPr defaultRowHeight="15" x14ac:dyDescent="0.25"/>
  <cols>
    <col min="4" max="4" width="10.85546875" customWidth="1"/>
    <col min="6" max="6" width="9.7109375" customWidth="1"/>
    <col min="7" max="8" width="10.140625" customWidth="1"/>
    <col min="10" max="10" width="9.85546875" bestFit="1" customWidth="1"/>
    <col min="11" max="11" width="14.5703125" bestFit="1" customWidth="1"/>
    <col min="19" max="22" width="9.42578125" bestFit="1" customWidth="1"/>
    <col min="24" max="24" width="10.5703125" customWidth="1"/>
    <col min="25" max="26" width="10.42578125" customWidth="1"/>
    <col min="27" max="27" width="13.42578125" customWidth="1"/>
    <col min="28" max="28" width="9.5703125" customWidth="1"/>
    <col min="29" max="29" width="21.85546875" bestFit="1" customWidth="1"/>
    <col min="30" max="32" width="9.28515625" customWidth="1"/>
    <col min="33" max="35" width="9.85546875" customWidth="1"/>
    <col min="36" max="36" width="9.28515625" customWidth="1"/>
    <col min="43" max="43" width="10.28515625" customWidth="1"/>
    <col min="44" max="45" width="10.42578125" customWidth="1"/>
    <col min="48" max="48" width="19.5703125" bestFit="1" customWidth="1"/>
    <col min="54" max="54" width="8.7109375" customWidth="1"/>
    <col min="60" max="60" width="10.5703125" customWidth="1"/>
    <col min="61" max="62" width="10.42578125" customWidth="1"/>
    <col min="65" max="65" width="19.5703125" bestFit="1" customWidth="1"/>
  </cols>
  <sheetData>
    <row r="1" spans="1:50" x14ac:dyDescent="0.25">
      <c r="A1" t="s">
        <v>939</v>
      </c>
      <c r="U1" s="4" t="s">
        <v>971</v>
      </c>
      <c r="X1" s="4" t="s">
        <v>972</v>
      </c>
      <c r="Y1" s="4"/>
      <c r="Z1" s="4"/>
      <c r="AA1" s="4" t="s">
        <v>973</v>
      </c>
      <c r="AT1" s="4" t="s">
        <v>978</v>
      </c>
    </row>
    <row r="2" spans="1:50" x14ac:dyDescent="0.25">
      <c r="A2" s="562" t="str">
        <f>'Inputs-Imperial'!C12</f>
        <v>Spar_x/c</v>
      </c>
      <c r="B2" s="726">
        <f>Inputs!E12</f>
        <v>0.25</v>
      </c>
      <c r="C2" s="41" t="s">
        <v>1100</v>
      </c>
      <c r="U2" t="s">
        <v>735</v>
      </c>
      <c r="V2" s="819">
        <f>0.95*2*PI()</f>
        <v>5.9690260418206069</v>
      </c>
      <c r="X2" t="s">
        <v>735</v>
      </c>
      <c r="Y2" s="819">
        <f>0.95*2*PI()</f>
        <v>5.9690260418206069</v>
      </c>
      <c r="AA2" t="s">
        <v>735</v>
      </c>
      <c r="AB2" s="819">
        <f>0.95*2*PI()</f>
        <v>5.9690260418206069</v>
      </c>
    </row>
    <row r="3" spans="1:50" x14ac:dyDescent="0.25">
      <c r="B3" s="207"/>
      <c r="U3" t="s">
        <v>729</v>
      </c>
      <c r="V3" s="819">
        <v>-0.15</v>
      </c>
      <c r="X3" t="s">
        <v>729</v>
      </c>
      <c r="Y3" s="819">
        <v>-0.15</v>
      </c>
      <c r="AA3" t="s">
        <v>729</v>
      </c>
      <c r="AB3" s="819">
        <v>0</v>
      </c>
      <c r="AT3" t="s">
        <v>980</v>
      </c>
      <c r="AV3" s="672">
        <v>0.85</v>
      </c>
      <c r="AX3" s="41" t="s">
        <v>1088</v>
      </c>
    </row>
    <row r="4" spans="1:50" ht="15" customHeight="1" x14ac:dyDescent="0.25">
      <c r="A4" s="716"/>
      <c r="B4" s="716"/>
      <c r="C4" s="716"/>
      <c r="D4" s="716"/>
      <c r="U4" t="s">
        <v>969</v>
      </c>
      <c r="V4" s="820">
        <f>'Prosperity Reference'!C27</f>
        <v>1.85</v>
      </c>
      <c r="X4" t="s">
        <v>969</v>
      </c>
      <c r="Y4" s="820">
        <f>'Prosperity Reference'!C29</f>
        <v>2.25</v>
      </c>
      <c r="AA4" t="s">
        <v>969</v>
      </c>
      <c r="AB4" s="820">
        <f>'Prosperity Reference'!C31</f>
        <v>1.4</v>
      </c>
    </row>
    <row r="5" spans="1:50" x14ac:dyDescent="0.25">
      <c r="A5" s="716"/>
      <c r="B5" s="716"/>
      <c r="C5" s="716"/>
      <c r="D5" s="716"/>
      <c r="U5" t="s">
        <v>970</v>
      </c>
      <c r="V5" s="820">
        <f>'Prosperity Reference'!C28</f>
        <v>-1.55</v>
      </c>
      <c r="X5" t="s">
        <v>970</v>
      </c>
      <c r="Y5" s="820">
        <f>'Prosperity Reference'!C30</f>
        <v>-1.65</v>
      </c>
      <c r="AA5" t="s">
        <v>970</v>
      </c>
      <c r="AB5" s="820">
        <f>'Prosperity Reference'!C32</f>
        <v>-1.4</v>
      </c>
      <c r="AT5" t="s">
        <v>979</v>
      </c>
    </row>
    <row r="6" spans="1:50" x14ac:dyDescent="0.25">
      <c r="A6" s="716"/>
      <c r="B6" s="716"/>
      <c r="C6" s="716"/>
      <c r="D6" s="716"/>
      <c r="U6" t="s">
        <v>718</v>
      </c>
      <c r="V6" s="820">
        <v>5.4999999999999997E-3</v>
      </c>
      <c r="X6" t="s">
        <v>718</v>
      </c>
      <c r="Y6" s="820">
        <f>V6</f>
        <v>5.4999999999999997E-3</v>
      </c>
      <c r="AA6" t="s">
        <v>718</v>
      </c>
      <c r="AB6" s="820">
        <f>V6</f>
        <v>5.4999999999999997E-3</v>
      </c>
      <c r="AT6" s="554">
        <f>AM24+AP24</f>
        <v>13.6</v>
      </c>
    </row>
    <row r="7" spans="1:50" x14ac:dyDescent="0.25">
      <c r="A7" s="716"/>
      <c r="B7" s="716"/>
      <c r="C7" s="716"/>
      <c r="D7" s="716"/>
      <c r="U7" t="s">
        <v>720</v>
      </c>
      <c r="V7" s="820">
        <v>5.4999999999999997E-3</v>
      </c>
      <c r="X7" t="s">
        <v>720</v>
      </c>
      <c r="Y7" s="820">
        <f>V7</f>
        <v>5.4999999999999997E-3</v>
      </c>
      <c r="AA7" t="s">
        <v>720</v>
      </c>
      <c r="AB7" s="820">
        <f>V7</f>
        <v>5.4999999999999997E-3</v>
      </c>
      <c r="AT7">
        <f>AM25+AP25</f>
        <v>13.4</v>
      </c>
    </row>
    <row r="8" spans="1:50" x14ac:dyDescent="0.25">
      <c r="U8" t="s">
        <v>804</v>
      </c>
      <c r="V8" s="820">
        <v>0</v>
      </c>
      <c r="X8" t="s">
        <v>804</v>
      </c>
      <c r="Y8" s="820">
        <v>0</v>
      </c>
      <c r="AA8" t="s">
        <v>804</v>
      </c>
      <c r="AB8" s="820">
        <v>0</v>
      </c>
      <c r="AT8">
        <f>AM26+AP26</f>
        <v>0</v>
      </c>
    </row>
    <row r="11" spans="1:50" x14ac:dyDescent="0.25">
      <c r="X11" s="4" t="s">
        <v>1002</v>
      </c>
    </row>
    <row r="13" spans="1:50" x14ac:dyDescent="0.25">
      <c r="X13" t="s">
        <v>952</v>
      </c>
      <c r="Y13" s="606">
        <f>0.34-0.25</f>
        <v>9.0000000000000024E-2</v>
      </c>
      <c r="AA13" s="2"/>
      <c r="AC13" s="2"/>
    </row>
    <row r="14" spans="1:50" x14ac:dyDescent="0.25">
      <c r="X14" t="s">
        <v>739</v>
      </c>
      <c r="Y14" s="606">
        <f>4.6*PI()/180</f>
        <v>8.0285145591739146E-2</v>
      </c>
      <c r="Z14" t="s">
        <v>953</v>
      </c>
      <c r="AA14" s="2"/>
      <c r="AC14" s="2"/>
    </row>
    <row r="15" spans="1:50" x14ac:dyDescent="0.25">
      <c r="X15" t="s">
        <v>742</v>
      </c>
      <c r="Y15" s="606">
        <f>-Y14*Y13</f>
        <v>-7.2256631032565251E-3</v>
      </c>
    </row>
    <row r="19" spans="1:72" x14ac:dyDescent="0.25">
      <c r="A19" s="742" t="s">
        <v>1117</v>
      </c>
    </row>
    <row r="20" spans="1:72" x14ac:dyDescent="0.25">
      <c r="A20" s="627" t="s">
        <v>871</v>
      </c>
      <c r="B20" s="628"/>
      <c r="C20" s="628"/>
      <c r="D20" s="610" t="s">
        <v>914</v>
      </c>
      <c r="E20" s="610"/>
      <c r="F20" s="610"/>
      <c r="G20" s="610"/>
      <c r="H20" s="610"/>
      <c r="I20" s="610"/>
      <c r="J20" s="610"/>
      <c r="K20" s="610"/>
      <c r="L20" s="610"/>
      <c r="M20" s="610"/>
      <c r="N20" s="610"/>
      <c r="O20" s="610"/>
      <c r="P20" s="610"/>
      <c r="Q20" s="610"/>
      <c r="R20" s="610"/>
      <c r="S20" s="586" t="s">
        <v>880</v>
      </c>
      <c r="T20" s="619"/>
      <c r="U20" s="619"/>
      <c r="V20" s="587"/>
      <c r="W20" s="587"/>
      <c r="X20" s="587" t="s">
        <v>1090</v>
      </c>
      <c r="Y20" s="587"/>
      <c r="Z20" s="587"/>
      <c r="AA20" s="587"/>
      <c r="AB20" s="587"/>
      <c r="AC20" s="587"/>
      <c r="AD20" s="587"/>
      <c r="AE20" s="587"/>
      <c r="AF20" s="587"/>
      <c r="AG20" s="587"/>
      <c r="AH20" s="587"/>
      <c r="AI20" s="587"/>
      <c r="AJ20" s="587"/>
      <c r="AK20" s="587"/>
      <c r="AL20" s="588"/>
      <c r="AM20" s="586" t="s">
        <v>945</v>
      </c>
      <c r="AN20" s="619"/>
      <c r="AO20" s="587"/>
      <c r="AP20" s="587"/>
      <c r="AQ20" s="587" t="s">
        <v>1090</v>
      </c>
      <c r="AR20" s="587"/>
      <c r="AS20" s="587"/>
      <c r="AT20" s="587"/>
      <c r="AU20" s="587"/>
      <c r="AV20" s="587"/>
      <c r="AW20" s="587"/>
      <c r="AX20" s="587"/>
      <c r="AY20" s="587"/>
      <c r="AZ20" s="587"/>
      <c r="BA20" s="587"/>
      <c r="BB20" s="587"/>
      <c r="BC20" s="588"/>
      <c r="BD20" s="586" t="s">
        <v>946</v>
      </c>
      <c r="BE20" s="619"/>
      <c r="BF20" s="587"/>
      <c r="BG20" s="587"/>
      <c r="BH20" s="587" t="s">
        <v>1090</v>
      </c>
      <c r="BI20" s="587"/>
      <c r="BJ20" s="587"/>
      <c r="BK20" s="587"/>
      <c r="BL20" s="587"/>
      <c r="BM20" s="587"/>
      <c r="BN20" s="587"/>
      <c r="BO20" s="587"/>
      <c r="BP20" s="587"/>
      <c r="BQ20" s="587"/>
      <c r="BR20" s="587"/>
      <c r="BS20" s="587"/>
      <c r="BT20" s="588"/>
    </row>
    <row r="21" spans="1:72" x14ac:dyDescent="0.25">
      <c r="A21" s="629" t="s">
        <v>872</v>
      </c>
      <c r="B21" s="630"/>
      <c r="C21" s="630"/>
      <c r="D21" s="631"/>
      <c r="E21" s="631"/>
      <c r="F21" s="631"/>
      <c r="G21" s="631"/>
      <c r="H21" s="631"/>
      <c r="I21" s="631"/>
      <c r="J21" s="631"/>
      <c r="K21" s="631"/>
      <c r="L21" s="631"/>
      <c r="M21" s="631"/>
      <c r="N21" s="631"/>
      <c r="O21" s="631"/>
      <c r="P21" s="631"/>
      <c r="Q21" s="631"/>
      <c r="R21" s="631"/>
      <c r="S21" s="589" t="s">
        <v>872</v>
      </c>
      <c r="T21" s="593"/>
      <c r="U21" s="593"/>
      <c r="V21" s="590"/>
      <c r="W21" s="590"/>
      <c r="X21" s="590"/>
      <c r="Y21" s="590"/>
      <c r="Z21" s="590"/>
      <c r="AA21" s="590"/>
      <c r="AB21" s="590"/>
      <c r="AC21" s="590"/>
      <c r="AD21" s="590"/>
      <c r="AE21" s="590"/>
      <c r="AF21" s="590"/>
      <c r="AG21" s="590"/>
      <c r="AH21" s="590"/>
      <c r="AI21" s="590"/>
      <c r="AJ21" s="590"/>
      <c r="AK21" s="590"/>
      <c r="AL21" s="591"/>
      <c r="AM21" s="589" t="s">
        <v>882</v>
      </c>
      <c r="AN21" s="593"/>
      <c r="AO21" s="590"/>
      <c r="AP21" s="590"/>
      <c r="AQ21" s="590"/>
      <c r="AR21" s="590"/>
      <c r="AS21" s="590"/>
      <c r="AT21" s="590"/>
      <c r="AU21" s="590"/>
      <c r="AV21" s="590"/>
      <c r="AW21" s="590"/>
      <c r="AX21" s="590"/>
      <c r="AY21" s="590"/>
      <c r="AZ21" s="590"/>
      <c r="BA21" s="590"/>
      <c r="BB21" s="590"/>
      <c r="BC21" s="591"/>
      <c r="BD21" s="589" t="s">
        <v>882</v>
      </c>
      <c r="BE21" s="593"/>
      <c r="BF21" s="590"/>
      <c r="BG21" s="590"/>
      <c r="BH21" s="590"/>
      <c r="BI21" s="590"/>
      <c r="BJ21" s="590"/>
      <c r="BK21" s="590"/>
      <c r="BL21" s="590"/>
      <c r="BM21" s="590"/>
      <c r="BN21" s="590"/>
      <c r="BO21" s="590"/>
      <c r="BP21" s="590"/>
      <c r="BQ21" s="590"/>
      <c r="BR21" s="590"/>
      <c r="BS21" s="590"/>
      <c r="BT21" s="591"/>
    </row>
    <row r="22" spans="1:72" x14ac:dyDescent="0.25">
      <c r="A22" s="606">
        <v>2.85</v>
      </c>
      <c r="B22" s="630"/>
      <c r="C22" s="630"/>
      <c r="D22" s="631" t="s">
        <v>653</v>
      </c>
      <c r="E22" s="631"/>
      <c r="F22" s="744" t="s">
        <v>1087</v>
      </c>
      <c r="G22" s="744" t="s">
        <v>1085</v>
      </c>
      <c r="H22" s="631"/>
      <c r="I22" s="743" t="s">
        <v>1119</v>
      </c>
      <c r="J22" s="631"/>
      <c r="K22" s="631"/>
      <c r="L22" s="743" t="s">
        <v>1118</v>
      </c>
      <c r="M22" s="743"/>
      <c r="N22" s="743"/>
      <c r="O22" s="631"/>
      <c r="P22" s="631"/>
      <c r="Q22" s="631"/>
      <c r="R22" s="631"/>
      <c r="S22" s="606">
        <v>5.9</v>
      </c>
      <c r="T22" s="590"/>
      <c r="U22" s="590"/>
      <c r="V22" s="590" t="s">
        <v>653</v>
      </c>
      <c r="W22" s="593"/>
      <c r="X22" s="717" t="s">
        <v>1087</v>
      </c>
      <c r="Y22" s="590"/>
      <c r="Z22" s="590"/>
      <c r="AA22" s="590"/>
      <c r="AB22" s="590"/>
      <c r="AC22" s="590"/>
      <c r="AD22" s="590"/>
      <c r="AE22" s="590"/>
      <c r="AF22" s="590"/>
      <c r="AG22" s="590"/>
      <c r="AH22" s="590"/>
      <c r="AI22" s="590"/>
      <c r="AJ22" s="590"/>
      <c r="AK22" s="590" t="s">
        <v>951</v>
      </c>
      <c r="AL22" s="591"/>
      <c r="AM22" s="606">
        <v>0</v>
      </c>
      <c r="AN22" s="590"/>
      <c r="AO22" s="590" t="s">
        <v>653</v>
      </c>
      <c r="AP22" s="590"/>
      <c r="AQ22" s="717" t="s">
        <v>1087</v>
      </c>
      <c r="AR22" s="590"/>
      <c r="AS22" s="590"/>
      <c r="AT22" s="590"/>
      <c r="AU22" s="590"/>
      <c r="AV22" s="590"/>
      <c r="AW22" s="590"/>
      <c r="AX22" s="590"/>
      <c r="AY22" s="590"/>
      <c r="AZ22" s="590"/>
      <c r="BA22" s="590"/>
      <c r="BB22" s="590"/>
      <c r="BC22" s="591"/>
      <c r="BD22" s="606">
        <v>0</v>
      </c>
      <c r="BE22" s="590"/>
      <c r="BF22" s="590" t="s">
        <v>653</v>
      </c>
      <c r="BG22" s="590"/>
      <c r="BH22" s="717" t="s">
        <v>1087</v>
      </c>
      <c r="BI22" s="590"/>
      <c r="BJ22" s="590"/>
      <c r="BK22" s="590"/>
      <c r="BL22" s="590"/>
      <c r="BM22" s="590"/>
      <c r="BN22" s="590"/>
      <c r="BO22" s="590"/>
      <c r="BP22" s="590"/>
      <c r="BQ22" s="590"/>
      <c r="BR22" s="590"/>
      <c r="BS22" s="590"/>
      <c r="BT22" s="591"/>
    </row>
    <row r="23" spans="1:72" x14ac:dyDescent="0.25">
      <c r="A23" s="581" t="s">
        <v>873</v>
      </c>
      <c r="B23" s="571" t="s">
        <v>874</v>
      </c>
      <c r="C23" s="571" t="s">
        <v>875</v>
      </c>
      <c r="D23" s="571" t="s">
        <v>1083</v>
      </c>
      <c r="E23" s="571" t="s">
        <v>940</v>
      </c>
      <c r="F23" s="715" t="s">
        <v>725</v>
      </c>
      <c r="G23" s="571" t="s">
        <v>1086</v>
      </c>
      <c r="H23" s="571" t="s">
        <v>1084</v>
      </c>
      <c r="I23" s="571" t="s">
        <v>876</v>
      </c>
      <c r="J23" s="571" t="s">
        <v>931</v>
      </c>
      <c r="K23" s="571" t="s">
        <v>565</v>
      </c>
      <c r="L23" s="571" t="s">
        <v>804</v>
      </c>
      <c r="M23" s="571" t="s">
        <v>735</v>
      </c>
      <c r="N23" s="571" t="s">
        <v>729</v>
      </c>
      <c r="O23" s="571" t="s">
        <v>969</v>
      </c>
      <c r="P23" s="571" t="s">
        <v>970</v>
      </c>
      <c r="Q23" s="571" t="s">
        <v>718</v>
      </c>
      <c r="R23" s="582" t="s">
        <v>720</v>
      </c>
      <c r="S23" s="581" t="s">
        <v>873</v>
      </c>
      <c r="T23" s="571" t="s">
        <v>874</v>
      </c>
      <c r="U23" s="571" t="s">
        <v>875</v>
      </c>
      <c r="V23" s="571" t="s">
        <v>1083</v>
      </c>
      <c r="W23" s="571" t="s">
        <v>940</v>
      </c>
      <c r="X23" s="715" t="s">
        <v>725</v>
      </c>
      <c r="Y23" s="571" t="s">
        <v>1086</v>
      </c>
      <c r="Z23" s="571" t="s">
        <v>1084</v>
      </c>
      <c r="AA23" s="571" t="s">
        <v>876</v>
      </c>
      <c r="AB23" s="571" t="s">
        <v>931</v>
      </c>
      <c r="AC23" s="571" t="s">
        <v>565</v>
      </c>
      <c r="AD23" s="571" t="s">
        <v>804</v>
      </c>
      <c r="AE23" s="571" t="s">
        <v>1162</v>
      </c>
      <c r="AF23" s="571" t="s">
        <v>729</v>
      </c>
      <c r="AG23" s="571" t="s">
        <v>969</v>
      </c>
      <c r="AH23" s="571" t="s">
        <v>970</v>
      </c>
      <c r="AI23" s="571" t="s">
        <v>718</v>
      </c>
      <c r="AJ23" s="582" t="s">
        <v>720</v>
      </c>
      <c r="AK23" s="615" t="s">
        <v>955</v>
      </c>
      <c r="AL23" s="582" t="s">
        <v>956</v>
      </c>
      <c r="AM23" s="762" t="s">
        <v>873</v>
      </c>
      <c r="AN23" s="763" t="s">
        <v>874</v>
      </c>
      <c r="AO23" s="763" t="s">
        <v>875</v>
      </c>
      <c r="AP23" s="763" t="s">
        <v>1083</v>
      </c>
      <c r="AQ23" s="763" t="s">
        <v>725</v>
      </c>
      <c r="AR23" s="763" t="s">
        <v>1086</v>
      </c>
      <c r="AS23" s="763" t="s">
        <v>1084</v>
      </c>
      <c r="AT23" s="763" t="s">
        <v>876</v>
      </c>
      <c r="AU23" s="763" t="s">
        <v>931</v>
      </c>
      <c r="AV23" s="763" t="s">
        <v>565</v>
      </c>
      <c r="AW23" s="763" t="s">
        <v>804</v>
      </c>
      <c r="AX23" s="571" t="s">
        <v>1162</v>
      </c>
      <c r="AY23" s="571" t="s">
        <v>729</v>
      </c>
      <c r="AZ23" s="763" t="s">
        <v>969</v>
      </c>
      <c r="BA23" s="763" t="s">
        <v>970</v>
      </c>
      <c r="BB23" s="763" t="s">
        <v>718</v>
      </c>
      <c r="BC23" s="764" t="s">
        <v>720</v>
      </c>
      <c r="BD23" s="765" t="s">
        <v>873</v>
      </c>
      <c r="BE23" s="763" t="s">
        <v>874</v>
      </c>
      <c r="BF23" s="763" t="s">
        <v>875</v>
      </c>
      <c r="BG23" s="763" t="s">
        <v>1083</v>
      </c>
      <c r="BH23" s="763" t="s">
        <v>725</v>
      </c>
      <c r="BI23" s="763" t="s">
        <v>1086</v>
      </c>
      <c r="BJ23" s="763" t="s">
        <v>1084</v>
      </c>
      <c r="BK23" s="763" t="s">
        <v>876</v>
      </c>
      <c r="BL23" s="763" t="s">
        <v>931</v>
      </c>
      <c r="BM23" s="763" t="s">
        <v>565</v>
      </c>
      <c r="BN23" s="763" t="s">
        <v>804</v>
      </c>
      <c r="BO23" s="571" t="s">
        <v>1162</v>
      </c>
      <c r="BP23" s="571" t="s">
        <v>729</v>
      </c>
      <c r="BQ23" s="763" t="s">
        <v>969</v>
      </c>
      <c r="BR23" s="763" t="s">
        <v>970</v>
      </c>
      <c r="BS23" s="763" t="s">
        <v>718</v>
      </c>
      <c r="BT23" s="764" t="s">
        <v>720</v>
      </c>
    </row>
    <row r="24" spans="1:72" x14ac:dyDescent="0.25">
      <c r="A24" s="757">
        <v>8.9956379999999996</v>
      </c>
      <c r="B24" s="757">
        <v>0</v>
      </c>
      <c r="C24" s="757">
        <v>4.0530147999999997</v>
      </c>
      <c r="D24" s="757">
        <v>1.5529999999999999</v>
      </c>
      <c r="E24" s="758">
        <f t="shared" ref="E24:E39" si="0">(A24+D24)</f>
        <v>10.548638</v>
      </c>
      <c r="F24" s="670">
        <f>$B$2</f>
        <v>0.25</v>
      </c>
      <c r="G24" s="670">
        <f>A24+D24*F24</f>
        <v>9.3838879999999989</v>
      </c>
      <c r="H24" s="758">
        <f>D24*H25/D25</f>
        <v>1.5529999778748445</v>
      </c>
      <c r="I24" s="757">
        <v>5</v>
      </c>
      <c r="J24" s="670">
        <f>$A$22+I24</f>
        <v>7.85</v>
      </c>
      <c r="K24" s="757" t="s">
        <v>877</v>
      </c>
      <c r="L24" s="757">
        <f t="shared" ref="L24:L39" si="1">$V$8</f>
        <v>0</v>
      </c>
      <c r="M24" s="757">
        <f>$V$2</f>
        <v>5.9690260418206069</v>
      </c>
      <c r="N24" s="757">
        <f>$V$3</f>
        <v>-0.15</v>
      </c>
      <c r="O24" s="757">
        <f t="shared" ref="O24:O39" si="2">$V$4</f>
        <v>1.85</v>
      </c>
      <c r="P24" s="757">
        <f t="shared" ref="P24:P39" si="3">$V$5</f>
        <v>-1.55</v>
      </c>
      <c r="Q24" s="757">
        <f t="shared" ref="Q24:Q39" si="4">$V$6</f>
        <v>5.4999999999999997E-3</v>
      </c>
      <c r="R24" s="759">
        <f t="shared" ref="R24:R39" si="5">$V$7</f>
        <v>5.4999999999999997E-3</v>
      </c>
      <c r="S24" s="757">
        <v>3.1728633999999998</v>
      </c>
      <c r="T24" s="757">
        <v>0</v>
      </c>
      <c r="U24" s="757">
        <v>3.9167551999999999</v>
      </c>
      <c r="V24" s="757">
        <v>0.65</v>
      </c>
      <c r="W24" s="670">
        <f t="shared" ref="W24:W30" si="6">(S24+V24)</f>
        <v>3.8228633999999997</v>
      </c>
      <c r="X24" s="670">
        <f>$B$2</f>
        <v>0.25</v>
      </c>
      <c r="Y24" s="670">
        <f>S24+V24*X24</f>
        <v>3.3353633999999999</v>
      </c>
      <c r="Z24" s="758">
        <f>V24*Z25/V25</f>
        <v>0.63425085048827801</v>
      </c>
      <c r="AA24" s="757">
        <v>0</v>
      </c>
      <c r="AB24" s="670">
        <f>AA24+$S$22</f>
        <v>5.9</v>
      </c>
      <c r="AC24" s="757" t="s">
        <v>881</v>
      </c>
      <c r="AD24" s="757">
        <f t="shared" ref="AD24:AD30" si="7">$Y$8</f>
        <v>0</v>
      </c>
      <c r="AE24" s="757">
        <f>$Y$2</f>
        <v>5.9690260418206069</v>
      </c>
      <c r="AF24" s="757">
        <f>$Y$3</f>
        <v>-0.15</v>
      </c>
      <c r="AG24" s="757">
        <f t="shared" ref="AG24:AG30" si="8">$Y$4</f>
        <v>2.25</v>
      </c>
      <c r="AH24" s="757">
        <f t="shared" ref="AH24:AH30" si="9">$Y$5</f>
        <v>-1.65</v>
      </c>
      <c r="AI24" s="757">
        <f t="shared" ref="AI24:AI30" si="10">$Y$6</f>
        <v>5.4999999999999997E-3</v>
      </c>
      <c r="AJ24" s="757">
        <f t="shared" ref="AJ24:AJ30" si="11">$Y$7</f>
        <v>5.4999999999999997E-3</v>
      </c>
      <c r="AK24" s="760">
        <f>$Y$14</f>
        <v>8.0285145591739146E-2</v>
      </c>
      <c r="AL24" s="757">
        <f>$Y$15</f>
        <v>-7.2256631032565251E-3</v>
      </c>
      <c r="AM24" s="766">
        <v>11.75</v>
      </c>
      <c r="AN24" s="757">
        <v>1.56</v>
      </c>
      <c r="AO24" s="757">
        <v>3.9</v>
      </c>
      <c r="AP24" s="757">
        <v>1.85</v>
      </c>
      <c r="AQ24" s="757">
        <f>$AV$3</f>
        <v>0.85</v>
      </c>
      <c r="AR24" s="670">
        <f>AM24+AP24*AQ24</f>
        <v>13.3225</v>
      </c>
      <c r="AS24" s="758">
        <f>AP24*AS25/AP25</f>
        <v>1.4295435708716833</v>
      </c>
      <c r="AT24" s="760">
        <v>0</v>
      </c>
      <c r="AU24" s="767">
        <f t="shared" ref="AU24" si="12">$AM$22+AT24</f>
        <v>0</v>
      </c>
      <c r="AV24" s="760" t="s">
        <v>883</v>
      </c>
      <c r="AW24" s="760">
        <f>$AB$8</f>
        <v>0</v>
      </c>
      <c r="AX24" s="757">
        <f>$AB$2</f>
        <v>5.9690260418206069</v>
      </c>
      <c r="AY24" s="757">
        <f>$AB$3</f>
        <v>0</v>
      </c>
      <c r="AZ24" s="760">
        <f>$AB$4</f>
        <v>1.4</v>
      </c>
      <c r="BA24" s="760">
        <f>$AB$5</f>
        <v>-1.4</v>
      </c>
      <c r="BB24" s="760">
        <f>$AB$6</f>
        <v>5.4999999999999997E-3</v>
      </c>
      <c r="BC24" s="760">
        <f>$AB$7</f>
        <v>5.4999999999999997E-3</v>
      </c>
      <c r="BD24" s="766">
        <f>AM24</f>
        <v>11.75</v>
      </c>
      <c r="BE24" s="757">
        <f>-AN24</f>
        <v>-1.56</v>
      </c>
      <c r="BF24" s="757">
        <f t="shared" ref="BF24:BN24" si="13">AO24</f>
        <v>3.9</v>
      </c>
      <c r="BG24" s="757">
        <f t="shared" si="13"/>
        <v>1.85</v>
      </c>
      <c r="BH24" s="757">
        <f t="shared" si="13"/>
        <v>0.85</v>
      </c>
      <c r="BI24" s="138">
        <f t="shared" si="13"/>
        <v>13.3225</v>
      </c>
      <c r="BJ24" s="138">
        <f t="shared" si="13"/>
        <v>1.4295435708716833</v>
      </c>
      <c r="BK24" s="757">
        <f t="shared" si="13"/>
        <v>0</v>
      </c>
      <c r="BL24" s="138">
        <f t="shared" si="13"/>
        <v>0</v>
      </c>
      <c r="BM24" s="757" t="str">
        <f t="shared" si="13"/>
        <v>Eppler_520_Airfoil.dat</v>
      </c>
      <c r="BN24" s="757">
        <f t="shared" si="13"/>
        <v>0</v>
      </c>
      <c r="BO24" s="757">
        <f>$AB$2</f>
        <v>5.9690260418206069</v>
      </c>
      <c r="BP24" s="757">
        <f>$AB$3</f>
        <v>0</v>
      </c>
      <c r="BQ24" s="757">
        <f t="shared" ref="BQ24:BT24" si="14">AZ24</f>
        <v>1.4</v>
      </c>
      <c r="BR24" s="757">
        <f t="shared" si="14"/>
        <v>-1.4</v>
      </c>
      <c r="BS24" s="757">
        <f t="shared" si="14"/>
        <v>5.4999999999999997E-3</v>
      </c>
      <c r="BT24" s="757">
        <f t="shared" si="14"/>
        <v>5.4999999999999997E-3</v>
      </c>
    </row>
    <row r="25" spans="1:72" x14ac:dyDescent="0.25">
      <c r="A25" s="757">
        <v>9.0045535999999995</v>
      </c>
      <c r="B25" s="757">
        <v>0.5</v>
      </c>
      <c r="C25" s="757">
        <v>4.0517855999999997</v>
      </c>
      <c r="D25" s="757">
        <v>1.5169999999999999</v>
      </c>
      <c r="E25" s="758">
        <f t="shared" si="0"/>
        <v>10.521553599999999</v>
      </c>
      <c r="F25" s="670">
        <f t="shared" ref="F25:F39" si="15">$B$2</f>
        <v>0.25</v>
      </c>
      <c r="G25" s="670">
        <f t="shared" ref="G25:G39" si="16">A25+D25*F25</f>
        <v>9.3838036000000002</v>
      </c>
      <c r="H25" s="758">
        <f t="shared" ref="H25:H39" si="17">ABS(D25*SIN(ATAN((B25-B24)/(G25-G24))))</f>
        <v>1.5169999783877262</v>
      </c>
      <c r="I25" s="757">
        <v>5</v>
      </c>
      <c r="J25" s="670">
        <f t="shared" ref="J25:J33" si="18">$A$22+I25</f>
        <v>7.85</v>
      </c>
      <c r="K25" s="757" t="s">
        <v>877</v>
      </c>
      <c r="L25" s="757">
        <f t="shared" si="1"/>
        <v>0</v>
      </c>
      <c r="M25" s="757">
        <f t="shared" ref="M25:M39" si="19">$V$2</f>
        <v>5.9690260418206069</v>
      </c>
      <c r="N25" s="757">
        <f t="shared" ref="N25:N39" si="20">$V$3</f>
        <v>-0.15</v>
      </c>
      <c r="O25" s="757">
        <f t="shared" si="2"/>
        <v>1.85</v>
      </c>
      <c r="P25" s="757">
        <f t="shared" si="3"/>
        <v>-1.55</v>
      </c>
      <c r="Q25" s="757">
        <f t="shared" si="4"/>
        <v>5.4999999999999997E-3</v>
      </c>
      <c r="R25" s="759">
        <f t="shared" si="5"/>
        <v>5.4999999999999997E-3</v>
      </c>
      <c r="S25" s="757">
        <v>3.3409681999999998</v>
      </c>
      <c r="T25" s="757">
        <v>0.67500000000000004</v>
      </c>
      <c r="U25" s="757">
        <v>3.8993831999999999</v>
      </c>
      <c r="V25" s="757">
        <v>0.58299999999999996</v>
      </c>
      <c r="W25" s="670">
        <f t="shared" si="6"/>
        <v>3.9239682</v>
      </c>
      <c r="X25" s="670">
        <f t="shared" ref="X25:X30" si="21">$B$2</f>
        <v>0.25</v>
      </c>
      <c r="Y25" s="670">
        <f t="shared" ref="Y25:Y30" si="22">S25+V25*X25</f>
        <v>3.4867181999999999</v>
      </c>
      <c r="Z25" s="758">
        <f>ABS(V25*SIN(ATAN((T25-T24)/(Y25-Y24))))</f>
        <v>0.56887422436102464</v>
      </c>
      <c r="AA25" s="757">
        <v>0</v>
      </c>
      <c r="AB25" s="670">
        <f t="shared" ref="AB25:AB30" si="23">AA25+$S$22</f>
        <v>5.9</v>
      </c>
      <c r="AC25" s="757" t="s">
        <v>881</v>
      </c>
      <c r="AD25" s="757">
        <f t="shared" si="7"/>
        <v>0</v>
      </c>
      <c r="AE25" s="757">
        <f t="shared" ref="AE25:AE30" si="24">$Y$2</f>
        <v>5.9690260418206069</v>
      </c>
      <c r="AF25" s="757">
        <f t="shared" ref="AF25:AF30" si="25">$Y$3</f>
        <v>-0.15</v>
      </c>
      <c r="AG25" s="757">
        <f t="shared" si="8"/>
        <v>2.25</v>
      </c>
      <c r="AH25" s="757">
        <f t="shared" si="9"/>
        <v>-1.65</v>
      </c>
      <c r="AI25" s="757">
        <f t="shared" si="10"/>
        <v>5.4999999999999997E-3</v>
      </c>
      <c r="AJ25" s="757">
        <f t="shared" si="11"/>
        <v>5.4999999999999997E-3</v>
      </c>
      <c r="AK25" s="757">
        <f>$Y$14</f>
        <v>8.0285145591739146E-2</v>
      </c>
      <c r="AL25" s="757">
        <f>$Y$15</f>
        <v>-7.2256631032565251E-3</v>
      </c>
      <c r="AM25" s="761">
        <v>12.9</v>
      </c>
      <c r="AN25" s="757">
        <v>1.56</v>
      </c>
      <c r="AO25" s="757">
        <v>2.5</v>
      </c>
      <c r="AP25" s="757">
        <v>0.5</v>
      </c>
      <c r="AQ25" s="757">
        <f>$AV$3</f>
        <v>0.85</v>
      </c>
      <c r="AR25" s="670">
        <f t="shared" ref="AR25" si="26">AM25+AP25*AQ25</f>
        <v>13.325000000000001</v>
      </c>
      <c r="AS25" s="758">
        <f>ABS(AP25*SIN(ATAN((AO25-AO24)/(AM25-AM24))))</f>
        <v>0.38636312726261707</v>
      </c>
      <c r="AT25" s="757">
        <v>0</v>
      </c>
      <c r="AU25" s="138">
        <f>$AM$22+AT25</f>
        <v>0</v>
      </c>
      <c r="AV25" s="757" t="s">
        <v>883</v>
      </c>
      <c r="AW25" s="757">
        <f>$AB$8</f>
        <v>0</v>
      </c>
      <c r="AX25" s="757">
        <f>$AB$2</f>
        <v>5.9690260418206069</v>
      </c>
      <c r="AY25" s="757">
        <f>$AB$3</f>
        <v>0</v>
      </c>
      <c r="AZ25" s="757">
        <f>$AB$4</f>
        <v>1.4</v>
      </c>
      <c r="BA25" s="757">
        <f>$AB$5</f>
        <v>-1.4</v>
      </c>
      <c r="BB25" s="757">
        <f>$AB$6</f>
        <v>5.4999999999999997E-3</v>
      </c>
      <c r="BC25" s="757">
        <f>$AB$7</f>
        <v>5.4999999999999997E-3</v>
      </c>
      <c r="BD25" s="761">
        <f>AM25</f>
        <v>12.9</v>
      </c>
      <c r="BE25" s="757">
        <f>-AN25</f>
        <v>-1.56</v>
      </c>
      <c r="BF25" s="757">
        <f>AO25</f>
        <v>2.5</v>
      </c>
      <c r="BG25" s="757">
        <f t="shared" ref="BG25" si="27">AP25</f>
        <v>0.5</v>
      </c>
      <c r="BH25" s="757">
        <f t="shared" ref="BH25" si="28">AQ25</f>
        <v>0.85</v>
      </c>
      <c r="BI25" s="138">
        <f t="shared" ref="BI25" si="29">AR25</f>
        <v>13.325000000000001</v>
      </c>
      <c r="BJ25" s="138">
        <f t="shared" ref="BJ25" si="30">AS25</f>
        <v>0.38636312726261707</v>
      </c>
      <c r="BK25" s="757">
        <f t="shared" ref="BK25" si="31">AT25</f>
        <v>0</v>
      </c>
      <c r="BL25" s="138">
        <f t="shared" ref="BL25" si="32">AU25</f>
        <v>0</v>
      </c>
      <c r="BM25" s="757" t="str">
        <f t="shared" ref="BM25" si="33">AV25</f>
        <v>Eppler_520_Airfoil.dat</v>
      </c>
      <c r="BN25" s="757">
        <f t="shared" ref="BN25" si="34">AW25</f>
        <v>0</v>
      </c>
      <c r="BO25" s="757">
        <f>$AB$2</f>
        <v>5.9690260418206069</v>
      </c>
      <c r="BP25" s="757">
        <f>$AB$3</f>
        <v>0</v>
      </c>
      <c r="BQ25" s="757">
        <f t="shared" ref="BQ25" si="35">AZ25</f>
        <v>1.4</v>
      </c>
      <c r="BR25" s="757">
        <f t="shared" ref="BR25" si="36">BA25</f>
        <v>-1.4</v>
      </c>
      <c r="BS25" s="757">
        <f t="shared" ref="BS25" si="37">BB25</f>
        <v>5.4999999999999997E-3</v>
      </c>
      <c r="BT25" s="757">
        <f t="shared" ref="BT25" si="38">BC25</f>
        <v>5.4999999999999997E-3</v>
      </c>
    </row>
    <row r="26" spans="1:72" x14ac:dyDescent="0.25">
      <c r="A26" s="757">
        <v>9.0126440999999993</v>
      </c>
      <c r="B26" s="757">
        <v>1</v>
      </c>
      <c r="C26" s="757">
        <v>4.0441647999999999</v>
      </c>
      <c r="D26" s="757">
        <v>1.482</v>
      </c>
      <c r="E26" s="758">
        <f t="shared" si="0"/>
        <v>10.494644099999999</v>
      </c>
      <c r="F26" s="670">
        <f t="shared" si="15"/>
        <v>0.25</v>
      </c>
      <c r="G26" s="670">
        <f t="shared" si="16"/>
        <v>9.3831440999999991</v>
      </c>
      <c r="H26" s="758">
        <f t="shared" si="17"/>
        <v>1.4819987108387811</v>
      </c>
      <c r="I26" s="757">
        <v>4</v>
      </c>
      <c r="J26" s="670">
        <f t="shared" si="18"/>
        <v>6.85</v>
      </c>
      <c r="K26" s="757" t="s">
        <v>877</v>
      </c>
      <c r="L26" s="757">
        <f t="shared" si="1"/>
        <v>0</v>
      </c>
      <c r="M26" s="757">
        <f t="shared" si="19"/>
        <v>5.9690260418206069</v>
      </c>
      <c r="N26" s="757">
        <f t="shared" si="20"/>
        <v>-0.15</v>
      </c>
      <c r="O26" s="757">
        <f t="shared" si="2"/>
        <v>1.85</v>
      </c>
      <c r="P26" s="757">
        <f t="shared" si="3"/>
        <v>-1.55</v>
      </c>
      <c r="Q26" s="757">
        <f t="shared" si="4"/>
        <v>5.4999999999999997E-3</v>
      </c>
      <c r="R26" s="759">
        <f t="shared" si="5"/>
        <v>5.4999999999999997E-3</v>
      </c>
      <c r="S26" s="757">
        <v>3.5120570999999998</v>
      </c>
      <c r="T26" s="757">
        <v>1.3599999999999999</v>
      </c>
      <c r="U26" s="757">
        <v>3.8817029000000001</v>
      </c>
      <c r="V26" s="757">
        <v>0.51400000000000001</v>
      </c>
      <c r="W26" s="670">
        <f t="shared" si="6"/>
        <v>4.0260571000000001</v>
      </c>
      <c r="X26" s="670">
        <f t="shared" si="21"/>
        <v>0.25</v>
      </c>
      <c r="Y26" s="670">
        <f t="shared" si="22"/>
        <v>3.6405570999999997</v>
      </c>
      <c r="Z26" s="758">
        <f t="shared" ref="Z26:Z30" si="39">ABS(V26*SIN(ATAN((T26-T25)/(Y26-Y25))))</f>
        <v>0.50150823302632064</v>
      </c>
      <c r="AA26" s="757">
        <v>0</v>
      </c>
      <c r="AB26" s="670">
        <f t="shared" si="23"/>
        <v>5.9</v>
      </c>
      <c r="AC26" s="757" t="s">
        <v>881</v>
      </c>
      <c r="AD26" s="757">
        <f t="shared" si="7"/>
        <v>0</v>
      </c>
      <c r="AE26" s="757">
        <f t="shared" si="24"/>
        <v>5.9690260418206069</v>
      </c>
      <c r="AF26" s="757">
        <f t="shared" si="25"/>
        <v>-0.15</v>
      </c>
      <c r="AG26" s="757">
        <f t="shared" si="8"/>
        <v>2.25</v>
      </c>
      <c r="AH26" s="757">
        <f t="shared" si="9"/>
        <v>-1.65</v>
      </c>
      <c r="AI26" s="757">
        <f t="shared" si="10"/>
        <v>5.4999999999999997E-3</v>
      </c>
      <c r="AJ26" s="757">
        <f t="shared" si="11"/>
        <v>5.4999999999999997E-3</v>
      </c>
      <c r="AK26" s="757">
        <v>0</v>
      </c>
      <c r="AL26" s="757">
        <v>0</v>
      </c>
      <c r="AM26" s="761"/>
      <c r="AN26" s="757"/>
      <c r="AO26" s="757"/>
      <c r="AP26" s="757"/>
      <c r="AQ26" s="757"/>
      <c r="AR26" s="670"/>
      <c r="AS26" s="758"/>
      <c r="AT26" s="757"/>
      <c r="AU26" s="138"/>
      <c r="AV26" s="757"/>
      <c r="AW26" s="757"/>
      <c r="AX26" s="757"/>
      <c r="AY26" s="757"/>
      <c r="AZ26" s="757"/>
      <c r="BA26" s="757"/>
      <c r="BB26" s="757"/>
      <c r="BC26" s="757"/>
      <c r="BD26" s="761"/>
      <c r="BE26" s="757"/>
      <c r="BF26" s="757"/>
      <c r="BG26" s="757"/>
      <c r="BH26" s="757"/>
      <c r="BI26" s="138"/>
      <c r="BJ26" s="138"/>
      <c r="BK26" s="757"/>
      <c r="BL26" s="138"/>
      <c r="BM26" s="757"/>
      <c r="BN26" s="757"/>
      <c r="BO26" s="757"/>
      <c r="BP26" s="757"/>
      <c r="BQ26" s="757"/>
      <c r="BR26" s="757"/>
      <c r="BS26" s="757"/>
      <c r="BT26" s="757"/>
    </row>
    <row r="27" spans="1:72" x14ac:dyDescent="0.25">
      <c r="A27" s="757">
        <v>9.0178878000000005</v>
      </c>
      <c r="B27" s="757">
        <v>1.3599999999999999</v>
      </c>
      <c r="C27" s="757">
        <v>4.0369178000000003</v>
      </c>
      <c r="D27" s="757">
        <v>1.4419999999999999</v>
      </c>
      <c r="E27" s="758">
        <f t="shared" si="0"/>
        <v>10.459887800000001</v>
      </c>
      <c r="F27" s="670">
        <f t="shared" si="15"/>
        <v>0.25</v>
      </c>
      <c r="G27" s="670">
        <f t="shared" si="16"/>
        <v>9.3783878000000005</v>
      </c>
      <c r="H27" s="758">
        <f t="shared" si="17"/>
        <v>1.4418741619758495</v>
      </c>
      <c r="I27" s="757">
        <v>3</v>
      </c>
      <c r="J27" s="670">
        <f t="shared" si="18"/>
        <v>5.85</v>
      </c>
      <c r="K27" s="757" t="s">
        <v>877</v>
      </c>
      <c r="L27" s="757">
        <f t="shared" si="1"/>
        <v>0</v>
      </c>
      <c r="M27" s="757">
        <f t="shared" si="19"/>
        <v>5.9690260418206069</v>
      </c>
      <c r="N27" s="757">
        <f t="shared" si="20"/>
        <v>-0.15</v>
      </c>
      <c r="O27" s="757">
        <f t="shared" si="2"/>
        <v>1.85</v>
      </c>
      <c r="P27" s="757">
        <f t="shared" si="3"/>
        <v>-1.55</v>
      </c>
      <c r="Q27" s="757">
        <f t="shared" si="4"/>
        <v>5.4999999999999997E-3</v>
      </c>
      <c r="R27" s="759">
        <f t="shared" si="5"/>
        <v>5.4999999999999997E-3</v>
      </c>
      <c r="S27" s="757">
        <v>3.5607975000000001</v>
      </c>
      <c r="T27" s="757">
        <v>1.56</v>
      </c>
      <c r="U27" s="757">
        <v>3.8766661</v>
      </c>
      <c r="V27" s="757">
        <v>0.49399999999999999</v>
      </c>
      <c r="W27" s="670">
        <f t="shared" si="6"/>
        <v>4.0547975000000003</v>
      </c>
      <c r="X27" s="670">
        <f t="shared" si="21"/>
        <v>0.25</v>
      </c>
      <c r="Y27" s="670">
        <f t="shared" si="22"/>
        <v>3.6842975</v>
      </c>
      <c r="Z27" s="758">
        <f t="shared" si="39"/>
        <v>0.48259344391659614</v>
      </c>
      <c r="AA27" s="757">
        <v>0</v>
      </c>
      <c r="AB27" s="670">
        <f t="shared" si="23"/>
        <v>5.9</v>
      </c>
      <c r="AC27" s="757" t="s">
        <v>881</v>
      </c>
      <c r="AD27" s="757">
        <f t="shared" si="7"/>
        <v>0</v>
      </c>
      <c r="AE27" s="757">
        <f t="shared" si="24"/>
        <v>5.9690260418206069</v>
      </c>
      <c r="AF27" s="757">
        <f t="shared" si="25"/>
        <v>-0.15</v>
      </c>
      <c r="AG27" s="757">
        <f t="shared" si="8"/>
        <v>2.25</v>
      </c>
      <c r="AH27" s="757">
        <f t="shared" si="9"/>
        <v>-1.65</v>
      </c>
      <c r="AI27" s="757">
        <f t="shared" si="10"/>
        <v>5.4999999999999997E-3</v>
      </c>
      <c r="AJ27" s="757">
        <f t="shared" si="11"/>
        <v>5.4999999999999997E-3</v>
      </c>
      <c r="AK27" s="757">
        <v>0</v>
      </c>
      <c r="AL27" s="757">
        <v>0</v>
      </c>
      <c r="AM27" s="761"/>
      <c r="AN27" s="757"/>
      <c r="AO27" s="757"/>
      <c r="AP27" s="757"/>
      <c r="AQ27" s="757"/>
      <c r="AR27" s="138"/>
      <c r="AS27" s="138"/>
      <c r="AT27" s="757"/>
      <c r="AU27" s="138"/>
      <c r="AV27" s="757"/>
      <c r="AW27" s="757"/>
      <c r="AX27" s="757"/>
      <c r="AY27" s="757"/>
      <c r="AZ27" s="757"/>
      <c r="BA27" s="757"/>
      <c r="BB27" s="757"/>
      <c r="BC27" s="757"/>
      <c r="BD27" s="761"/>
      <c r="BE27" s="757"/>
      <c r="BF27" s="757"/>
      <c r="BG27" s="757"/>
      <c r="BH27" s="757"/>
      <c r="BI27" s="138"/>
      <c r="BJ27" s="138"/>
      <c r="BK27" s="757"/>
      <c r="BL27" s="138"/>
      <c r="BM27" s="757"/>
      <c r="BN27" s="757"/>
      <c r="BO27" s="757"/>
      <c r="BP27" s="757"/>
      <c r="BQ27" s="757"/>
      <c r="BR27" s="757"/>
      <c r="BS27" s="757"/>
      <c r="BT27" s="757"/>
    </row>
    <row r="28" spans="1:72" x14ac:dyDescent="0.25">
      <c r="A28" s="757">
        <v>9.0218767999999994</v>
      </c>
      <c r="B28" s="757">
        <v>1.56</v>
      </c>
      <c r="C28" s="757">
        <v>4.0367189000000003</v>
      </c>
      <c r="D28" s="757">
        <v>1.4419999999999999</v>
      </c>
      <c r="E28" s="758">
        <f t="shared" si="0"/>
        <v>10.4638768</v>
      </c>
      <c r="F28" s="670">
        <f t="shared" si="15"/>
        <v>0.25</v>
      </c>
      <c r="G28" s="670">
        <f t="shared" si="16"/>
        <v>9.3823767999999994</v>
      </c>
      <c r="H28" s="758">
        <f t="shared" si="17"/>
        <v>1.4417132695628163</v>
      </c>
      <c r="I28" s="757">
        <v>3</v>
      </c>
      <c r="J28" s="670">
        <f t="shared" si="18"/>
        <v>5.85</v>
      </c>
      <c r="K28" s="757" t="s">
        <v>877</v>
      </c>
      <c r="L28" s="757">
        <f t="shared" si="1"/>
        <v>0</v>
      </c>
      <c r="M28" s="757">
        <f t="shared" si="19"/>
        <v>5.9690260418206069</v>
      </c>
      <c r="N28" s="757">
        <f t="shared" si="20"/>
        <v>-0.15</v>
      </c>
      <c r="O28" s="757">
        <f t="shared" si="2"/>
        <v>1.85</v>
      </c>
      <c r="P28" s="757">
        <f t="shared" si="3"/>
        <v>-1.55</v>
      </c>
      <c r="Q28" s="757">
        <f t="shared" si="4"/>
        <v>5.4999999999999997E-3</v>
      </c>
      <c r="R28" s="759">
        <f t="shared" si="5"/>
        <v>5.4999999999999997E-3</v>
      </c>
      <c r="S28" s="757">
        <v>3.6105326999999998</v>
      </c>
      <c r="T28" s="757">
        <v>1.76</v>
      </c>
      <c r="U28" s="757">
        <v>3.8715264999999999</v>
      </c>
      <c r="V28" s="757">
        <v>0.47399999999999998</v>
      </c>
      <c r="W28" s="670">
        <f t="shared" si="6"/>
        <v>4.0845326999999996</v>
      </c>
      <c r="X28" s="670">
        <f t="shared" si="21"/>
        <v>0.25</v>
      </c>
      <c r="Y28" s="670">
        <f t="shared" si="22"/>
        <v>3.7290326999999999</v>
      </c>
      <c r="Z28" s="758">
        <f t="shared" si="39"/>
        <v>0.46256981657431301</v>
      </c>
      <c r="AA28" s="757">
        <v>0</v>
      </c>
      <c r="AB28" s="670">
        <f t="shared" si="23"/>
        <v>5.9</v>
      </c>
      <c r="AC28" s="757" t="s">
        <v>881</v>
      </c>
      <c r="AD28" s="757">
        <f t="shared" si="7"/>
        <v>0</v>
      </c>
      <c r="AE28" s="757">
        <f t="shared" si="24"/>
        <v>5.9690260418206069</v>
      </c>
      <c r="AF28" s="757">
        <f t="shared" si="25"/>
        <v>-0.15</v>
      </c>
      <c r="AG28" s="757">
        <f t="shared" si="8"/>
        <v>2.25</v>
      </c>
      <c r="AH28" s="757">
        <f t="shared" si="9"/>
        <v>-1.65</v>
      </c>
      <c r="AI28" s="757">
        <f t="shared" si="10"/>
        <v>5.4999999999999997E-3</v>
      </c>
      <c r="AJ28" s="757">
        <f t="shared" si="11"/>
        <v>5.4999999999999997E-3</v>
      </c>
      <c r="AK28" s="757">
        <f>$Y$14</f>
        <v>8.0285145591739146E-2</v>
      </c>
      <c r="AL28" s="757">
        <f>$Y$15</f>
        <v>-7.2256631032565251E-3</v>
      </c>
      <c r="AM28" s="761"/>
      <c r="AN28" s="757"/>
      <c r="AO28" s="757"/>
      <c r="AP28" s="757"/>
      <c r="AQ28" s="757"/>
      <c r="AR28" s="138"/>
      <c r="AS28" s="138"/>
      <c r="AT28" s="757"/>
      <c r="AU28" s="138"/>
      <c r="AV28" s="757"/>
      <c r="AW28" s="757"/>
      <c r="AX28" s="757"/>
      <c r="AY28" s="757"/>
      <c r="AZ28" s="757"/>
      <c r="BA28" s="757"/>
      <c r="BB28" s="757"/>
      <c r="BC28" s="759"/>
      <c r="BD28" s="761"/>
      <c r="BE28" s="757"/>
      <c r="BF28" s="757"/>
      <c r="BG28" s="757"/>
      <c r="BH28" s="757"/>
      <c r="BI28" s="138"/>
      <c r="BJ28" s="138"/>
      <c r="BK28" s="757"/>
      <c r="BL28" s="138"/>
      <c r="BM28" s="757"/>
      <c r="BN28" s="757"/>
      <c r="BO28" s="757"/>
      <c r="BP28" s="757"/>
      <c r="BQ28" s="757"/>
      <c r="BR28" s="757"/>
      <c r="BS28" s="757"/>
      <c r="BT28" s="759"/>
    </row>
    <row r="29" spans="1:72" x14ac:dyDescent="0.25">
      <c r="A29" s="757">
        <v>9.0468340000000005</v>
      </c>
      <c r="B29" s="757">
        <v>1.76</v>
      </c>
      <c r="C29" s="757">
        <v>4.0353193000000003</v>
      </c>
      <c r="D29" s="757">
        <v>1.43</v>
      </c>
      <c r="E29" s="758">
        <f t="shared" si="0"/>
        <v>10.476834</v>
      </c>
      <c r="F29" s="670">
        <f t="shared" si="15"/>
        <v>0.25</v>
      </c>
      <c r="G29" s="670">
        <f t="shared" si="16"/>
        <v>9.4043340000000004</v>
      </c>
      <c r="H29" s="758">
        <f t="shared" si="17"/>
        <v>1.4214592583234535</v>
      </c>
      <c r="I29" s="757">
        <v>3</v>
      </c>
      <c r="J29" s="670">
        <f t="shared" si="18"/>
        <v>5.85</v>
      </c>
      <c r="K29" s="757" t="s">
        <v>877</v>
      </c>
      <c r="L29" s="757">
        <f t="shared" si="1"/>
        <v>0</v>
      </c>
      <c r="M29" s="757">
        <f t="shared" si="19"/>
        <v>5.9690260418206069</v>
      </c>
      <c r="N29" s="757">
        <f t="shared" si="20"/>
        <v>-0.15</v>
      </c>
      <c r="O29" s="757">
        <f t="shared" si="2"/>
        <v>1.85</v>
      </c>
      <c r="P29" s="757">
        <f t="shared" si="3"/>
        <v>-1.55</v>
      </c>
      <c r="Q29" s="757">
        <f t="shared" si="4"/>
        <v>5.4999999999999997E-3</v>
      </c>
      <c r="R29" s="759">
        <f t="shared" si="5"/>
        <v>5.4999999999999997E-3</v>
      </c>
      <c r="S29" s="757">
        <v>3.7647116</v>
      </c>
      <c r="T29" s="757">
        <v>2.38</v>
      </c>
      <c r="U29" s="757">
        <v>3.8555936000000002</v>
      </c>
      <c r="V29" s="757">
        <v>0.41199999999999992</v>
      </c>
      <c r="W29" s="670">
        <f t="shared" si="6"/>
        <v>4.1767116</v>
      </c>
      <c r="X29" s="670">
        <f t="shared" si="21"/>
        <v>0.25</v>
      </c>
      <c r="Y29" s="670">
        <f t="shared" si="22"/>
        <v>3.8677115999999998</v>
      </c>
      <c r="Z29" s="758">
        <f t="shared" si="39"/>
        <v>0.40206493424878254</v>
      </c>
      <c r="AA29" s="757">
        <v>0</v>
      </c>
      <c r="AB29" s="670">
        <f t="shared" si="23"/>
        <v>5.9</v>
      </c>
      <c r="AC29" s="757" t="s">
        <v>881</v>
      </c>
      <c r="AD29" s="757">
        <f t="shared" si="7"/>
        <v>0</v>
      </c>
      <c r="AE29" s="757">
        <f t="shared" si="24"/>
        <v>5.9690260418206069</v>
      </c>
      <c r="AF29" s="757">
        <f t="shared" si="25"/>
        <v>-0.15</v>
      </c>
      <c r="AG29" s="757">
        <f t="shared" si="8"/>
        <v>2.25</v>
      </c>
      <c r="AH29" s="757">
        <f t="shared" si="9"/>
        <v>-1.65</v>
      </c>
      <c r="AI29" s="757">
        <f t="shared" si="10"/>
        <v>5.4999999999999997E-3</v>
      </c>
      <c r="AJ29" s="757">
        <f t="shared" si="11"/>
        <v>5.4999999999999997E-3</v>
      </c>
      <c r="AK29" s="757">
        <f>$Y$14</f>
        <v>8.0285145591739146E-2</v>
      </c>
      <c r="AL29" s="757">
        <f>$Y$15</f>
        <v>-7.2256631032565251E-3</v>
      </c>
      <c r="AM29" s="761"/>
      <c r="AN29" s="757"/>
      <c r="AO29" s="757"/>
      <c r="AP29" s="757"/>
      <c r="AQ29" s="757"/>
      <c r="AR29" s="138"/>
      <c r="AS29" s="138"/>
      <c r="AT29" s="757"/>
      <c r="AU29" s="138"/>
      <c r="AV29" s="757"/>
      <c r="AW29" s="757"/>
      <c r="AX29" s="757"/>
      <c r="AY29" s="757"/>
      <c r="AZ29" s="757"/>
      <c r="BA29" s="757"/>
      <c r="BB29" s="757"/>
      <c r="BC29" s="757"/>
      <c r="BD29" s="761"/>
      <c r="BE29" s="757"/>
      <c r="BF29" s="757"/>
      <c r="BG29" s="757"/>
      <c r="BH29" s="757"/>
      <c r="BI29" s="138"/>
      <c r="BJ29" s="138"/>
      <c r="BK29" s="757"/>
      <c r="BL29" s="138"/>
      <c r="BM29" s="757"/>
      <c r="BN29" s="757"/>
      <c r="BO29" s="757"/>
      <c r="BP29" s="757"/>
      <c r="BQ29" s="757"/>
      <c r="BR29" s="757"/>
      <c r="BS29" s="757"/>
      <c r="BT29" s="757"/>
    </row>
    <row r="30" spans="1:72" x14ac:dyDescent="0.25">
      <c r="A30" s="757">
        <v>9.0894616999999993</v>
      </c>
      <c r="B30" s="757">
        <v>2.1</v>
      </c>
      <c r="C30" s="757">
        <v>4.0298696999999999</v>
      </c>
      <c r="D30" s="757">
        <v>1.4110000000000003</v>
      </c>
      <c r="E30" s="758">
        <f t="shared" si="0"/>
        <v>10.500461699999999</v>
      </c>
      <c r="F30" s="670">
        <f t="shared" si="15"/>
        <v>0.25</v>
      </c>
      <c r="G30" s="670">
        <f t="shared" si="16"/>
        <v>9.4422116999999997</v>
      </c>
      <c r="H30" s="758">
        <f t="shared" si="17"/>
        <v>1.4023246570136323</v>
      </c>
      <c r="I30" s="757">
        <v>2.5</v>
      </c>
      <c r="J30" s="670">
        <f t="shared" si="18"/>
        <v>5.35</v>
      </c>
      <c r="K30" s="757" t="s">
        <v>877</v>
      </c>
      <c r="L30" s="757">
        <f t="shared" si="1"/>
        <v>0</v>
      </c>
      <c r="M30" s="757">
        <f t="shared" si="19"/>
        <v>5.9690260418206069</v>
      </c>
      <c r="N30" s="757">
        <f t="shared" si="20"/>
        <v>-0.15</v>
      </c>
      <c r="O30" s="757">
        <f t="shared" si="2"/>
        <v>1.85</v>
      </c>
      <c r="P30" s="757">
        <f t="shared" si="3"/>
        <v>-1.55</v>
      </c>
      <c r="Q30" s="757">
        <f t="shared" si="4"/>
        <v>5.4999999999999997E-3</v>
      </c>
      <c r="R30" s="759">
        <f t="shared" si="5"/>
        <v>5.4999999999999997E-3</v>
      </c>
      <c r="S30" s="757">
        <v>3.9188906000000001</v>
      </c>
      <c r="T30" s="757">
        <v>3</v>
      </c>
      <c r="U30" s="757">
        <v>3.8966080000000001</v>
      </c>
      <c r="V30" s="757">
        <v>0.35</v>
      </c>
      <c r="W30" s="670">
        <f t="shared" si="6"/>
        <v>4.2688905999999998</v>
      </c>
      <c r="X30" s="670">
        <f t="shared" si="21"/>
        <v>0.25</v>
      </c>
      <c r="Y30" s="670">
        <f t="shared" si="22"/>
        <v>4.0063906000000005</v>
      </c>
      <c r="Z30" s="758">
        <f t="shared" si="39"/>
        <v>0.34156000522367291</v>
      </c>
      <c r="AA30" s="757">
        <v>0</v>
      </c>
      <c r="AB30" s="670">
        <f t="shared" si="23"/>
        <v>5.9</v>
      </c>
      <c r="AC30" s="757" t="s">
        <v>881</v>
      </c>
      <c r="AD30" s="757">
        <f t="shared" si="7"/>
        <v>0</v>
      </c>
      <c r="AE30" s="757">
        <f t="shared" si="24"/>
        <v>5.9690260418206069</v>
      </c>
      <c r="AF30" s="757">
        <f t="shared" si="25"/>
        <v>-0.15</v>
      </c>
      <c r="AG30" s="757">
        <f t="shared" si="8"/>
        <v>2.25</v>
      </c>
      <c r="AH30" s="757">
        <f t="shared" si="9"/>
        <v>-1.65</v>
      </c>
      <c r="AI30" s="757">
        <f t="shared" si="10"/>
        <v>5.4999999999999997E-3</v>
      </c>
      <c r="AJ30" s="757">
        <f t="shared" si="11"/>
        <v>5.4999999999999997E-3</v>
      </c>
      <c r="AK30" s="757">
        <f>$Y$14</f>
        <v>8.0285145591739146E-2</v>
      </c>
      <c r="AL30" s="757">
        <f>$Y$15</f>
        <v>-7.2256631032565251E-3</v>
      </c>
      <c r="AM30" s="761"/>
      <c r="AN30" s="757"/>
      <c r="AO30" s="757"/>
      <c r="AP30" s="757"/>
      <c r="AQ30" s="757"/>
      <c r="AR30" s="138"/>
      <c r="AS30" s="138"/>
      <c r="AT30" s="757"/>
      <c r="AU30" s="138"/>
      <c r="AV30" s="757"/>
      <c r="AW30" s="757"/>
      <c r="AX30" s="757"/>
      <c r="AY30" s="757"/>
      <c r="AZ30" s="757"/>
      <c r="BA30" s="757"/>
      <c r="BB30" s="757"/>
      <c r="BC30" s="757"/>
      <c r="BD30" s="761"/>
      <c r="BE30" s="757"/>
      <c r="BF30" s="757"/>
      <c r="BG30" s="757"/>
      <c r="BH30" s="757"/>
      <c r="BI30" s="138"/>
      <c r="BJ30" s="138"/>
      <c r="BK30" s="757"/>
      <c r="BL30" s="138"/>
      <c r="BM30" s="757"/>
      <c r="BN30" s="757"/>
      <c r="BO30" s="757"/>
      <c r="BP30" s="757"/>
      <c r="BQ30" s="757"/>
      <c r="BR30" s="757"/>
      <c r="BS30" s="757"/>
      <c r="BT30" s="757"/>
    </row>
    <row r="31" spans="1:72" x14ac:dyDescent="0.25">
      <c r="A31" s="757">
        <v>9.1710653999999998</v>
      </c>
      <c r="B31" s="757">
        <v>2.7499999999999996</v>
      </c>
      <c r="C31" s="757">
        <v>4.0224129</v>
      </c>
      <c r="D31" s="757">
        <v>1.3749999999999998</v>
      </c>
      <c r="E31" s="758">
        <f t="shared" si="0"/>
        <v>10.5460654</v>
      </c>
      <c r="F31" s="670">
        <f t="shared" si="15"/>
        <v>0.25</v>
      </c>
      <c r="G31" s="670">
        <f t="shared" si="16"/>
        <v>9.5148153999999998</v>
      </c>
      <c r="H31" s="758">
        <f t="shared" si="17"/>
        <v>1.3665018828391675</v>
      </c>
      <c r="I31" s="757">
        <v>2</v>
      </c>
      <c r="J31" s="670">
        <f t="shared" si="18"/>
        <v>4.8499999999999996</v>
      </c>
      <c r="K31" s="757" t="s">
        <v>877</v>
      </c>
      <c r="L31" s="757">
        <f t="shared" si="1"/>
        <v>0</v>
      </c>
      <c r="M31" s="757">
        <f t="shared" si="19"/>
        <v>5.9690260418206069</v>
      </c>
      <c r="N31" s="757">
        <f t="shared" si="20"/>
        <v>-0.15</v>
      </c>
      <c r="O31" s="757">
        <f t="shared" si="2"/>
        <v>1.85</v>
      </c>
      <c r="P31" s="757">
        <f t="shared" si="3"/>
        <v>-1.55</v>
      </c>
      <c r="Q31" s="757">
        <f t="shared" si="4"/>
        <v>5.4999999999999997E-3</v>
      </c>
      <c r="R31" s="759">
        <f t="shared" si="5"/>
        <v>5.4999999999999997E-3</v>
      </c>
      <c r="S31" s="761"/>
      <c r="T31" s="757"/>
      <c r="U31" s="757"/>
      <c r="V31" s="757"/>
      <c r="W31" s="138"/>
      <c r="X31" s="670"/>
      <c r="Y31" s="138"/>
      <c r="Z31" s="138"/>
      <c r="AA31" s="757"/>
      <c r="AB31" s="138"/>
      <c r="AC31" s="757"/>
      <c r="AD31" s="757"/>
      <c r="AE31" s="757"/>
      <c r="AF31" s="757"/>
      <c r="AG31" s="757"/>
      <c r="AH31" s="757"/>
      <c r="AI31" s="757"/>
      <c r="AJ31" s="757"/>
      <c r="AK31" s="757"/>
      <c r="AL31" s="759"/>
      <c r="AM31" s="761"/>
      <c r="AN31" s="757"/>
      <c r="AO31" s="757"/>
      <c r="AP31" s="757"/>
      <c r="AQ31" s="757"/>
      <c r="AR31" s="138"/>
      <c r="AS31" s="138"/>
      <c r="AT31" s="757"/>
      <c r="AU31" s="138"/>
      <c r="AV31" s="757"/>
      <c r="AW31" s="757"/>
      <c r="AX31" s="757"/>
      <c r="AY31" s="757"/>
      <c r="AZ31" s="757"/>
      <c r="BA31" s="757"/>
      <c r="BB31" s="757"/>
      <c r="BC31" s="757"/>
      <c r="BD31" s="761"/>
      <c r="BE31" s="757"/>
      <c r="BF31" s="757"/>
      <c r="BG31" s="757"/>
      <c r="BH31" s="757"/>
      <c r="BI31" s="138"/>
      <c r="BJ31" s="138"/>
      <c r="BK31" s="757"/>
      <c r="BL31" s="138"/>
      <c r="BM31" s="757"/>
      <c r="BN31" s="757"/>
      <c r="BO31" s="757"/>
      <c r="BP31" s="757"/>
      <c r="BQ31" s="757"/>
      <c r="BR31" s="757"/>
      <c r="BS31" s="757"/>
      <c r="BT31" s="757"/>
    </row>
    <row r="32" spans="1:72" x14ac:dyDescent="0.25">
      <c r="A32" s="757">
        <v>9.3856889999999993</v>
      </c>
      <c r="B32" s="757">
        <v>4.41</v>
      </c>
      <c r="C32" s="757">
        <v>4.0089277000000001</v>
      </c>
      <c r="D32" s="757">
        <v>1.28</v>
      </c>
      <c r="E32" s="758">
        <f t="shared" si="0"/>
        <v>10.665688999999999</v>
      </c>
      <c r="F32" s="670">
        <f t="shared" si="15"/>
        <v>0.25</v>
      </c>
      <c r="G32" s="670">
        <f t="shared" si="16"/>
        <v>9.7056889999999996</v>
      </c>
      <c r="H32" s="758">
        <f t="shared" si="17"/>
        <v>1.2716213328321242</v>
      </c>
      <c r="I32" s="757">
        <v>1.6</v>
      </c>
      <c r="J32" s="670">
        <f t="shared" si="18"/>
        <v>4.45</v>
      </c>
      <c r="K32" s="757" t="s">
        <v>877</v>
      </c>
      <c r="L32" s="757">
        <f t="shared" si="1"/>
        <v>0</v>
      </c>
      <c r="M32" s="757">
        <f t="shared" si="19"/>
        <v>5.9690260418206069</v>
      </c>
      <c r="N32" s="757">
        <f t="shared" si="20"/>
        <v>-0.15</v>
      </c>
      <c r="O32" s="757">
        <f t="shared" si="2"/>
        <v>1.85</v>
      </c>
      <c r="P32" s="757">
        <f t="shared" si="3"/>
        <v>-1.55</v>
      </c>
      <c r="Q32" s="757">
        <f t="shared" si="4"/>
        <v>5.4999999999999997E-3</v>
      </c>
      <c r="R32" s="759">
        <f t="shared" si="5"/>
        <v>5.4999999999999997E-3</v>
      </c>
      <c r="S32" s="761"/>
      <c r="T32" s="757"/>
      <c r="U32" s="757"/>
      <c r="V32" s="757"/>
      <c r="W32" s="138"/>
      <c r="X32" s="670"/>
      <c r="Y32" s="138"/>
      <c r="Z32" s="138"/>
      <c r="AA32" s="757"/>
      <c r="AB32" s="138"/>
      <c r="AC32" s="757"/>
      <c r="AD32" s="757"/>
      <c r="AE32" s="757"/>
      <c r="AF32" s="757"/>
      <c r="AG32" s="757"/>
      <c r="AH32" s="757"/>
      <c r="AI32" s="757"/>
      <c r="AJ32" s="757"/>
      <c r="AK32" s="757"/>
      <c r="AL32" s="759"/>
      <c r="AM32" s="761"/>
      <c r="AN32" s="757"/>
      <c r="AO32" s="757"/>
      <c r="AP32" s="757"/>
      <c r="AQ32" s="757"/>
      <c r="AR32" s="138"/>
      <c r="AS32" s="138"/>
      <c r="AT32" s="757"/>
      <c r="AU32" s="138"/>
      <c r="AV32" s="757"/>
      <c r="AW32" s="757"/>
      <c r="AX32" s="757"/>
      <c r="AY32" s="757"/>
      <c r="AZ32" s="757"/>
      <c r="BA32" s="757"/>
      <c r="BB32" s="757"/>
      <c r="BC32" s="757"/>
      <c r="BD32" s="761"/>
      <c r="BE32" s="757"/>
      <c r="BF32" s="757"/>
      <c r="BG32" s="757"/>
      <c r="BH32" s="757"/>
      <c r="BI32" s="138"/>
      <c r="BJ32" s="138"/>
      <c r="BK32" s="757"/>
      <c r="BL32" s="138"/>
      <c r="BM32" s="757"/>
      <c r="BN32" s="757"/>
      <c r="BO32" s="757"/>
      <c r="BP32" s="757"/>
      <c r="BQ32" s="757"/>
      <c r="BR32" s="757"/>
      <c r="BS32" s="757"/>
      <c r="BT32" s="757"/>
    </row>
    <row r="33" spans="1:72" x14ac:dyDescent="0.25">
      <c r="A33" s="757">
        <v>9.4055330999999995</v>
      </c>
      <c r="B33" s="757">
        <v>4.6100000000000003</v>
      </c>
      <c r="C33" s="757">
        <v>4.0075979999999998</v>
      </c>
      <c r="D33" s="757">
        <v>1.2689999999999999</v>
      </c>
      <c r="E33" s="758">
        <f t="shared" si="0"/>
        <v>10.6745331</v>
      </c>
      <c r="F33" s="670">
        <f t="shared" si="15"/>
        <v>0.25</v>
      </c>
      <c r="G33" s="670">
        <f t="shared" si="16"/>
        <v>9.7227830999999991</v>
      </c>
      <c r="H33" s="758">
        <f t="shared" si="17"/>
        <v>1.2643900885043065</v>
      </c>
      <c r="I33" s="757">
        <v>1.6</v>
      </c>
      <c r="J33" s="670">
        <f t="shared" si="18"/>
        <v>4.45</v>
      </c>
      <c r="K33" s="757" t="s">
        <v>877</v>
      </c>
      <c r="L33" s="757">
        <f t="shared" si="1"/>
        <v>0</v>
      </c>
      <c r="M33" s="757">
        <f t="shared" si="19"/>
        <v>5.9690260418206069</v>
      </c>
      <c r="N33" s="757">
        <f t="shared" si="20"/>
        <v>-0.15</v>
      </c>
      <c r="O33" s="757">
        <f t="shared" si="2"/>
        <v>1.85</v>
      </c>
      <c r="P33" s="757">
        <f t="shared" si="3"/>
        <v>-1.55</v>
      </c>
      <c r="Q33" s="757">
        <f t="shared" si="4"/>
        <v>5.4999999999999997E-3</v>
      </c>
      <c r="R33" s="759">
        <f t="shared" si="5"/>
        <v>5.4999999999999997E-3</v>
      </c>
      <c r="S33" s="761"/>
      <c r="T33" s="757"/>
      <c r="U33" s="757"/>
      <c r="V33" s="757"/>
      <c r="W33" s="138"/>
      <c r="X33" s="670"/>
      <c r="Y33" s="138"/>
      <c r="Z33" s="138"/>
      <c r="AA33" s="757"/>
      <c r="AB33" s="138"/>
      <c r="AC33" s="757"/>
      <c r="AD33" s="757"/>
      <c r="AE33" s="757"/>
      <c r="AF33" s="757"/>
      <c r="AG33" s="757"/>
      <c r="AH33" s="757"/>
      <c r="AI33" s="757"/>
      <c r="AJ33" s="757"/>
      <c r="AK33" s="757"/>
      <c r="AL33" s="759"/>
      <c r="AM33" s="761"/>
      <c r="AN33" s="757"/>
      <c r="AO33" s="757"/>
      <c r="AP33" s="757"/>
      <c r="AQ33" s="757"/>
      <c r="AR33" s="138"/>
      <c r="AS33" s="138"/>
      <c r="AT33" s="757"/>
      <c r="AU33" s="138"/>
      <c r="AV33" s="757"/>
      <c r="AW33" s="757"/>
      <c r="AX33" s="757"/>
      <c r="AY33" s="757"/>
      <c r="AZ33" s="757"/>
      <c r="BA33" s="757"/>
      <c r="BB33" s="757"/>
      <c r="BC33" s="757"/>
      <c r="BD33" s="761"/>
      <c r="BE33" s="757"/>
      <c r="BF33" s="757"/>
      <c r="BG33" s="757"/>
      <c r="BH33" s="757"/>
      <c r="BI33" s="138"/>
      <c r="BJ33" s="138"/>
      <c r="BK33" s="757"/>
      <c r="BL33" s="138"/>
      <c r="BM33" s="757"/>
      <c r="BN33" s="757"/>
      <c r="BO33" s="757"/>
      <c r="BP33" s="757"/>
      <c r="BQ33" s="757"/>
      <c r="BR33" s="757"/>
      <c r="BS33" s="757"/>
      <c r="BT33" s="757"/>
    </row>
    <row r="34" spans="1:72" x14ac:dyDescent="0.25">
      <c r="A34" s="757">
        <v>9.4384834000000009</v>
      </c>
      <c r="B34" s="757">
        <v>4.8103806000000002</v>
      </c>
      <c r="C34" s="757">
        <v>4.0058164999999999</v>
      </c>
      <c r="D34" s="757">
        <v>1.25</v>
      </c>
      <c r="E34" s="758">
        <f t="shared" si="0"/>
        <v>10.688483400000001</v>
      </c>
      <c r="F34" s="670">
        <f t="shared" si="15"/>
        <v>0.25</v>
      </c>
      <c r="G34" s="670">
        <f t="shared" si="16"/>
        <v>9.7509834000000009</v>
      </c>
      <c r="H34" s="758">
        <f t="shared" si="17"/>
        <v>1.237802165230206</v>
      </c>
      <c r="I34" s="757">
        <v>1.6</v>
      </c>
      <c r="J34" s="670">
        <f t="shared" ref="J34:J39" si="40">$A$22+I34</f>
        <v>4.45</v>
      </c>
      <c r="K34" s="757" t="s">
        <v>878</v>
      </c>
      <c r="L34" s="757">
        <f t="shared" si="1"/>
        <v>0</v>
      </c>
      <c r="M34" s="757">
        <f t="shared" si="19"/>
        <v>5.9690260418206069</v>
      </c>
      <c r="N34" s="757">
        <f t="shared" si="20"/>
        <v>-0.15</v>
      </c>
      <c r="O34" s="757">
        <f t="shared" si="2"/>
        <v>1.85</v>
      </c>
      <c r="P34" s="757">
        <f t="shared" si="3"/>
        <v>-1.55</v>
      </c>
      <c r="Q34" s="757">
        <f t="shared" si="4"/>
        <v>5.4999999999999997E-3</v>
      </c>
      <c r="R34" s="759">
        <f t="shared" si="5"/>
        <v>5.4999999999999997E-3</v>
      </c>
      <c r="S34" s="757"/>
      <c r="T34" s="757"/>
      <c r="U34" s="757"/>
      <c r="V34" s="757"/>
      <c r="W34" s="138"/>
      <c r="X34" s="670"/>
      <c r="Y34" s="138"/>
      <c r="Z34" s="138"/>
      <c r="AA34" s="757"/>
      <c r="AB34" s="138"/>
      <c r="AC34" s="757"/>
      <c r="AD34" s="757"/>
      <c r="AE34" s="757"/>
      <c r="AF34" s="757"/>
      <c r="AG34" s="757"/>
      <c r="AH34" s="757"/>
      <c r="AI34" s="757"/>
      <c r="AJ34" s="757"/>
      <c r="AK34" s="757"/>
      <c r="AL34" s="759"/>
      <c r="AM34" s="761"/>
      <c r="AN34" s="757"/>
      <c r="AO34" s="757"/>
      <c r="AP34" s="757"/>
      <c r="AQ34" s="757"/>
      <c r="AR34" s="138"/>
      <c r="AS34" s="138"/>
      <c r="AT34" s="757"/>
      <c r="AU34" s="138"/>
      <c r="AV34" s="757"/>
      <c r="AW34" s="757"/>
      <c r="AX34" s="757"/>
      <c r="AY34" s="757"/>
      <c r="AZ34" s="757"/>
      <c r="BA34" s="757"/>
      <c r="BB34" s="757"/>
      <c r="BC34" s="757"/>
      <c r="BD34" s="761"/>
      <c r="BE34" s="757"/>
      <c r="BF34" s="757"/>
      <c r="BG34" s="757"/>
      <c r="BH34" s="757"/>
      <c r="BI34" s="138"/>
      <c r="BJ34" s="138"/>
      <c r="BK34" s="757"/>
      <c r="BL34" s="138"/>
      <c r="BM34" s="757"/>
      <c r="BN34" s="757"/>
      <c r="BO34" s="757"/>
      <c r="BP34" s="757"/>
      <c r="BQ34" s="757"/>
      <c r="BR34" s="757"/>
      <c r="BS34" s="757"/>
      <c r="BT34" s="757"/>
    </row>
    <row r="35" spans="1:72" x14ac:dyDescent="0.25">
      <c r="A35" s="757">
        <v>9.7502853999999992</v>
      </c>
      <c r="B35" s="757">
        <v>5.8965057999999999</v>
      </c>
      <c r="C35" s="757">
        <v>3.8939287999999999</v>
      </c>
      <c r="D35" s="757">
        <v>1.109</v>
      </c>
      <c r="E35" s="758">
        <f t="shared" si="0"/>
        <v>10.859285399999999</v>
      </c>
      <c r="F35" s="670">
        <f t="shared" si="15"/>
        <v>0.25</v>
      </c>
      <c r="G35" s="670">
        <f t="shared" si="16"/>
        <v>10.0275354</v>
      </c>
      <c r="H35" s="758">
        <f t="shared" si="17"/>
        <v>1.0747089484595416</v>
      </c>
      <c r="I35" s="757">
        <v>1.55</v>
      </c>
      <c r="J35" s="670">
        <f t="shared" si="40"/>
        <v>4.4000000000000004</v>
      </c>
      <c r="K35" s="757" t="s">
        <v>878</v>
      </c>
      <c r="L35" s="757">
        <f t="shared" si="1"/>
        <v>0</v>
      </c>
      <c r="M35" s="757">
        <f t="shared" si="19"/>
        <v>5.9690260418206069</v>
      </c>
      <c r="N35" s="757">
        <f t="shared" si="20"/>
        <v>-0.15</v>
      </c>
      <c r="O35" s="757">
        <f t="shared" si="2"/>
        <v>1.85</v>
      </c>
      <c r="P35" s="757">
        <f t="shared" si="3"/>
        <v>-1.55</v>
      </c>
      <c r="Q35" s="757">
        <f t="shared" si="4"/>
        <v>5.4999999999999997E-3</v>
      </c>
      <c r="R35" s="759">
        <f t="shared" si="5"/>
        <v>5.4999999999999997E-3</v>
      </c>
      <c r="S35" s="757"/>
      <c r="T35" s="757"/>
      <c r="U35" s="757"/>
      <c r="V35" s="757"/>
      <c r="W35" s="138"/>
      <c r="X35" s="670"/>
      <c r="Y35" s="138"/>
      <c r="Z35" s="138"/>
      <c r="AA35" s="757"/>
      <c r="AB35" s="138"/>
      <c r="AC35" s="757"/>
      <c r="AD35" s="757"/>
      <c r="AE35" s="757"/>
      <c r="AF35" s="757"/>
      <c r="AG35" s="757"/>
      <c r="AH35" s="757"/>
      <c r="AI35" s="757"/>
      <c r="AJ35" s="757"/>
      <c r="AK35" s="757"/>
      <c r="AL35" s="759"/>
      <c r="AM35" s="761"/>
      <c r="AN35" s="757"/>
      <c r="AO35" s="757"/>
      <c r="AP35" s="757"/>
      <c r="AQ35" s="757"/>
      <c r="AR35" s="138"/>
      <c r="AS35" s="138"/>
      <c r="AT35" s="757"/>
      <c r="AU35" s="138"/>
      <c r="AV35" s="757"/>
      <c r="AW35" s="757"/>
      <c r="AX35" s="757"/>
      <c r="AY35" s="757"/>
      <c r="AZ35" s="757"/>
      <c r="BA35" s="757"/>
      <c r="BB35" s="757"/>
      <c r="BC35" s="757"/>
      <c r="BD35" s="761"/>
      <c r="BE35" s="757"/>
      <c r="BF35" s="757"/>
      <c r="BG35" s="757"/>
      <c r="BH35" s="757"/>
      <c r="BI35" s="138"/>
      <c r="BJ35" s="138"/>
      <c r="BK35" s="757"/>
      <c r="BL35" s="138"/>
      <c r="BM35" s="757"/>
      <c r="BN35" s="757"/>
      <c r="BO35" s="757"/>
      <c r="BP35" s="757"/>
      <c r="BQ35" s="757"/>
      <c r="BR35" s="757"/>
      <c r="BS35" s="757"/>
      <c r="BT35" s="757"/>
    </row>
    <row r="36" spans="1:72" x14ac:dyDescent="0.25">
      <c r="A36" s="757">
        <v>10.165088900000001</v>
      </c>
      <c r="B36" s="757">
        <v>6.6937667000000003</v>
      </c>
      <c r="C36" s="757">
        <v>3.8003173000000001</v>
      </c>
      <c r="D36" s="757">
        <v>0.84599999999999997</v>
      </c>
      <c r="E36" s="758">
        <f t="shared" si="0"/>
        <v>11.011088900000001</v>
      </c>
      <c r="F36" s="670">
        <f t="shared" si="15"/>
        <v>0.25</v>
      </c>
      <c r="G36" s="670">
        <f t="shared" si="16"/>
        <v>10.3765889</v>
      </c>
      <c r="H36" s="758">
        <f t="shared" si="17"/>
        <v>0.77497917792393756</v>
      </c>
      <c r="I36" s="757">
        <v>1.2</v>
      </c>
      <c r="J36" s="670">
        <f t="shared" si="40"/>
        <v>4.05</v>
      </c>
      <c r="K36" s="757" t="s">
        <v>878</v>
      </c>
      <c r="L36" s="757">
        <f t="shared" si="1"/>
        <v>0</v>
      </c>
      <c r="M36" s="757">
        <f t="shared" si="19"/>
        <v>5.9690260418206069</v>
      </c>
      <c r="N36" s="757">
        <f t="shared" si="20"/>
        <v>-0.15</v>
      </c>
      <c r="O36" s="757">
        <f t="shared" si="2"/>
        <v>1.85</v>
      </c>
      <c r="P36" s="757">
        <f t="shared" si="3"/>
        <v>-1.55</v>
      </c>
      <c r="Q36" s="757">
        <f t="shared" si="4"/>
        <v>5.4999999999999997E-3</v>
      </c>
      <c r="R36" s="759">
        <f t="shared" si="5"/>
        <v>5.4999999999999997E-3</v>
      </c>
      <c r="S36" s="757"/>
      <c r="T36" s="757"/>
      <c r="U36" s="757"/>
      <c r="V36" s="757"/>
      <c r="W36" s="138"/>
      <c r="X36" s="670"/>
      <c r="Y36" s="138"/>
      <c r="Z36" s="138"/>
      <c r="AA36" s="757"/>
      <c r="AB36" s="138"/>
      <c r="AC36" s="757"/>
      <c r="AD36" s="757"/>
      <c r="AE36" s="757"/>
      <c r="AF36" s="757"/>
      <c r="AG36" s="757"/>
      <c r="AH36" s="757"/>
      <c r="AI36" s="757"/>
      <c r="AJ36" s="757"/>
      <c r="AK36" s="757"/>
      <c r="AL36" s="759"/>
      <c r="AM36" s="761"/>
      <c r="AN36" s="757"/>
      <c r="AO36" s="757"/>
      <c r="AP36" s="757"/>
      <c r="AQ36" s="757"/>
      <c r="AR36" s="138"/>
      <c r="AS36" s="138"/>
      <c r="AT36" s="757"/>
      <c r="AU36" s="138"/>
      <c r="AV36" s="757"/>
      <c r="AW36" s="757"/>
      <c r="AX36" s="757"/>
      <c r="AY36" s="757"/>
      <c r="AZ36" s="757"/>
      <c r="BA36" s="757"/>
      <c r="BB36" s="757"/>
      <c r="BC36" s="757"/>
      <c r="BD36" s="761"/>
      <c r="BE36" s="757"/>
      <c r="BF36" s="757"/>
      <c r="BG36" s="757"/>
      <c r="BH36" s="757"/>
      <c r="BI36" s="138"/>
      <c r="BJ36" s="138"/>
      <c r="BK36" s="757"/>
      <c r="BL36" s="138"/>
      <c r="BM36" s="757"/>
      <c r="BN36" s="757"/>
      <c r="BO36" s="757"/>
      <c r="BP36" s="757"/>
      <c r="BQ36" s="757"/>
      <c r="BR36" s="757"/>
      <c r="BS36" s="757"/>
      <c r="BT36" s="757"/>
    </row>
    <row r="37" spans="1:72" x14ac:dyDescent="0.25">
      <c r="A37" s="757">
        <v>10.4154787</v>
      </c>
      <c r="B37" s="757">
        <v>6.9755219999999998</v>
      </c>
      <c r="C37" s="757">
        <v>3.6820567999999998</v>
      </c>
      <c r="D37" s="757">
        <v>0.68799999999999994</v>
      </c>
      <c r="E37" s="758">
        <f t="shared" si="0"/>
        <v>11.1034787</v>
      </c>
      <c r="F37" s="670">
        <f t="shared" si="15"/>
        <v>0.25</v>
      </c>
      <c r="G37" s="670">
        <f t="shared" si="16"/>
        <v>10.5874787</v>
      </c>
      <c r="H37" s="758">
        <f t="shared" si="17"/>
        <v>0.55080011004717533</v>
      </c>
      <c r="I37" s="757">
        <v>0.5</v>
      </c>
      <c r="J37" s="670">
        <f t="shared" si="40"/>
        <v>3.35</v>
      </c>
      <c r="K37" s="757" t="s">
        <v>879</v>
      </c>
      <c r="L37" s="757">
        <f t="shared" si="1"/>
        <v>0</v>
      </c>
      <c r="M37" s="757">
        <f t="shared" si="19"/>
        <v>5.9690260418206069</v>
      </c>
      <c r="N37" s="757">
        <f t="shared" si="20"/>
        <v>-0.15</v>
      </c>
      <c r="O37" s="757">
        <f t="shared" si="2"/>
        <v>1.85</v>
      </c>
      <c r="P37" s="757">
        <f t="shared" si="3"/>
        <v>-1.55</v>
      </c>
      <c r="Q37" s="757">
        <f t="shared" si="4"/>
        <v>5.4999999999999997E-3</v>
      </c>
      <c r="R37" s="759">
        <f t="shared" si="5"/>
        <v>5.4999999999999997E-3</v>
      </c>
      <c r="S37" s="757"/>
      <c r="T37" s="757"/>
      <c r="U37" s="757"/>
      <c r="V37" s="757"/>
      <c r="W37" s="138"/>
      <c r="X37" s="670"/>
      <c r="Y37" s="138"/>
      <c r="Z37" s="138"/>
      <c r="AA37" s="757"/>
      <c r="AB37" s="138"/>
      <c r="AC37" s="757"/>
      <c r="AD37" s="757"/>
      <c r="AE37" s="757"/>
      <c r="AF37" s="757"/>
      <c r="AG37" s="757"/>
      <c r="AH37" s="757"/>
      <c r="AI37" s="757"/>
      <c r="AJ37" s="757"/>
      <c r="AK37" s="757"/>
      <c r="AL37" s="759"/>
      <c r="AM37" s="761"/>
      <c r="AN37" s="757"/>
      <c r="AO37" s="757"/>
      <c r="AP37" s="757"/>
      <c r="AQ37" s="757"/>
      <c r="AR37" s="138"/>
      <c r="AS37" s="138"/>
      <c r="AT37" s="757"/>
      <c r="AU37" s="138"/>
      <c r="AV37" s="757"/>
      <c r="AW37" s="757"/>
      <c r="AX37" s="757"/>
      <c r="AY37" s="757"/>
      <c r="AZ37" s="757"/>
      <c r="BA37" s="757"/>
      <c r="BB37" s="757"/>
      <c r="BC37" s="757"/>
      <c r="BD37" s="761"/>
      <c r="BE37" s="757"/>
      <c r="BF37" s="757"/>
      <c r="BG37" s="757"/>
      <c r="BH37" s="757"/>
      <c r="BI37" s="138"/>
      <c r="BJ37" s="138"/>
      <c r="BK37" s="757"/>
      <c r="BL37" s="138"/>
      <c r="BM37" s="757"/>
      <c r="BN37" s="757"/>
      <c r="BO37" s="757"/>
      <c r="BP37" s="757"/>
      <c r="BQ37" s="757"/>
      <c r="BR37" s="757"/>
      <c r="BS37" s="757"/>
      <c r="BT37" s="757"/>
    </row>
    <row r="38" spans="1:72" x14ac:dyDescent="0.25">
      <c r="A38" s="757">
        <v>10.7277179</v>
      </c>
      <c r="B38" s="757">
        <v>7.2226727999999998</v>
      </c>
      <c r="C38" s="757">
        <v>3.4177509000000001</v>
      </c>
      <c r="D38" s="757">
        <v>0.51049999999999995</v>
      </c>
      <c r="E38" s="758">
        <f t="shared" si="0"/>
        <v>11.2382179</v>
      </c>
      <c r="F38" s="670">
        <f t="shared" si="15"/>
        <v>0.25</v>
      </c>
      <c r="G38" s="670">
        <f t="shared" si="16"/>
        <v>10.8553429</v>
      </c>
      <c r="H38" s="758">
        <f t="shared" si="17"/>
        <v>0.34617995694032316</v>
      </c>
      <c r="I38" s="757">
        <v>0.25</v>
      </c>
      <c r="J38" s="670">
        <f t="shared" si="40"/>
        <v>3.1</v>
      </c>
      <c r="K38" s="757" t="s">
        <v>879</v>
      </c>
      <c r="L38" s="757">
        <f t="shared" si="1"/>
        <v>0</v>
      </c>
      <c r="M38" s="757">
        <f t="shared" si="19"/>
        <v>5.9690260418206069</v>
      </c>
      <c r="N38" s="757">
        <f t="shared" si="20"/>
        <v>-0.15</v>
      </c>
      <c r="O38" s="757">
        <f t="shared" si="2"/>
        <v>1.85</v>
      </c>
      <c r="P38" s="757">
        <f t="shared" si="3"/>
        <v>-1.55</v>
      </c>
      <c r="Q38" s="757">
        <f t="shared" si="4"/>
        <v>5.4999999999999997E-3</v>
      </c>
      <c r="R38" s="759">
        <f t="shared" si="5"/>
        <v>5.4999999999999997E-3</v>
      </c>
      <c r="S38" s="757"/>
      <c r="T38" s="757"/>
      <c r="U38" s="757"/>
      <c r="V38" s="757"/>
      <c r="W38" s="138"/>
      <c r="X38" s="670"/>
      <c r="Y38" s="138"/>
      <c r="Z38" s="138"/>
      <c r="AA38" s="757"/>
      <c r="AB38" s="138"/>
      <c r="AC38" s="757"/>
      <c r="AD38" s="757"/>
      <c r="AE38" s="757"/>
      <c r="AF38" s="757"/>
      <c r="AG38" s="757"/>
      <c r="AH38" s="757"/>
      <c r="AI38" s="757"/>
      <c r="AJ38" s="757"/>
      <c r="AK38" s="757"/>
      <c r="AL38" s="759"/>
      <c r="AM38" s="761"/>
      <c r="AN38" s="757"/>
      <c r="AO38" s="757"/>
      <c r="AP38" s="757"/>
      <c r="AQ38" s="757"/>
      <c r="AR38" s="138"/>
      <c r="AS38" s="138"/>
      <c r="AT38" s="757"/>
      <c r="AU38" s="138"/>
      <c r="AV38" s="757"/>
      <c r="AW38" s="757"/>
      <c r="AX38" s="757"/>
      <c r="AY38" s="757"/>
      <c r="AZ38" s="757"/>
      <c r="BA38" s="757"/>
      <c r="BB38" s="757"/>
      <c r="BC38" s="757"/>
      <c r="BD38" s="761"/>
      <c r="BE38" s="757"/>
      <c r="BF38" s="757"/>
      <c r="BG38" s="757"/>
      <c r="BH38" s="757"/>
      <c r="BI38" s="138"/>
      <c r="BJ38" s="138"/>
      <c r="BK38" s="757"/>
      <c r="BL38" s="138"/>
      <c r="BM38" s="757"/>
      <c r="BN38" s="757"/>
      <c r="BO38" s="757"/>
      <c r="BP38" s="757"/>
      <c r="BQ38" s="757"/>
      <c r="BR38" s="757"/>
      <c r="BS38" s="757"/>
      <c r="BT38" s="757"/>
    </row>
    <row r="39" spans="1:72" x14ac:dyDescent="0.25">
      <c r="A39" s="757">
        <v>11.135823200000001</v>
      </c>
      <c r="B39" s="757">
        <v>7.3419102000000001</v>
      </c>
      <c r="C39" s="757">
        <v>3.0678348999999998</v>
      </c>
      <c r="D39" s="757">
        <v>0.33300000000000002</v>
      </c>
      <c r="E39" s="758">
        <f t="shared" si="0"/>
        <v>11.468823200000001</v>
      </c>
      <c r="F39" s="670">
        <f t="shared" si="15"/>
        <v>0.25</v>
      </c>
      <c r="G39" s="670">
        <f t="shared" si="16"/>
        <v>11.2190732</v>
      </c>
      <c r="H39" s="758">
        <f t="shared" si="17"/>
        <v>0.10373189084043469</v>
      </c>
      <c r="I39" s="757">
        <v>0</v>
      </c>
      <c r="J39" s="670">
        <f t="shared" si="40"/>
        <v>2.85</v>
      </c>
      <c r="K39" s="757" t="s">
        <v>879</v>
      </c>
      <c r="L39" s="757">
        <f t="shared" si="1"/>
        <v>0</v>
      </c>
      <c r="M39" s="757">
        <f t="shared" si="19"/>
        <v>5.9690260418206069</v>
      </c>
      <c r="N39" s="757">
        <f t="shared" si="20"/>
        <v>-0.15</v>
      </c>
      <c r="O39" s="757">
        <f t="shared" si="2"/>
        <v>1.85</v>
      </c>
      <c r="P39" s="757">
        <f t="shared" si="3"/>
        <v>-1.55</v>
      </c>
      <c r="Q39" s="757">
        <f t="shared" si="4"/>
        <v>5.4999999999999997E-3</v>
      </c>
      <c r="R39" s="759">
        <f t="shared" si="5"/>
        <v>5.4999999999999997E-3</v>
      </c>
      <c r="S39" s="757"/>
      <c r="T39" s="757"/>
      <c r="U39" s="757"/>
      <c r="V39" s="757"/>
      <c r="W39" s="138"/>
      <c r="X39" s="670"/>
      <c r="Y39" s="138"/>
      <c r="Z39" s="138"/>
      <c r="AA39" s="757"/>
      <c r="AB39" s="138"/>
      <c r="AC39" s="757"/>
      <c r="AD39" s="757"/>
      <c r="AE39" s="757"/>
      <c r="AF39" s="757"/>
      <c r="AG39" s="757"/>
      <c r="AH39" s="757"/>
      <c r="AI39" s="757"/>
      <c r="AJ39" s="757"/>
      <c r="AK39" s="757"/>
      <c r="AL39" s="759"/>
      <c r="AM39" s="761"/>
      <c r="AN39" s="757"/>
      <c r="AO39" s="757"/>
      <c r="AP39" s="757"/>
      <c r="AQ39" s="757"/>
      <c r="AR39" s="138"/>
      <c r="AS39" s="138"/>
      <c r="AT39" s="757"/>
      <c r="AU39" s="138"/>
      <c r="AV39" s="757"/>
      <c r="AW39" s="757"/>
      <c r="AX39" s="757"/>
      <c r="AY39" s="757"/>
      <c r="AZ39" s="757"/>
      <c r="BA39" s="757"/>
      <c r="BB39" s="757"/>
      <c r="BC39" s="757"/>
      <c r="BD39" s="761"/>
      <c r="BE39" s="757"/>
      <c r="BF39" s="757"/>
      <c r="BG39" s="757"/>
      <c r="BH39" s="757"/>
      <c r="BI39" s="138"/>
      <c r="BJ39" s="138"/>
      <c r="BK39" s="757"/>
      <c r="BL39" s="138"/>
      <c r="BM39" s="757"/>
      <c r="BN39" s="757"/>
      <c r="BO39" s="757"/>
      <c r="BP39" s="757"/>
      <c r="BQ39" s="757"/>
      <c r="BR39" s="757"/>
      <c r="BS39" s="757"/>
      <c r="BT39" s="757"/>
    </row>
  </sheetData>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2327F5-D99B-45B8-B6EF-FE48D46856BF}">
  <sheetPr>
    <tabColor rgb="FFFFFF00"/>
  </sheetPr>
  <dimension ref="A1:HK120"/>
  <sheetViews>
    <sheetView tabSelected="1" topLeftCell="A9" zoomScale="85" zoomScaleNormal="85" workbookViewId="0">
      <selection activeCell="N38" sqref="N38"/>
    </sheetView>
  </sheetViews>
  <sheetFormatPr defaultRowHeight="15" x14ac:dyDescent="0.25"/>
  <cols>
    <col min="1" max="1" width="22.85546875" customWidth="1"/>
    <col min="2" max="2" width="11.42578125" customWidth="1"/>
    <col min="3" max="3" width="15.42578125" bestFit="1" customWidth="1"/>
    <col min="4" max="4" width="20.5703125" customWidth="1"/>
    <col min="5" max="5" width="12.85546875" customWidth="1"/>
    <col min="6" max="6" width="19.140625" customWidth="1"/>
    <col min="7" max="7" width="17.28515625" bestFit="1" customWidth="1"/>
    <col min="8" max="8" width="10.85546875" bestFit="1" customWidth="1"/>
    <col min="9" max="9" width="13.5703125" customWidth="1"/>
    <col min="10" max="10" width="11.5703125" bestFit="1" customWidth="1"/>
    <col min="15" max="15" width="12.140625" bestFit="1" customWidth="1"/>
    <col min="16" max="16" width="12" bestFit="1" customWidth="1"/>
    <col min="17" max="19" width="9.28515625" bestFit="1" customWidth="1"/>
    <col min="20" max="20" width="11" bestFit="1" customWidth="1"/>
    <col min="21" max="31" width="11" customWidth="1"/>
    <col min="32" max="32" width="11.7109375" customWidth="1"/>
    <col min="33" max="41" width="11" customWidth="1"/>
    <col min="42" max="68" width="9.28515625" customWidth="1"/>
    <col min="69" max="71" width="9.140625" customWidth="1"/>
    <col min="72" max="72" width="9.140625" style="580" customWidth="1"/>
    <col min="73" max="79" width="9.140625" customWidth="1"/>
    <col min="80" max="80" width="21.28515625" bestFit="1" customWidth="1"/>
    <col min="87" max="87" width="9.140625" style="594"/>
    <col min="88" max="88" width="10" customWidth="1"/>
    <col min="89" max="91" width="8.7109375" customWidth="1"/>
    <col min="92" max="92" width="12.7109375" customWidth="1"/>
    <col min="93" max="130" width="8.7109375" customWidth="1"/>
    <col min="131" max="131" width="11.42578125" customWidth="1"/>
    <col min="136" max="136" width="11.85546875" customWidth="1"/>
    <col min="179" max="179" width="14.85546875" bestFit="1" customWidth="1"/>
  </cols>
  <sheetData>
    <row r="1" spans="1:87" ht="15.75" thickBot="1" x14ac:dyDescent="0.3">
      <c r="A1" s="567">
        <v>45008</v>
      </c>
      <c r="D1" s="4" t="s">
        <v>869</v>
      </c>
      <c r="F1" s="675" t="s">
        <v>989</v>
      </c>
      <c r="BT1"/>
      <c r="CI1"/>
    </row>
    <row r="2" spans="1:87" x14ac:dyDescent="0.25">
      <c r="A2" s="567"/>
      <c r="D2" s="674"/>
      <c r="E2" s="674"/>
      <c r="H2" s="80"/>
      <c r="BT2"/>
      <c r="CI2"/>
    </row>
    <row r="3" spans="1:87" ht="15.75" thickBot="1" x14ac:dyDescent="0.3">
      <c r="A3" s="567"/>
      <c r="D3" s="673" t="s">
        <v>64</v>
      </c>
      <c r="E3" s="674"/>
      <c r="F3" s="677" t="s">
        <v>990</v>
      </c>
      <c r="H3" s="41"/>
      <c r="BT3"/>
      <c r="CI3"/>
    </row>
    <row r="4" spans="1:87" ht="15.75" thickTop="1" x14ac:dyDescent="0.25">
      <c r="A4" s="567"/>
      <c r="D4" s="674"/>
      <c r="E4" s="674"/>
      <c r="F4" s="676"/>
      <c r="H4" s="41"/>
      <c r="BT4"/>
      <c r="CI4"/>
    </row>
    <row r="5" spans="1:87" x14ac:dyDescent="0.25">
      <c r="A5" s="567"/>
      <c r="C5" s="524" t="s">
        <v>508</v>
      </c>
      <c r="D5" s="562" t="s">
        <v>858</v>
      </c>
      <c r="F5" s="769" t="s">
        <v>510</v>
      </c>
      <c r="BT5"/>
      <c r="CI5"/>
    </row>
    <row r="6" spans="1:87" x14ac:dyDescent="0.25">
      <c r="A6" s="567"/>
      <c r="D6" s="562" t="s">
        <v>859</v>
      </c>
      <c r="F6" s="769" t="s">
        <v>522</v>
      </c>
      <c r="BT6"/>
      <c r="CI6"/>
    </row>
    <row r="7" spans="1:87" x14ac:dyDescent="0.25">
      <c r="A7" s="567"/>
      <c r="D7" s="562" t="s">
        <v>860</v>
      </c>
      <c r="F7" s="769" t="s">
        <v>764</v>
      </c>
      <c r="BT7"/>
      <c r="CI7"/>
    </row>
    <row r="8" spans="1:87" x14ac:dyDescent="0.25">
      <c r="A8" s="567"/>
      <c r="F8" s="603"/>
      <c r="BT8"/>
      <c r="CI8"/>
    </row>
    <row r="9" spans="1:87" x14ac:dyDescent="0.25">
      <c r="A9" s="567"/>
      <c r="C9" s="524" t="s">
        <v>861</v>
      </c>
      <c r="D9" s="562" t="s">
        <v>862</v>
      </c>
      <c r="F9" s="797">
        <v>9.81</v>
      </c>
      <c r="G9" s="2" t="s">
        <v>1012</v>
      </c>
      <c r="BT9"/>
      <c r="CI9"/>
    </row>
    <row r="10" spans="1:87" x14ac:dyDescent="0.25">
      <c r="A10" s="567"/>
      <c r="D10" s="562" t="s">
        <v>863</v>
      </c>
      <c r="F10" s="798">
        <v>1.2250000000000001</v>
      </c>
      <c r="G10" s="2" t="s">
        <v>1013</v>
      </c>
      <c r="BT10"/>
      <c r="CI10"/>
    </row>
    <row r="11" spans="1:87" x14ac:dyDescent="0.25">
      <c r="A11" s="567"/>
      <c r="D11" s="562" t="s">
        <v>864</v>
      </c>
      <c r="F11" s="141">
        <v>339.85198912473635</v>
      </c>
      <c r="G11" s="2" t="s">
        <v>1014</v>
      </c>
      <c r="BT11"/>
      <c r="CI11"/>
    </row>
    <row r="12" spans="1:87" x14ac:dyDescent="0.25">
      <c r="A12" s="567"/>
      <c r="D12" s="562" t="s">
        <v>865</v>
      </c>
      <c r="F12" s="714">
        <f>'Prosperity Reference'!C9</f>
        <v>18.746289999999998</v>
      </c>
      <c r="G12" s="2" t="s">
        <v>1015</v>
      </c>
      <c r="BT12"/>
      <c r="CI12"/>
    </row>
    <row r="13" spans="1:87" x14ac:dyDescent="0.25">
      <c r="A13" s="567"/>
      <c r="D13" s="562" t="s">
        <v>615</v>
      </c>
      <c r="F13" s="714">
        <f>'Prosperity Reference'!C11</f>
        <v>1.28778576</v>
      </c>
      <c r="G13" s="2" t="s">
        <v>1016</v>
      </c>
      <c r="BT13"/>
      <c r="CI13"/>
    </row>
    <row r="14" spans="1:87" x14ac:dyDescent="0.25">
      <c r="A14" s="567"/>
      <c r="D14" s="562" t="s">
        <v>866</v>
      </c>
      <c r="F14" s="714">
        <f>'Prosperity Reference'!C10</f>
        <v>15.4</v>
      </c>
      <c r="G14" s="2" t="s">
        <v>1016</v>
      </c>
      <c r="BT14"/>
      <c r="CI14"/>
    </row>
    <row r="15" spans="1:87" x14ac:dyDescent="0.25">
      <c r="A15" s="567"/>
      <c r="D15" s="562" t="s">
        <v>962</v>
      </c>
      <c r="F15" s="714">
        <v>7.2773047999999996</v>
      </c>
      <c r="G15" s="2" t="s">
        <v>1016</v>
      </c>
      <c r="H15" s="41" t="s">
        <v>1165</v>
      </c>
      <c r="BT15"/>
      <c r="CI15"/>
    </row>
    <row r="16" spans="1:87" x14ac:dyDescent="0.25">
      <c r="A16" s="567"/>
      <c r="D16" s="562" t="s">
        <v>963</v>
      </c>
      <c r="F16" s="714">
        <v>-3.702E-3</v>
      </c>
      <c r="G16" s="2" t="s">
        <v>1016</v>
      </c>
      <c r="BT16"/>
      <c r="CI16"/>
    </row>
    <row r="17" spans="1:87" x14ac:dyDescent="0.25">
      <c r="A17" s="567"/>
      <c r="D17" s="562" t="s">
        <v>964</v>
      </c>
      <c r="F17" s="714">
        <v>2.4898129999999998</v>
      </c>
      <c r="G17" s="2" t="s">
        <v>1016</v>
      </c>
      <c r="BT17"/>
      <c r="CI17"/>
    </row>
    <row r="18" spans="1:87" x14ac:dyDescent="0.25">
      <c r="A18" s="567"/>
      <c r="D18" s="562" t="s">
        <v>867</v>
      </c>
      <c r="F18" s="646" t="str">
        <f>'Prosperity Reference'!C12</f>
        <v>(8.526, -0.004, 2.993)</v>
      </c>
      <c r="G18" s="2" t="s">
        <v>1016</v>
      </c>
      <c r="H18" s="41" t="s">
        <v>1168</v>
      </c>
      <c r="BT18"/>
      <c r="CI18"/>
    </row>
    <row r="19" spans="1:87" x14ac:dyDescent="0.25">
      <c r="A19" s="567"/>
      <c r="D19" s="562" t="s">
        <v>870</v>
      </c>
      <c r="F19" s="646" t="str">
        <f>'Prosperity Reference'!C12</f>
        <v>(8.526, -0.004, 2.993)</v>
      </c>
      <c r="G19" s="2" t="s">
        <v>1016</v>
      </c>
      <c r="H19" s="41" t="s">
        <v>1168</v>
      </c>
      <c r="BT19"/>
      <c r="CI19"/>
    </row>
    <row r="20" spans="1:87" x14ac:dyDescent="0.25">
      <c r="A20" s="567"/>
      <c r="D20" s="562" t="s">
        <v>868</v>
      </c>
      <c r="F20" s="646" t="str">
        <f>'Prosperity Reference'!C12</f>
        <v>(8.526, -0.004, 2.993)</v>
      </c>
      <c r="G20" s="2" t="s">
        <v>1016</v>
      </c>
      <c r="H20" s="41" t="s">
        <v>1168</v>
      </c>
      <c r="BT20"/>
      <c r="CI20"/>
    </row>
    <row r="21" spans="1:87" x14ac:dyDescent="0.25">
      <c r="A21" s="567"/>
      <c r="F21" s="5"/>
      <c r="G21" s="2"/>
      <c r="BT21"/>
      <c r="CI21"/>
    </row>
    <row r="22" spans="1:87" x14ac:dyDescent="0.25">
      <c r="A22" s="567"/>
      <c r="C22" s="4" t="s">
        <v>950</v>
      </c>
      <c r="F22" s="5"/>
      <c r="G22" s="2"/>
      <c r="BT22"/>
      <c r="CI22"/>
    </row>
    <row r="23" spans="1:87" x14ac:dyDescent="0.25">
      <c r="A23" s="567"/>
      <c r="D23" s="562" t="s">
        <v>913</v>
      </c>
      <c r="F23" s="713">
        <v>0.15</v>
      </c>
      <c r="G23" s="2" t="s">
        <v>1016</v>
      </c>
      <c r="BT23"/>
      <c r="CI23"/>
    </row>
    <row r="24" spans="1:87" x14ac:dyDescent="0.25">
      <c r="A24" s="567"/>
      <c r="D24" s="562" t="s">
        <v>659</v>
      </c>
      <c r="F24" s="699">
        <f ca="1">BB50</f>
        <v>4487202.9496311415</v>
      </c>
      <c r="G24" s="2" t="s">
        <v>1029</v>
      </c>
      <c r="H24" s="41" t="s">
        <v>1163</v>
      </c>
      <c r="BT24"/>
      <c r="CI24"/>
    </row>
    <row r="25" spans="1:87" x14ac:dyDescent="0.25">
      <c r="A25" s="567"/>
      <c r="D25" s="562" t="s">
        <v>655</v>
      </c>
      <c r="F25" s="699">
        <f ca="1">BA50</f>
        <v>2049100.3469189587</v>
      </c>
      <c r="G25" s="2" t="s">
        <v>1029</v>
      </c>
      <c r="H25" s="41" t="s">
        <v>1163</v>
      </c>
      <c r="BT25"/>
      <c r="CI25"/>
    </row>
    <row r="26" spans="1:87" x14ac:dyDescent="0.25">
      <c r="A26" s="567"/>
      <c r="D26" s="562" t="s">
        <v>667</v>
      </c>
      <c r="F26" s="699">
        <f ca="1">BF50</f>
        <v>26100214.704396121</v>
      </c>
      <c r="G26" s="2" t="s">
        <v>1029</v>
      </c>
      <c r="H26" s="41" t="s">
        <v>1163</v>
      </c>
      <c r="BT26"/>
      <c r="CI26"/>
    </row>
    <row r="27" spans="1:87" x14ac:dyDescent="0.25">
      <c r="A27" s="567"/>
      <c r="D27" s="562" t="s">
        <v>1030</v>
      </c>
      <c r="F27" s="713">
        <v>5.7</v>
      </c>
      <c r="G27" s="2" t="s">
        <v>1017</v>
      </c>
      <c r="BT27"/>
      <c r="CI27"/>
    </row>
    <row r="28" spans="1:87" x14ac:dyDescent="0.25">
      <c r="A28" s="567"/>
      <c r="F28" s="2"/>
      <c r="AF28" t="s">
        <v>938</v>
      </c>
      <c r="BT28"/>
      <c r="CI28"/>
    </row>
    <row r="29" spans="1:87" x14ac:dyDescent="0.25">
      <c r="A29" s="567"/>
      <c r="F29" s="5"/>
      <c r="BT29"/>
      <c r="CI29"/>
    </row>
    <row r="30" spans="1:87" x14ac:dyDescent="0.25">
      <c r="A30" s="567"/>
      <c r="D30" s="4" t="s">
        <v>807</v>
      </c>
      <c r="F30" s="604" t="s">
        <v>152</v>
      </c>
      <c r="BT30"/>
      <c r="CI30"/>
    </row>
    <row r="31" spans="1:87" x14ac:dyDescent="0.25">
      <c r="A31" s="567"/>
      <c r="D31" s="562" t="s">
        <v>930</v>
      </c>
      <c r="F31" s="768">
        <f>'Inputs-Imperial'!E12</f>
        <v>0.25</v>
      </c>
      <c r="G31" s="562" t="s">
        <v>803</v>
      </c>
      <c r="BT31"/>
      <c r="CI31"/>
    </row>
    <row r="32" spans="1:87" x14ac:dyDescent="0.25">
      <c r="A32" s="567"/>
      <c r="D32" s="562" t="s">
        <v>809</v>
      </c>
      <c r="F32" s="768">
        <f>'Inputs-Imperial'!E11</f>
        <v>0.18</v>
      </c>
      <c r="G32" s="562" t="s">
        <v>803</v>
      </c>
      <c r="BT32"/>
      <c r="CI32"/>
    </row>
    <row r="33" spans="1:219" x14ac:dyDescent="0.25">
      <c r="A33" s="567"/>
      <c r="F33" s="2"/>
      <c r="BT33"/>
      <c r="CI33"/>
    </row>
    <row r="34" spans="1:219" x14ac:dyDescent="0.25">
      <c r="A34" s="567"/>
      <c r="D34" s="4" t="s">
        <v>975</v>
      </c>
      <c r="F34" s="2"/>
      <c r="BT34"/>
      <c r="CI34"/>
    </row>
    <row r="35" spans="1:219" x14ac:dyDescent="0.25">
      <c r="A35" s="567"/>
      <c r="D35" s="562" t="s">
        <v>974</v>
      </c>
      <c r="F35" s="796">
        <v>21</v>
      </c>
      <c r="BS35" s="352"/>
      <c r="BT35"/>
      <c r="CI35"/>
    </row>
    <row r="36" spans="1:219" x14ac:dyDescent="0.25">
      <c r="F36" s="2"/>
      <c r="BT36"/>
      <c r="CI36"/>
    </row>
    <row r="37" spans="1:219" x14ac:dyDescent="0.25">
      <c r="D37" s="562" t="s">
        <v>1166</v>
      </c>
      <c r="F37" s="713">
        <v>0</v>
      </c>
      <c r="G37" s="2" t="s">
        <v>1016</v>
      </c>
      <c r="H37" s="41" t="s">
        <v>1073</v>
      </c>
      <c r="BT37"/>
      <c r="CI37"/>
    </row>
    <row r="38" spans="1:219" x14ac:dyDescent="0.25">
      <c r="BT38"/>
      <c r="CI38"/>
    </row>
    <row r="39" spans="1:219" x14ac:dyDescent="0.25">
      <c r="F39" s="5"/>
      <c r="BT39"/>
      <c r="CI39"/>
    </row>
    <row r="40" spans="1:219" ht="14.25" customHeight="1" x14ac:dyDescent="0.25">
      <c r="F40" s="5" t="s">
        <v>992</v>
      </c>
      <c r="BT40"/>
      <c r="CI40"/>
      <c r="EH40" s="637"/>
    </row>
    <row r="41" spans="1:219" x14ac:dyDescent="0.25">
      <c r="D41" s="562" t="s">
        <v>811</v>
      </c>
      <c r="F41" s="653">
        <v>10</v>
      </c>
      <c r="G41" t="s">
        <v>857</v>
      </c>
      <c r="BT41"/>
      <c r="CI41"/>
    </row>
    <row r="42" spans="1:219" x14ac:dyDescent="0.25">
      <c r="D42" s="562" t="s">
        <v>993</v>
      </c>
      <c r="F42" s="653">
        <v>0.01</v>
      </c>
      <c r="G42" t="s">
        <v>856</v>
      </c>
      <c r="BT42"/>
      <c r="CI42"/>
      <c r="EH42" s="207"/>
    </row>
    <row r="43" spans="1:219" x14ac:dyDescent="0.25">
      <c r="D43" s="562" t="s">
        <v>703</v>
      </c>
      <c r="F43" s="654">
        <f>2*F42/F41</f>
        <v>2E-3</v>
      </c>
      <c r="BT43"/>
      <c r="CI43"/>
    </row>
    <row r="44" spans="1:219" x14ac:dyDescent="0.25">
      <c r="D44" s="562" t="s">
        <v>706</v>
      </c>
      <c r="F44" s="654">
        <f>2*F42/F41</f>
        <v>2E-3</v>
      </c>
      <c r="BT44"/>
      <c r="CI44"/>
    </row>
    <row r="45" spans="1:219" x14ac:dyDescent="0.25">
      <c r="BT45"/>
      <c r="CI45"/>
    </row>
    <row r="46" spans="1:219" x14ac:dyDescent="0.25">
      <c r="AP46" s="2"/>
      <c r="BM46" t="s">
        <v>1089</v>
      </c>
      <c r="BT46" t="s">
        <v>1089</v>
      </c>
      <c r="BZ46" t="s">
        <v>1089</v>
      </c>
      <c r="CI46"/>
    </row>
    <row r="47" spans="1:219" x14ac:dyDescent="0.25">
      <c r="Q47" t="s">
        <v>943</v>
      </c>
      <c r="V47" t="s">
        <v>957</v>
      </c>
      <c r="AA47" t="s">
        <v>958</v>
      </c>
      <c r="AF47" t="s">
        <v>959</v>
      </c>
      <c r="AK47" t="s">
        <v>960</v>
      </c>
      <c r="AP47" t="s">
        <v>961</v>
      </c>
      <c r="AW47" s="2" t="s">
        <v>1016</v>
      </c>
      <c r="AX47" s="2" t="s">
        <v>1016</v>
      </c>
      <c r="AY47" s="2" t="s">
        <v>1016</v>
      </c>
      <c r="AZ47" s="2" t="s">
        <v>1021</v>
      </c>
      <c r="BA47" s="2" t="s">
        <v>1029</v>
      </c>
      <c r="BB47" s="2" t="s">
        <v>1029</v>
      </c>
      <c r="BC47" s="2" t="s">
        <v>1029</v>
      </c>
      <c r="BD47" s="2" t="s">
        <v>1029</v>
      </c>
      <c r="BE47" s="2" t="s">
        <v>1029</v>
      </c>
      <c r="BF47" s="2" t="s">
        <v>1029</v>
      </c>
      <c r="BG47" s="2"/>
      <c r="BH47" s="2" t="s">
        <v>1031</v>
      </c>
      <c r="BI47" s="2" t="s">
        <v>1031</v>
      </c>
      <c r="BJ47" s="2" t="s">
        <v>1028</v>
      </c>
      <c r="BK47" s="2" t="s">
        <v>1028</v>
      </c>
      <c r="BL47" s="2" t="s">
        <v>1017</v>
      </c>
      <c r="BM47" s="2" t="s">
        <v>1016</v>
      </c>
      <c r="BN47" s="2" t="s">
        <v>1016</v>
      </c>
      <c r="BO47" s="2" t="s">
        <v>1028</v>
      </c>
      <c r="BP47" s="2" t="s">
        <v>1028</v>
      </c>
      <c r="BQ47" s="2" t="s">
        <v>1017</v>
      </c>
      <c r="BR47" s="2" t="s">
        <v>1016</v>
      </c>
      <c r="BS47" s="2" t="s">
        <v>1016</v>
      </c>
      <c r="BT47" s="2" t="s">
        <v>1016</v>
      </c>
      <c r="BU47" s="2" t="s">
        <v>1016</v>
      </c>
      <c r="BV47" s="2" t="s">
        <v>1016</v>
      </c>
      <c r="BW47" s="2" t="s">
        <v>1016</v>
      </c>
      <c r="BX47" s="2" t="s">
        <v>1024</v>
      </c>
      <c r="BY47" s="2" t="s">
        <v>1024</v>
      </c>
      <c r="BZ47" s="2" t="s">
        <v>1016</v>
      </c>
      <c r="CA47" s="2" t="s">
        <v>1016</v>
      </c>
      <c r="CB47" s="2" t="s">
        <v>1027</v>
      </c>
      <c r="CC47" s="2" t="s">
        <v>1016</v>
      </c>
      <c r="CF47" s="2" t="s">
        <v>1016</v>
      </c>
      <c r="CH47" s="2" t="s">
        <v>1021</v>
      </c>
      <c r="CI47"/>
      <c r="CL47" t="s">
        <v>1026</v>
      </c>
      <c r="CN47" s="2" t="s">
        <v>1016</v>
      </c>
      <c r="CO47" s="2" t="s">
        <v>1016</v>
      </c>
      <c r="CP47" s="2" t="s">
        <v>1016</v>
      </c>
      <c r="CQ47" s="2" t="s">
        <v>1021</v>
      </c>
      <c r="CR47" s="2" t="s">
        <v>1029</v>
      </c>
      <c r="CS47" s="2" t="s">
        <v>1029</v>
      </c>
      <c r="CT47" s="2" t="s">
        <v>1029</v>
      </c>
      <c r="CU47" s="2" t="s">
        <v>1029</v>
      </c>
      <c r="CV47" s="2" t="s">
        <v>1029</v>
      </c>
      <c r="CW47" s="2" t="s">
        <v>1029</v>
      </c>
      <c r="CX47" s="2"/>
      <c r="CY47" s="2" t="s">
        <v>1031</v>
      </c>
      <c r="CZ47" s="2" t="s">
        <v>1031</v>
      </c>
      <c r="DA47" s="2" t="s">
        <v>1028</v>
      </c>
      <c r="DB47" s="2" t="s">
        <v>1028</v>
      </c>
      <c r="DC47" s="2" t="s">
        <v>1017</v>
      </c>
      <c r="DD47" s="2" t="s">
        <v>1016</v>
      </c>
      <c r="DE47" s="2" t="s">
        <v>1016</v>
      </c>
      <c r="DF47" s="2" t="s">
        <v>1028</v>
      </c>
      <c r="DG47" s="2" t="s">
        <v>1028</v>
      </c>
      <c r="DH47" s="2" t="s">
        <v>1017</v>
      </c>
      <c r="DI47" s="2" t="s">
        <v>1016</v>
      </c>
      <c r="DJ47" s="2" t="s">
        <v>1016</v>
      </c>
      <c r="DK47" s="2" t="s">
        <v>1016</v>
      </c>
      <c r="DL47" s="2" t="s">
        <v>1016</v>
      </c>
      <c r="DM47" s="2" t="s">
        <v>1016</v>
      </c>
      <c r="DN47" s="2" t="s">
        <v>1016</v>
      </c>
      <c r="DO47" s="2" t="s">
        <v>1024</v>
      </c>
      <c r="DP47" s="2" t="s">
        <v>1024</v>
      </c>
      <c r="DQ47" s="2" t="s">
        <v>1016</v>
      </c>
      <c r="DR47" s="2" t="s">
        <v>1016</v>
      </c>
      <c r="DS47" s="2" t="s">
        <v>1027</v>
      </c>
      <c r="DT47" s="2" t="s">
        <v>1016</v>
      </c>
      <c r="DW47" s="2" t="s">
        <v>1016</v>
      </c>
      <c r="DY47" s="2" t="s">
        <v>1021</v>
      </c>
      <c r="EC47" t="s">
        <v>1026</v>
      </c>
      <c r="EE47" s="2" t="s">
        <v>1016</v>
      </c>
      <c r="EF47" s="2" t="s">
        <v>1016</v>
      </c>
      <c r="EG47" s="2" t="s">
        <v>1016</v>
      </c>
      <c r="EH47" s="2" t="s">
        <v>1021</v>
      </c>
      <c r="EI47" s="2" t="s">
        <v>1029</v>
      </c>
      <c r="EJ47" s="2" t="s">
        <v>1029</v>
      </c>
      <c r="EK47" s="2" t="s">
        <v>1029</v>
      </c>
      <c r="EL47" s="2" t="s">
        <v>1029</v>
      </c>
      <c r="EM47" s="2" t="s">
        <v>1029</v>
      </c>
      <c r="EN47" s="2" t="s">
        <v>1029</v>
      </c>
      <c r="EO47" s="2"/>
      <c r="EP47" s="2" t="s">
        <v>1031</v>
      </c>
      <c r="EQ47" s="2" t="s">
        <v>1031</v>
      </c>
      <c r="ER47" s="2" t="s">
        <v>1028</v>
      </c>
      <c r="ES47" s="2" t="s">
        <v>1028</v>
      </c>
      <c r="ET47" s="2" t="s">
        <v>1017</v>
      </c>
      <c r="EU47" s="2" t="s">
        <v>1016</v>
      </c>
      <c r="EV47" s="2" t="s">
        <v>1016</v>
      </c>
      <c r="EW47" s="2" t="s">
        <v>1028</v>
      </c>
      <c r="EX47" s="2" t="s">
        <v>1028</v>
      </c>
      <c r="EY47" s="2" t="s">
        <v>1017</v>
      </c>
      <c r="EZ47" s="2" t="s">
        <v>1016</v>
      </c>
      <c r="FA47" s="2" t="s">
        <v>1016</v>
      </c>
      <c r="FB47" s="2" t="s">
        <v>1016</v>
      </c>
      <c r="FC47" s="2" t="s">
        <v>1016</v>
      </c>
      <c r="FD47" s="2" t="s">
        <v>1016</v>
      </c>
      <c r="FE47" s="2" t="s">
        <v>1016</v>
      </c>
      <c r="FF47" s="2" t="s">
        <v>1024</v>
      </c>
      <c r="FG47" s="2" t="s">
        <v>1024</v>
      </c>
      <c r="FH47" s="2" t="s">
        <v>1016</v>
      </c>
      <c r="FI47" s="2" t="s">
        <v>1016</v>
      </c>
      <c r="FJ47" s="2" t="s">
        <v>1027</v>
      </c>
      <c r="FK47" s="2" t="s">
        <v>1016</v>
      </c>
      <c r="FN47" s="2" t="s">
        <v>1016</v>
      </c>
      <c r="FP47" s="2" t="s">
        <v>1021</v>
      </c>
      <c r="FT47" t="s">
        <v>1026</v>
      </c>
      <c r="FV47" s="2" t="s">
        <v>1016</v>
      </c>
      <c r="FW47" s="2" t="s">
        <v>1016</v>
      </c>
      <c r="FX47" s="2" t="s">
        <v>1016</v>
      </c>
      <c r="FY47" s="2" t="s">
        <v>1021</v>
      </c>
      <c r="FZ47" s="2" t="s">
        <v>1029</v>
      </c>
      <c r="GA47" s="2" t="s">
        <v>1029</v>
      </c>
      <c r="GB47" s="2" t="s">
        <v>1029</v>
      </c>
      <c r="GC47" s="2" t="s">
        <v>1029</v>
      </c>
      <c r="GD47" s="2" t="s">
        <v>1029</v>
      </c>
      <c r="GE47" s="2" t="s">
        <v>1029</v>
      </c>
      <c r="GF47" s="2"/>
      <c r="GG47" s="2" t="s">
        <v>1031</v>
      </c>
      <c r="GH47" s="2" t="s">
        <v>1031</v>
      </c>
      <c r="GI47" s="2" t="s">
        <v>1028</v>
      </c>
      <c r="GJ47" s="2" t="s">
        <v>1028</v>
      </c>
      <c r="GK47" s="2" t="s">
        <v>1017</v>
      </c>
      <c r="GL47" s="2" t="s">
        <v>1016</v>
      </c>
      <c r="GM47" s="2" t="s">
        <v>1016</v>
      </c>
      <c r="GN47" s="2" t="s">
        <v>1028</v>
      </c>
      <c r="GO47" s="2" t="s">
        <v>1028</v>
      </c>
      <c r="GP47" s="2" t="s">
        <v>1017</v>
      </c>
      <c r="GQ47" s="2" t="s">
        <v>1016</v>
      </c>
      <c r="GR47" s="2" t="s">
        <v>1016</v>
      </c>
      <c r="GS47" s="2" t="s">
        <v>1016</v>
      </c>
      <c r="GT47" s="2" t="s">
        <v>1016</v>
      </c>
      <c r="GU47" s="2" t="s">
        <v>1016</v>
      </c>
      <c r="GV47" s="2" t="s">
        <v>1016</v>
      </c>
      <c r="GW47" s="2" t="s">
        <v>1024</v>
      </c>
      <c r="GX47" s="2" t="s">
        <v>1024</v>
      </c>
      <c r="GY47" s="2" t="s">
        <v>1016</v>
      </c>
      <c r="GZ47" s="2" t="s">
        <v>1016</v>
      </c>
      <c r="HA47" s="2" t="s">
        <v>1027</v>
      </c>
      <c r="HB47" s="2" t="s">
        <v>1016</v>
      </c>
      <c r="HE47" s="2" t="s">
        <v>1016</v>
      </c>
      <c r="HG47" s="2" t="s">
        <v>1021</v>
      </c>
      <c r="HK47" t="s">
        <v>1026</v>
      </c>
    </row>
    <row r="48" spans="1:219" ht="15.75" thickBot="1" x14ac:dyDescent="0.3">
      <c r="A48" s="583" t="s">
        <v>886</v>
      </c>
      <c r="B48" s="655"/>
      <c r="C48" s="584"/>
      <c r="D48" s="584"/>
      <c r="E48" s="584"/>
      <c r="F48" s="656"/>
      <c r="G48" s="584"/>
      <c r="H48" s="584"/>
      <c r="I48" s="584"/>
      <c r="J48" s="585"/>
      <c r="K48" s="657" t="s">
        <v>921</v>
      </c>
      <c r="L48" s="658"/>
      <c r="M48" s="658"/>
      <c r="N48" s="658"/>
      <c r="O48" s="659"/>
      <c r="P48" s="580"/>
      <c r="Q48" s="583" t="s">
        <v>884</v>
      </c>
      <c r="R48" s="584"/>
      <c r="S48" s="584"/>
      <c r="T48" s="584"/>
      <c r="U48" s="585"/>
      <c r="V48" s="583" t="s">
        <v>885</v>
      </c>
      <c r="W48" s="584"/>
      <c r="X48" s="584"/>
      <c r="Y48" s="584"/>
      <c r="Z48" s="585"/>
      <c r="AA48" s="583" t="s">
        <v>910</v>
      </c>
      <c r="AB48" s="584"/>
      <c r="AC48" s="584"/>
      <c r="AD48" s="584"/>
      <c r="AE48" s="585"/>
      <c r="AF48" s="583" t="s">
        <v>911</v>
      </c>
      <c r="AG48" s="584"/>
      <c r="AH48" s="584"/>
      <c r="AI48" s="584"/>
      <c r="AJ48" s="585"/>
      <c r="AK48" s="583" t="s">
        <v>948</v>
      </c>
      <c r="AL48" s="584"/>
      <c r="AM48" s="584"/>
      <c r="AN48" s="584"/>
      <c r="AO48" s="585"/>
      <c r="AP48" s="583" t="s">
        <v>949</v>
      </c>
      <c r="AQ48" s="584"/>
      <c r="AR48" s="584"/>
      <c r="AS48" s="584"/>
      <c r="AT48" s="585"/>
      <c r="AU48" s="594"/>
      <c r="AV48" s="614" t="s">
        <v>915</v>
      </c>
      <c r="AW48" s="610"/>
      <c r="AX48" s="610"/>
      <c r="AY48" s="610"/>
      <c r="AZ48" s="610"/>
      <c r="BA48" s="610"/>
      <c r="BB48" s="610"/>
      <c r="BC48" s="610"/>
      <c r="BD48" s="610"/>
      <c r="BE48" s="610"/>
      <c r="BF48" s="610"/>
      <c r="BG48" s="610"/>
      <c r="BH48" s="610"/>
      <c r="BI48" s="610"/>
      <c r="BJ48" s="610"/>
      <c r="BK48" s="610"/>
      <c r="BL48" s="610"/>
      <c r="BM48" s="610"/>
      <c r="BN48" s="610"/>
      <c r="BO48" s="610"/>
      <c r="BP48" s="610"/>
      <c r="BQ48" s="610"/>
      <c r="BR48" s="610"/>
      <c r="BS48" s="610"/>
      <c r="BT48" s="610"/>
      <c r="BU48" s="610"/>
      <c r="BV48" s="610"/>
      <c r="BW48" s="610"/>
      <c r="BX48" s="610"/>
      <c r="BY48" s="610"/>
      <c r="BZ48" s="610"/>
      <c r="CA48" s="610"/>
      <c r="CB48" s="610"/>
      <c r="CC48" s="610"/>
      <c r="CD48" s="610"/>
      <c r="CE48" s="610"/>
      <c r="CF48" s="610"/>
      <c r="CG48" s="610"/>
      <c r="CH48" s="610"/>
      <c r="CI48" s="610"/>
      <c r="CJ48" s="610"/>
      <c r="CK48" s="610"/>
      <c r="CL48" s="611"/>
      <c r="CM48" s="655" t="s">
        <v>920</v>
      </c>
      <c r="CN48" s="584"/>
      <c r="CO48" s="584"/>
      <c r="CP48" s="584"/>
      <c r="CQ48" s="584"/>
      <c r="CR48" s="584"/>
      <c r="CS48" s="584"/>
      <c r="CT48" s="584"/>
      <c r="CU48" s="584"/>
      <c r="CV48" s="584"/>
      <c r="CW48" s="584"/>
      <c r="CX48" s="584"/>
      <c r="CY48" s="584"/>
      <c r="CZ48" s="584"/>
      <c r="DA48" s="584"/>
      <c r="DB48" s="584"/>
      <c r="DC48" s="584"/>
      <c r="DD48" s="584"/>
      <c r="DE48" s="584"/>
      <c r="DF48" s="584"/>
      <c r="DG48" s="584"/>
      <c r="DH48" s="584"/>
      <c r="DI48" s="584"/>
      <c r="DJ48" s="584"/>
      <c r="DK48" s="584"/>
      <c r="DL48" s="584"/>
      <c r="DM48" s="584"/>
      <c r="DN48" s="584"/>
      <c r="DO48" s="584"/>
      <c r="DP48" s="584"/>
      <c r="DQ48" s="584"/>
      <c r="DR48" s="584"/>
      <c r="DS48" s="584"/>
      <c r="DT48" s="584"/>
      <c r="DU48" s="584"/>
      <c r="DV48" s="584"/>
      <c r="DW48" s="584"/>
      <c r="DX48" s="584"/>
      <c r="DY48" s="584"/>
      <c r="DZ48" s="584"/>
      <c r="EA48" s="584"/>
      <c r="EB48" s="584"/>
      <c r="EC48" s="585"/>
      <c r="ED48" s="583" t="s">
        <v>923</v>
      </c>
      <c r="EE48" s="584"/>
      <c r="EF48" s="584"/>
      <c r="EG48" s="584"/>
      <c r="EH48" s="584"/>
      <c r="EI48" s="584"/>
      <c r="EJ48" s="584"/>
      <c r="EK48" s="584"/>
      <c r="EL48" s="584"/>
      <c r="EM48" s="584"/>
      <c r="EN48" s="584"/>
      <c r="EO48" s="584"/>
      <c r="EP48" s="584"/>
      <c r="EQ48" s="584"/>
      <c r="ER48" s="584"/>
      <c r="ES48" s="584"/>
      <c r="ET48" s="584"/>
      <c r="EU48" s="584"/>
      <c r="EV48" s="584"/>
      <c r="EW48" s="584"/>
      <c r="EX48" s="584"/>
      <c r="EY48" s="584"/>
      <c r="EZ48" s="584"/>
      <c r="FA48" s="584"/>
      <c r="FB48" s="584"/>
      <c r="FC48" s="584"/>
      <c r="FD48" s="584"/>
      <c r="FE48" s="584"/>
      <c r="FF48" s="584"/>
      <c r="FG48" s="584"/>
      <c r="FH48" s="584"/>
      <c r="FI48" s="584"/>
      <c r="FJ48" s="584"/>
      <c r="FK48" s="584"/>
      <c r="FL48" s="584"/>
      <c r="FM48" s="584"/>
      <c r="FN48" s="584"/>
      <c r="FO48" s="584"/>
      <c r="FP48" s="584"/>
      <c r="FQ48" s="584"/>
      <c r="FR48" s="584"/>
      <c r="FS48" s="584"/>
      <c r="FT48" s="585"/>
      <c r="FU48" s="583" t="s">
        <v>924</v>
      </c>
      <c r="FV48" s="584"/>
      <c r="FW48" s="584"/>
      <c r="FX48" s="584"/>
      <c r="FY48" s="584"/>
      <c r="FZ48" s="584"/>
      <c r="GA48" s="584"/>
      <c r="GB48" s="584"/>
      <c r="GC48" s="584"/>
      <c r="GD48" s="584"/>
      <c r="GE48" s="584"/>
      <c r="GF48" s="584"/>
      <c r="GG48" s="584"/>
      <c r="GH48" s="584"/>
      <c r="GI48" s="584"/>
      <c r="GJ48" s="584"/>
      <c r="GK48" s="584"/>
      <c r="GL48" s="584"/>
      <c r="GM48" s="584"/>
      <c r="GN48" s="584"/>
      <c r="GO48" s="584"/>
      <c r="GP48" s="584"/>
      <c r="GQ48" s="584"/>
      <c r="GR48" s="584"/>
      <c r="GS48" s="584"/>
      <c r="GT48" s="584"/>
      <c r="GU48" s="584"/>
      <c r="GV48" s="584"/>
      <c r="GW48" s="584"/>
      <c r="GX48" s="584"/>
      <c r="GY48" s="584"/>
      <c r="GZ48" s="584"/>
      <c r="HA48" s="584"/>
      <c r="HB48" s="584"/>
      <c r="HC48" s="584"/>
      <c r="HD48" s="584"/>
      <c r="HE48" s="584"/>
      <c r="HF48" s="584"/>
      <c r="HG48" s="584"/>
      <c r="HH48" s="584"/>
      <c r="HI48" s="584"/>
      <c r="HJ48" s="584"/>
      <c r="HK48" s="585"/>
    </row>
    <row r="49" spans="1:219" x14ac:dyDescent="0.25">
      <c r="A49" s="575" t="s">
        <v>1065</v>
      </c>
      <c r="D49" t="s">
        <v>1066</v>
      </c>
      <c r="E49" s="14"/>
      <c r="F49" s="14"/>
      <c r="G49" s="14"/>
      <c r="I49" s="872" t="s">
        <v>995</v>
      </c>
      <c r="J49" s="576"/>
      <c r="K49" s="562" t="s">
        <v>918</v>
      </c>
      <c r="L49" s="562" t="s">
        <v>916</v>
      </c>
      <c r="M49" s="562" t="s">
        <v>919</v>
      </c>
      <c r="N49" s="562" t="s">
        <v>917</v>
      </c>
      <c r="O49" s="640" t="s">
        <v>65</v>
      </c>
      <c r="P49" s="580"/>
      <c r="Q49" s="581" t="s">
        <v>797</v>
      </c>
      <c r="R49" s="571" t="s">
        <v>798</v>
      </c>
      <c r="S49" s="571" t="s">
        <v>799</v>
      </c>
      <c r="T49" s="571" t="s">
        <v>913</v>
      </c>
      <c r="U49" s="582" t="s">
        <v>804</v>
      </c>
      <c r="V49" s="581" t="s">
        <v>797</v>
      </c>
      <c r="W49" s="571" t="s">
        <v>798</v>
      </c>
      <c r="X49" s="571" t="s">
        <v>799</v>
      </c>
      <c r="Y49" s="571" t="s">
        <v>913</v>
      </c>
      <c r="Z49" s="582" t="s">
        <v>804</v>
      </c>
      <c r="AA49" s="581" t="s">
        <v>797</v>
      </c>
      <c r="AB49" s="571" t="s">
        <v>798</v>
      </c>
      <c r="AC49" s="571" t="s">
        <v>799</v>
      </c>
      <c r="AD49" s="571" t="s">
        <v>913</v>
      </c>
      <c r="AE49" s="582" t="s">
        <v>804</v>
      </c>
      <c r="AF49" s="581" t="s">
        <v>797</v>
      </c>
      <c r="AG49" s="571" t="s">
        <v>798</v>
      </c>
      <c r="AH49" s="571" t="s">
        <v>799</v>
      </c>
      <c r="AI49" s="571" t="s">
        <v>913</v>
      </c>
      <c r="AJ49" s="582" t="s">
        <v>804</v>
      </c>
      <c r="AK49" s="683" t="s">
        <v>797</v>
      </c>
      <c r="AL49" s="615" t="s">
        <v>798</v>
      </c>
      <c r="AM49" s="615" t="s">
        <v>799</v>
      </c>
      <c r="AN49" s="571" t="s">
        <v>913</v>
      </c>
      <c r="AO49" s="582" t="s">
        <v>804</v>
      </c>
      <c r="AP49" s="581" t="s">
        <v>797</v>
      </c>
      <c r="AQ49" s="571" t="s">
        <v>798</v>
      </c>
      <c r="AR49" s="571" t="s">
        <v>799</v>
      </c>
      <c r="AS49" s="571" t="s">
        <v>913</v>
      </c>
      <c r="AT49" s="582" t="s">
        <v>804</v>
      </c>
      <c r="AU49" s="594"/>
      <c r="AV49" s="783" t="s">
        <v>616</v>
      </c>
      <c r="AW49" s="784" t="s">
        <v>646</v>
      </c>
      <c r="AX49" s="785" t="s">
        <v>648</v>
      </c>
      <c r="AY49" s="785" t="s">
        <v>650</v>
      </c>
      <c r="AZ49" s="785" t="s">
        <v>652</v>
      </c>
      <c r="BA49" s="785" t="s">
        <v>655</v>
      </c>
      <c r="BB49" s="785" t="s">
        <v>659</v>
      </c>
      <c r="BC49" s="785" t="s">
        <v>661</v>
      </c>
      <c r="BD49" s="785" t="s">
        <v>663</v>
      </c>
      <c r="BE49" s="785" t="s">
        <v>665</v>
      </c>
      <c r="BF49" s="785" t="s">
        <v>667</v>
      </c>
      <c r="BG49" s="785" t="s">
        <v>608</v>
      </c>
      <c r="BH49" s="785" t="s">
        <v>670</v>
      </c>
      <c r="BI49" s="785" t="s">
        <v>672</v>
      </c>
      <c r="BJ49" s="785" t="s">
        <v>674</v>
      </c>
      <c r="BK49" s="785" t="s">
        <v>676</v>
      </c>
      <c r="BL49" s="785" t="s">
        <v>678</v>
      </c>
      <c r="BM49" s="785" t="s">
        <v>681</v>
      </c>
      <c r="BN49" s="785" t="s">
        <v>683</v>
      </c>
      <c r="BO49" s="785" t="s">
        <v>685</v>
      </c>
      <c r="BP49" s="785" t="s">
        <v>687</v>
      </c>
      <c r="BQ49" s="785" t="s">
        <v>689</v>
      </c>
      <c r="BR49" s="785" t="s">
        <v>691</v>
      </c>
      <c r="BS49" s="785" t="s">
        <v>693</v>
      </c>
      <c r="BT49" s="785" t="s">
        <v>695</v>
      </c>
      <c r="BU49" s="785" t="s">
        <v>697</v>
      </c>
      <c r="BV49" s="785" t="s">
        <v>699</v>
      </c>
      <c r="BW49" s="785" t="s">
        <v>701</v>
      </c>
      <c r="BX49" s="785" t="s">
        <v>703</v>
      </c>
      <c r="BY49" s="785" t="s">
        <v>706</v>
      </c>
      <c r="BZ49" s="785" t="s">
        <v>708</v>
      </c>
      <c r="CA49" s="785" t="s">
        <v>710</v>
      </c>
      <c r="CB49" s="785" t="s">
        <v>712</v>
      </c>
      <c r="CC49" s="785" t="s">
        <v>716</v>
      </c>
      <c r="CD49" s="785" t="s">
        <v>718</v>
      </c>
      <c r="CE49" s="785" t="s">
        <v>720</v>
      </c>
      <c r="CF49" s="785" t="s">
        <v>722</v>
      </c>
      <c r="CG49" s="785" t="s">
        <v>725</v>
      </c>
      <c r="CH49" s="785" t="s">
        <v>727</v>
      </c>
      <c r="CI49" s="785" t="s">
        <v>729</v>
      </c>
      <c r="CJ49" s="785" t="s">
        <v>731</v>
      </c>
      <c r="CK49" s="785" t="s">
        <v>733</v>
      </c>
      <c r="CL49" s="786" t="s">
        <v>735</v>
      </c>
      <c r="CM49" s="14" t="s">
        <v>616</v>
      </c>
      <c r="CN49" s="609" t="s">
        <v>646</v>
      </c>
      <c r="CO49" s="609" t="s">
        <v>648</v>
      </c>
      <c r="CP49" s="609" t="s">
        <v>650</v>
      </c>
      <c r="CQ49" s="609" t="s">
        <v>652</v>
      </c>
      <c r="CR49" s="609" t="s">
        <v>655</v>
      </c>
      <c r="CS49" s="609" t="s">
        <v>659</v>
      </c>
      <c r="CT49" s="609" t="s">
        <v>661</v>
      </c>
      <c r="CU49" s="609" t="s">
        <v>663</v>
      </c>
      <c r="CV49" s="609" t="s">
        <v>665</v>
      </c>
      <c r="CW49" s="609" t="s">
        <v>667</v>
      </c>
      <c r="CX49" s="609" t="s">
        <v>608</v>
      </c>
      <c r="CY49" s="609" t="s">
        <v>670</v>
      </c>
      <c r="CZ49" s="609" t="s">
        <v>672</v>
      </c>
      <c r="DA49" s="609" t="s">
        <v>674</v>
      </c>
      <c r="DB49" s="609" t="s">
        <v>676</v>
      </c>
      <c r="DC49" s="609" t="s">
        <v>678</v>
      </c>
      <c r="DD49" s="609" t="s">
        <v>681</v>
      </c>
      <c r="DE49" s="609" t="s">
        <v>683</v>
      </c>
      <c r="DF49" s="609" t="s">
        <v>685</v>
      </c>
      <c r="DG49" s="609" t="s">
        <v>687</v>
      </c>
      <c r="DH49" s="609" t="s">
        <v>689</v>
      </c>
      <c r="DI49" s="609" t="s">
        <v>691</v>
      </c>
      <c r="DJ49" s="609" t="s">
        <v>693</v>
      </c>
      <c r="DK49" s="609" t="s">
        <v>695</v>
      </c>
      <c r="DL49" s="609" t="s">
        <v>697</v>
      </c>
      <c r="DM49" s="609" t="s">
        <v>699</v>
      </c>
      <c r="DN49" s="609" t="s">
        <v>701</v>
      </c>
      <c r="DO49" s="609" t="s">
        <v>703</v>
      </c>
      <c r="DP49" s="609" t="s">
        <v>706</v>
      </c>
      <c r="DQ49" s="609" t="s">
        <v>708</v>
      </c>
      <c r="DR49" s="609" t="s">
        <v>710</v>
      </c>
      <c r="DS49" s="609" t="s">
        <v>712</v>
      </c>
      <c r="DT49" s="609" t="s">
        <v>716</v>
      </c>
      <c r="DU49" s="609" t="s">
        <v>718</v>
      </c>
      <c r="DV49" s="609" t="s">
        <v>720</v>
      </c>
      <c r="DW49" s="609" t="s">
        <v>722</v>
      </c>
      <c r="DX49" s="609" t="s">
        <v>725</v>
      </c>
      <c r="DY49" s="609" t="s">
        <v>727</v>
      </c>
      <c r="DZ49" s="609" t="s">
        <v>729</v>
      </c>
      <c r="EA49" s="609" t="s">
        <v>731</v>
      </c>
      <c r="EB49" s="609" t="s">
        <v>733</v>
      </c>
      <c r="EC49" s="609" t="s">
        <v>735</v>
      </c>
      <c r="ED49" s="612" t="s">
        <v>616</v>
      </c>
      <c r="EE49" s="609" t="s">
        <v>646</v>
      </c>
      <c r="EF49" s="609" t="s">
        <v>648</v>
      </c>
      <c r="EG49" s="609" t="s">
        <v>650</v>
      </c>
      <c r="EH49" s="609" t="s">
        <v>652</v>
      </c>
      <c r="EI49" s="609" t="s">
        <v>655</v>
      </c>
      <c r="EJ49" s="609" t="s">
        <v>659</v>
      </c>
      <c r="EK49" s="609" t="s">
        <v>661</v>
      </c>
      <c r="EL49" s="609" t="s">
        <v>663</v>
      </c>
      <c r="EM49" s="609" t="s">
        <v>665</v>
      </c>
      <c r="EN49" s="609" t="s">
        <v>667</v>
      </c>
      <c r="EO49" s="609" t="s">
        <v>608</v>
      </c>
      <c r="EP49" s="609" t="s">
        <v>670</v>
      </c>
      <c r="EQ49" s="609" t="s">
        <v>672</v>
      </c>
      <c r="ER49" s="609" t="s">
        <v>674</v>
      </c>
      <c r="ES49" s="609" t="s">
        <v>676</v>
      </c>
      <c r="ET49" s="609" t="s">
        <v>678</v>
      </c>
      <c r="EU49" s="609" t="s">
        <v>681</v>
      </c>
      <c r="EV49" s="609" t="s">
        <v>683</v>
      </c>
      <c r="EW49" s="609" t="s">
        <v>685</v>
      </c>
      <c r="EX49" s="609" t="s">
        <v>687</v>
      </c>
      <c r="EY49" s="609" t="s">
        <v>689</v>
      </c>
      <c r="EZ49" s="609" t="s">
        <v>691</v>
      </c>
      <c r="FA49" s="609" t="s">
        <v>693</v>
      </c>
      <c r="FB49" s="609" t="s">
        <v>695</v>
      </c>
      <c r="FC49" s="609" t="s">
        <v>697</v>
      </c>
      <c r="FD49" s="609" t="s">
        <v>699</v>
      </c>
      <c r="FE49" s="609" t="s">
        <v>701</v>
      </c>
      <c r="FF49" s="609" t="s">
        <v>703</v>
      </c>
      <c r="FG49" s="609" t="s">
        <v>706</v>
      </c>
      <c r="FH49" s="609" t="s">
        <v>708</v>
      </c>
      <c r="FI49" s="609" t="s">
        <v>710</v>
      </c>
      <c r="FJ49" s="609" t="s">
        <v>712</v>
      </c>
      <c r="FK49" s="609" t="s">
        <v>716</v>
      </c>
      <c r="FL49" s="609" t="s">
        <v>718</v>
      </c>
      <c r="FM49" s="609" t="s">
        <v>720</v>
      </c>
      <c r="FN49" s="609" t="s">
        <v>722</v>
      </c>
      <c r="FO49" s="609" t="s">
        <v>725</v>
      </c>
      <c r="FP49" s="609" t="s">
        <v>727</v>
      </c>
      <c r="FQ49" s="609" t="s">
        <v>729</v>
      </c>
      <c r="FR49" s="609" t="s">
        <v>731</v>
      </c>
      <c r="FS49" s="609" t="s">
        <v>733</v>
      </c>
      <c r="FT49" s="609" t="s">
        <v>735</v>
      </c>
      <c r="FU49" s="14" t="s">
        <v>616</v>
      </c>
      <c r="FV49" s="4" t="s">
        <v>646</v>
      </c>
      <c r="FW49" s="4" t="s">
        <v>648</v>
      </c>
      <c r="FX49" s="4" t="s">
        <v>650</v>
      </c>
      <c r="FY49" s="4" t="s">
        <v>652</v>
      </c>
      <c r="FZ49" s="4" t="s">
        <v>655</v>
      </c>
      <c r="GA49" s="4" t="s">
        <v>659</v>
      </c>
      <c r="GB49" s="4" t="s">
        <v>661</v>
      </c>
      <c r="GC49" s="4" t="s">
        <v>663</v>
      </c>
      <c r="GD49" s="4" t="s">
        <v>665</v>
      </c>
      <c r="GE49" s="4" t="s">
        <v>667</v>
      </c>
      <c r="GF49" s="4" t="s">
        <v>608</v>
      </c>
      <c r="GG49" s="4" t="s">
        <v>670</v>
      </c>
      <c r="GH49" s="4" t="s">
        <v>672</v>
      </c>
      <c r="GI49" s="4" t="s">
        <v>674</v>
      </c>
      <c r="GJ49" s="4" t="s">
        <v>676</v>
      </c>
      <c r="GK49" s="4" t="s">
        <v>678</v>
      </c>
      <c r="GL49" s="4" t="s">
        <v>681</v>
      </c>
      <c r="GM49" s="4" t="s">
        <v>683</v>
      </c>
      <c r="GN49" s="4" t="s">
        <v>685</v>
      </c>
      <c r="GO49" s="4" t="s">
        <v>687</v>
      </c>
      <c r="GP49" s="4" t="s">
        <v>689</v>
      </c>
      <c r="GQ49" s="4" t="s">
        <v>691</v>
      </c>
      <c r="GR49" s="4" t="s">
        <v>693</v>
      </c>
      <c r="GS49" s="4" t="s">
        <v>695</v>
      </c>
      <c r="GT49" s="4" t="s">
        <v>697</v>
      </c>
      <c r="GU49" s="4" t="s">
        <v>699</v>
      </c>
      <c r="GV49" s="4" t="s">
        <v>701</v>
      </c>
      <c r="GW49" s="4" t="s">
        <v>703</v>
      </c>
      <c r="GX49" s="4" t="s">
        <v>706</v>
      </c>
      <c r="GY49" s="4" t="s">
        <v>708</v>
      </c>
      <c r="GZ49" s="4" t="s">
        <v>710</v>
      </c>
      <c r="HA49" s="4" t="s">
        <v>712</v>
      </c>
      <c r="HB49" s="4" t="s">
        <v>716</v>
      </c>
      <c r="HC49" s="4" t="s">
        <v>718</v>
      </c>
      <c r="HD49" s="4" t="s">
        <v>720</v>
      </c>
      <c r="HE49" s="4" t="s">
        <v>722</v>
      </c>
      <c r="HF49" s="4" t="s">
        <v>725</v>
      </c>
      <c r="HG49" s="4" t="s">
        <v>727</v>
      </c>
      <c r="HH49" s="4" t="s">
        <v>729</v>
      </c>
      <c r="HI49" s="4" t="s">
        <v>731</v>
      </c>
      <c r="HJ49" s="4" t="s">
        <v>733</v>
      </c>
      <c r="HK49" s="689" t="s">
        <v>735</v>
      </c>
    </row>
    <row r="50" spans="1:219" x14ac:dyDescent="0.25">
      <c r="A50" s="872" t="s">
        <v>889</v>
      </c>
      <c r="B50" s="2" t="s">
        <v>1064</v>
      </c>
      <c r="C50" s="2" t="s">
        <v>1064</v>
      </c>
      <c r="D50" s="2" t="s">
        <v>1064</v>
      </c>
      <c r="E50" s="700" t="s">
        <v>1016</v>
      </c>
      <c r="F50" s="700" t="s">
        <v>1016</v>
      </c>
      <c r="G50" s="700" t="s">
        <v>1016</v>
      </c>
      <c r="H50" s="4" t="s">
        <v>1019</v>
      </c>
      <c r="I50" s="872"/>
      <c r="K50" s="575">
        <v>1</v>
      </c>
      <c r="L50" s="626">
        <f ca="1">R51/MAX(AX50:AX100) *MAX(AV50:AV100)</f>
        <v>21.264130764589989</v>
      </c>
      <c r="M50">
        <v>5</v>
      </c>
      <c r="N50">
        <f>MAX(Q50:Q51)</f>
        <v>9.3823767999999994</v>
      </c>
      <c r="O50" s="576">
        <v>0</v>
      </c>
      <c r="P50" s="580"/>
      <c r="Q50" s="711">
        <f>MAX('ASWING AERO'!S24:S30)</f>
        <v>3.9188906000000001</v>
      </c>
      <c r="R50" s="606">
        <v>1.56</v>
      </c>
      <c r="S50" s="685">
        <f>G59</f>
        <v>3.9</v>
      </c>
      <c r="T50" s="606">
        <f>F23</f>
        <v>0.15</v>
      </c>
      <c r="U50" s="607">
        <v>0</v>
      </c>
      <c r="V50" s="605">
        <f>Q50</f>
        <v>3.9188906000000001</v>
      </c>
      <c r="W50" s="606">
        <f>-R50</f>
        <v>-1.56</v>
      </c>
      <c r="X50" s="606">
        <f>S50</f>
        <v>3.9</v>
      </c>
      <c r="Y50" s="606">
        <f>F23</f>
        <v>0.15</v>
      </c>
      <c r="Z50" s="607">
        <v>0</v>
      </c>
      <c r="AA50" s="605">
        <f>Q51</f>
        <v>9.3823767999999994</v>
      </c>
      <c r="AB50" s="606">
        <f>R51</f>
        <v>1.56</v>
      </c>
      <c r="AC50" s="606">
        <f>S51</f>
        <v>3.9</v>
      </c>
      <c r="AD50" s="606">
        <f>F23</f>
        <v>0.15</v>
      </c>
      <c r="AE50" s="607">
        <v>0</v>
      </c>
      <c r="AF50" s="605">
        <f>AA50</f>
        <v>9.3823767999999994</v>
      </c>
      <c r="AG50" s="606">
        <f>W51</f>
        <v>-1.56</v>
      </c>
      <c r="AH50" s="606">
        <f>X51</f>
        <v>3.9</v>
      </c>
      <c r="AI50" s="606">
        <f>F23</f>
        <v>0.15</v>
      </c>
      <c r="AJ50" s="606">
        <v>0</v>
      </c>
      <c r="AK50" s="711">
        <f>E63</f>
        <v>7.2210000000000001</v>
      </c>
      <c r="AL50" s="712">
        <f t="shared" ref="AL50:AM50" si="0">F63</f>
        <v>4.6100000000000003</v>
      </c>
      <c r="AM50" s="712">
        <f t="shared" si="0"/>
        <v>3.7</v>
      </c>
      <c r="AN50" s="606">
        <f>F23</f>
        <v>0.15</v>
      </c>
      <c r="AO50" s="607">
        <v>0</v>
      </c>
      <c r="AP50" s="605">
        <f>AK50</f>
        <v>7.2210000000000001</v>
      </c>
      <c r="AQ50" s="685">
        <f>-AL50</f>
        <v>-4.6100000000000003</v>
      </c>
      <c r="AR50" s="606">
        <f>AM50</f>
        <v>3.7</v>
      </c>
      <c r="AS50" s="606">
        <f>F23</f>
        <v>0.15</v>
      </c>
      <c r="AT50" s="607">
        <v>0</v>
      </c>
      <c r="AU50" s="594"/>
      <c r="AV50" s="572">
        <f ca="1">'REF - ASWING STRUCT-Imperial'!AV50</f>
        <v>0</v>
      </c>
      <c r="AW50" s="787">
        <f ca="1">'REF - ASWING STRUCT-Imperial'!AW50/3.28084</f>
        <v>7.2773047999999987</v>
      </c>
      <c r="AX50" s="660">
        <f ca="1">'REF - ASWING STRUCT-Imperial'!AX50/3.28084</f>
        <v>-3.702E-3</v>
      </c>
      <c r="AY50" s="660">
        <f ca="1">'REF - ASWING STRUCT-Imperial'!AY50/3.28084</f>
        <v>2.4898129999999998</v>
      </c>
      <c r="AZ50" s="41">
        <f ca="1">'REF - ASWING STRUCT-Imperial'!AZ50</f>
        <v>0</v>
      </c>
      <c r="BA50" s="41">
        <f ca="1">'REF - ASWING STRUCT-Imperial'!BA50*0.413253134140599</f>
        <v>2049100.3469189587</v>
      </c>
      <c r="BB50" s="41">
        <f ca="1">'REF - ASWING STRUCT-Imperial'!BB50*0.413253134140599</f>
        <v>4487202.9496311415</v>
      </c>
      <c r="BC50" s="41">
        <f ca="1">'REF - ASWING STRUCT-Imperial'!BC50*0.413253134140599</f>
        <v>0</v>
      </c>
      <c r="BD50" s="41">
        <f ca="1">'REF - ASWING STRUCT-Imperial'!BD50*0.413253134140599</f>
        <v>0</v>
      </c>
      <c r="BE50" s="41">
        <f ca="1">'REF - ASWING STRUCT-Imperial'!BE50*0.413253134140599</f>
        <v>0</v>
      </c>
      <c r="BF50" s="41">
        <f ca="1">'REF - ASWING STRUCT-Imperial'!BF50*0.413253134140599</f>
        <v>26100214.704396121</v>
      </c>
      <c r="BG50" s="41">
        <f ca="1">'REF - ASWING STRUCT-Imperial'!BG50</f>
        <v>0</v>
      </c>
      <c r="BH50" s="41">
        <f ca="1">'REF - ASWING STRUCT-Imperial'!BH50*4.44822</f>
        <v>0</v>
      </c>
      <c r="BI50" s="41">
        <f ca="1">'REF - ASWING STRUCT-Imperial'!BI50*4.44822</f>
        <v>0</v>
      </c>
      <c r="BJ50" s="41">
        <f ca="1">'REF - ASWING STRUCT-Imperial'!BJ50/(2.20462*3.28084)</f>
        <v>0</v>
      </c>
      <c r="BK50" s="41">
        <f ca="1">'REF - ASWING STRUCT-Imperial'!BK50/(2.20462*3.28084)</f>
        <v>0</v>
      </c>
      <c r="BL50" s="41">
        <f ca="1">'REF - ASWING STRUCT-Imperial'!BL50/(2.20462)*3.28084</f>
        <v>33.299341398905725</v>
      </c>
      <c r="BM50" s="41">
        <f ca="1">'REF - ASWING STRUCT-Imperial'!BM50/3.28084</f>
        <v>0.2616059259849719</v>
      </c>
      <c r="BN50" s="41">
        <f ca="1">'REF - ASWING STRUCT-Imperial'!BN50/3.28084</f>
        <v>0</v>
      </c>
      <c r="BO50" s="41">
        <f ca="1">'REF - ASWING STRUCT-Imperial'!BO50/(2.20462*3.28084)</f>
        <v>0</v>
      </c>
      <c r="BP50" s="41">
        <f ca="1">'REF - ASWING STRUCT-Imperial'!BP50/(2.20462*3.28084)</f>
        <v>0</v>
      </c>
      <c r="BQ50" s="41">
        <f ca="1">'REF - ASWING STRUCT-Imperial'!BQ50/(2.20462)*3.28084</f>
        <v>0</v>
      </c>
      <c r="BR50" s="41">
        <f ca="1">'REF - ASWING STRUCT-Imperial'!BR50/3.28084</f>
        <v>0</v>
      </c>
      <c r="BS50" s="41">
        <f ca="1">'REF - ASWING STRUCT-Imperial'!BS50/3.28084</f>
        <v>0</v>
      </c>
      <c r="BT50" s="41">
        <f ca="1">'REF - ASWING STRUCT-Imperial'!BT50/3.28084</f>
        <v>0.13814267800567442</v>
      </c>
      <c r="BU50" s="41">
        <f ca="1">'REF - ASWING STRUCT-Imperial'!BU50/3.28084</f>
        <v>0</v>
      </c>
      <c r="BV50" s="41">
        <f ca="1">'REF - ASWING STRUCT-Imperial'!BV50/3.28084</f>
        <v>0</v>
      </c>
      <c r="BW50" s="41">
        <f ca="1">'REF - ASWING STRUCT-Imperial'!BW50/3.28084</f>
        <v>0</v>
      </c>
      <c r="BX50" s="41">
        <f ca="1">'REF - ASWING STRUCT-Imperial'!BX50</f>
        <v>2E-3</v>
      </c>
      <c r="BY50" s="41">
        <f ca="1">'REF - ASWING STRUCT-Imperial'!BY50</f>
        <v>2E-3</v>
      </c>
      <c r="BZ50" s="41">
        <f ca="1">'REF - ASWING STRUCT-Imperial'!BZ50/3.28084</f>
        <v>0</v>
      </c>
      <c r="CA50" s="41">
        <f ca="1">'REF - ASWING STRUCT-Imperial'!CA50/3.28084</f>
        <v>0.13950000000000001</v>
      </c>
      <c r="CB50" s="41">
        <f ca="1">'REF - ASWING STRUCT-Imperial'!CB50/(3.28084^3)</f>
        <v>2.2926066180248682E-4</v>
      </c>
      <c r="CC50" s="41">
        <f ca="1">'REF - ASWING STRUCT-Imperial'!CC50/3.28084</f>
        <v>0</v>
      </c>
      <c r="CD50" s="41">
        <f>'REF - ASWING STRUCT-Imperial'!CD50</f>
        <v>5.4999999999999997E-3</v>
      </c>
      <c r="CE50" s="41">
        <f>'REF - ASWING STRUCT-Imperial'!CE50</f>
        <v>5.4999999999999997E-3</v>
      </c>
      <c r="CF50" s="41">
        <f ca="1">'REF - ASWING STRUCT-Imperial'!CF50/3.28084</f>
        <v>1.55</v>
      </c>
      <c r="CG50" s="41">
        <f ca="1">'REF - ASWING STRUCT-Imperial'!CG50</f>
        <v>0.25</v>
      </c>
      <c r="CH50" s="41">
        <f ca="1">'REF - ASWING STRUCT-Imperial'!CH50</f>
        <v>7.85</v>
      </c>
      <c r="CI50" s="41">
        <f ca="1">'REF - ASWING STRUCT-Imperial'!CI50</f>
        <v>-0.15</v>
      </c>
      <c r="CJ50" s="41">
        <f ca="1">'REF - ASWING STRUCT-Imperial'!CJ50</f>
        <v>1.85</v>
      </c>
      <c r="CK50" s="41">
        <f ca="1">'REF - ASWING STRUCT-Imperial'!CK50</f>
        <v>-1.55</v>
      </c>
      <c r="CL50" s="788">
        <f ca="1">'REF - ASWING STRUCT-Imperial'!CL50</f>
        <v>5.9690260418206069</v>
      </c>
      <c r="CM50" s="686">
        <v>0</v>
      </c>
      <c r="CN50" s="643">
        <v>3.1728633999999998</v>
      </c>
      <c r="CO50" s="643">
        <v>0</v>
      </c>
      <c r="CP50" s="643">
        <v>3.9167552000000003</v>
      </c>
      <c r="CQ50" s="642">
        <v>0</v>
      </c>
      <c r="CR50" s="643">
        <v>108293.8811456291</v>
      </c>
      <c r="CS50" s="643">
        <v>94404.660607434445</v>
      </c>
      <c r="CT50" s="643">
        <v>0</v>
      </c>
      <c r="CU50" s="643">
        <v>0</v>
      </c>
      <c r="CV50" s="643">
        <v>0</v>
      </c>
      <c r="CW50" s="643">
        <v>1604012.7249157543</v>
      </c>
      <c r="CX50" s="642">
        <v>0</v>
      </c>
      <c r="CY50" s="643">
        <v>0</v>
      </c>
      <c r="CZ50" s="643">
        <v>0</v>
      </c>
      <c r="DA50" s="642">
        <v>0</v>
      </c>
      <c r="DB50" s="642">
        <v>0</v>
      </c>
      <c r="DC50" s="643">
        <v>5.1655231769395664</v>
      </c>
      <c r="DD50" s="643">
        <v>0.11999167415475685</v>
      </c>
      <c r="DE50" s="643">
        <v>0</v>
      </c>
      <c r="DF50" s="642">
        <v>0</v>
      </c>
      <c r="DG50" s="642">
        <v>0</v>
      </c>
      <c r="DH50" s="642">
        <v>0</v>
      </c>
      <c r="DI50" s="643">
        <v>0</v>
      </c>
      <c r="DJ50" s="643">
        <v>0</v>
      </c>
      <c r="DK50" s="643">
        <v>5.8500527787553901E-2</v>
      </c>
      <c r="DL50" s="643">
        <v>0</v>
      </c>
      <c r="DM50" s="643">
        <v>0</v>
      </c>
      <c r="DN50" s="643">
        <v>0</v>
      </c>
      <c r="DO50" s="642">
        <v>2E-3</v>
      </c>
      <c r="DP50" s="642">
        <v>2E-3</v>
      </c>
      <c r="DQ50" s="643">
        <v>0</v>
      </c>
      <c r="DR50" s="643">
        <v>5.8499999999999996E-2</v>
      </c>
      <c r="DS50" s="643">
        <v>3.359785973345497E-5</v>
      </c>
      <c r="DT50" s="643">
        <v>0</v>
      </c>
      <c r="DU50" s="642">
        <v>5.4999999999999997E-3</v>
      </c>
      <c r="DV50" s="642">
        <v>5.4999999999999997E-3</v>
      </c>
      <c r="DW50" s="643">
        <v>0.65</v>
      </c>
      <c r="DX50" s="642">
        <v>0.25</v>
      </c>
      <c r="DY50" s="642">
        <v>5.9</v>
      </c>
      <c r="DZ50" s="642">
        <v>-0.15</v>
      </c>
      <c r="EA50" s="642">
        <v>2.25</v>
      </c>
      <c r="EB50" s="642">
        <v>-1.65</v>
      </c>
      <c r="EC50" s="642">
        <v>5.9690260418206069</v>
      </c>
      <c r="ED50" s="778">
        <v>0</v>
      </c>
      <c r="EE50" s="718">
        <v>11.75</v>
      </c>
      <c r="EF50" s="718">
        <v>1.56</v>
      </c>
      <c r="EG50" s="718">
        <v>3.9</v>
      </c>
      <c r="EH50" s="719">
        <v>0</v>
      </c>
      <c r="EI50" s="718">
        <v>477336.61356704513</v>
      </c>
      <c r="EJ50" s="718">
        <v>391735.27605005068</v>
      </c>
      <c r="EK50" s="718">
        <v>0</v>
      </c>
      <c r="EL50" s="718">
        <v>0</v>
      </c>
      <c r="EM50" s="718">
        <v>0</v>
      </c>
      <c r="EN50" s="718">
        <v>91261534.189562678</v>
      </c>
      <c r="EO50" s="719">
        <v>0</v>
      </c>
      <c r="EP50" s="718">
        <v>0</v>
      </c>
      <c r="EQ50" s="718">
        <v>0</v>
      </c>
      <c r="ER50" s="719">
        <v>0</v>
      </c>
      <c r="ES50" s="719">
        <v>0</v>
      </c>
      <c r="ET50" s="718">
        <v>30.202674062820282</v>
      </c>
      <c r="EU50" s="718">
        <v>-0.92849648990958589</v>
      </c>
      <c r="EV50" s="718">
        <v>0</v>
      </c>
      <c r="EW50" s="719">
        <v>0</v>
      </c>
      <c r="EX50" s="719">
        <v>0</v>
      </c>
      <c r="EY50" s="719">
        <v>0</v>
      </c>
      <c r="EZ50" s="718">
        <v>0</v>
      </c>
      <c r="FA50" s="718">
        <v>0</v>
      </c>
      <c r="FB50" s="718">
        <v>-1.5527610985981311</v>
      </c>
      <c r="FC50" s="718">
        <v>0</v>
      </c>
      <c r="FD50" s="718">
        <v>0</v>
      </c>
      <c r="FE50" s="718">
        <v>0</v>
      </c>
      <c r="FF50" s="719">
        <v>2E-3</v>
      </c>
      <c r="FG50" s="719">
        <v>2E-3</v>
      </c>
      <c r="FH50" s="718">
        <v>-1.5</v>
      </c>
      <c r="FI50" s="718">
        <v>0.22500000000000001</v>
      </c>
      <c r="FJ50" s="718">
        <v>4.9700975937063546E-4</v>
      </c>
      <c r="FK50" s="718">
        <v>0</v>
      </c>
      <c r="FL50" s="719">
        <v>5.4999999999999997E-3</v>
      </c>
      <c r="FM50" s="719">
        <v>5.4999999999999997E-3</v>
      </c>
      <c r="FN50" s="718">
        <v>2.5</v>
      </c>
      <c r="FO50" s="719">
        <v>0.85</v>
      </c>
      <c r="FP50" s="719">
        <v>0</v>
      </c>
      <c r="FQ50" s="719">
        <v>0</v>
      </c>
      <c r="FR50" s="719">
        <v>1.4</v>
      </c>
      <c r="FS50" s="719">
        <v>-1.4</v>
      </c>
      <c r="FT50" s="719">
        <v>5.9690260418206069</v>
      </c>
      <c r="FU50" s="781">
        <f>ED50</f>
        <v>0</v>
      </c>
      <c r="FV50" s="694">
        <f t="shared" ref="FV50:HK50" si="1">EE50</f>
        <v>11.75</v>
      </c>
      <c r="FW50" s="794">
        <f>-EF50</f>
        <v>-1.56</v>
      </c>
      <c r="FX50" s="694">
        <f t="shared" si="1"/>
        <v>3.9</v>
      </c>
      <c r="FY50" s="694">
        <f t="shared" si="1"/>
        <v>0</v>
      </c>
      <c r="FZ50" s="694">
        <f t="shared" si="1"/>
        <v>477336.61356704513</v>
      </c>
      <c r="GA50" s="694">
        <f t="shared" si="1"/>
        <v>391735.27605005068</v>
      </c>
      <c r="GB50" s="694">
        <f t="shared" si="1"/>
        <v>0</v>
      </c>
      <c r="GC50" s="694">
        <f t="shared" si="1"/>
        <v>0</v>
      </c>
      <c r="GD50" s="694">
        <f t="shared" si="1"/>
        <v>0</v>
      </c>
      <c r="GE50" s="694">
        <f t="shared" si="1"/>
        <v>91261534.189562678</v>
      </c>
      <c r="GF50" s="694">
        <f t="shared" si="1"/>
        <v>0</v>
      </c>
      <c r="GG50" s="694">
        <f t="shared" si="1"/>
        <v>0</v>
      </c>
      <c r="GH50" s="694">
        <f t="shared" si="1"/>
        <v>0</v>
      </c>
      <c r="GI50" s="694">
        <f t="shared" si="1"/>
        <v>0</v>
      </c>
      <c r="GJ50" s="694">
        <f t="shared" si="1"/>
        <v>0</v>
      </c>
      <c r="GK50" s="694">
        <f t="shared" si="1"/>
        <v>30.202674062820282</v>
      </c>
      <c r="GL50" s="694">
        <f t="shared" si="1"/>
        <v>-0.92849648990958589</v>
      </c>
      <c r="GM50" s="694">
        <f t="shared" si="1"/>
        <v>0</v>
      </c>
      <c r="GN50" s="694">
        <f t="shared" si="1"/>
        <v>0</v>
      </c>
      <c r="GO50" s="694">
        <f t="shared" si="1"/>
        <v>0</v>
      </c>
      <c r="GP50" s="694">
        <f t="shared" si="1"/>
        <v>0</v>
      </c>
      <c r="GQ50" s="694">
        <f t="shared" si="1"/>
        <v>0</v>
      </c>
      <c r="GR50" s="694">
        <f t="shared" si="1"/>
        <v>0</v>
      </c>
      <c r="GS50" s="694">
        <f t="shared" si="1"/>
        <v>-1.5527610985981311</v>
      </c>
      <c r="GT50" s="694">
        <f t="shared" si="1"/>
        <v>0</v>
      </c>
      <c r="GU50" s="694">
        <f t="shared" si="1"/>
        <v>0</v>
      </c>
      <c r="GV50" s="694">
        <f t="shared" si="1"/>
        <v>0</v>
      </c>
      <c r="GW50" s="694">
        <f t="shared" si="1"/>
        <v>2E-3</v>
      </c>
      <c r="GX50" s="694">
        <f t="shared" si="1"/>
        <v>2E-3</v>
      </c>
      <c r="GY50" s="694">
        <f t="shared" si="1"/>
        <v>-1.5</v>
      </c>
      <c r="GZ50" s="694">
        <f t="shared" si="1"/>
        <v>0.22500000000000001</v>
      </c>
      <c r="HA50" s="694">
        <f t="shared" si="1"/>
        <v>4.9700975937063546E-4</v>
      </c>
      <c r="HB50" s="694">
        <f t="shared" si="1"/>
        <v>0</v>
      </c>
      <c r="HC50" s="694">
        <f t="shared" si="1"/>
        <v>5.4999999999999997E-3</v>
      </c>
      <c r="HD50" s="694">
        <f t="shared" si="1"/>
        <v>5.4999999999999997E-3</v>
      </c>
      <c r="HE50" s="694">
        <f t="shared" si="1"/>
        <v>2.5</v>
      </c>
      <c r="HF50" s="694">
        <f t="shared" si="1"/>
        <v>0.85</v>
      </c>
      <c r="HG50" s="694">
        <f t="shared" si="1"/>
        <v>0</v>
      </c>
      <c r="HH50" s="694">
        <f t="shared" si="1"/>
        <v>0</v>
      </c>
      <c r="HI50" s="694">
        <f t="shared" si="1"/>
        <v>1.4</v>
      </c>
      <c r="HJ50" s="694">
        <f t="shared" si="1"/>
        <v>-1.4</v>
      </c>
      <c r="HK50" s="694">
        <f t="shared" si="1"/>
        <v>5.9690260418206069</v>
      </c>
    </row>
    <row r="51" spans="1:219" x14ac:dyDescent="0.25">
      <c r="A51" s="872"/>
      <c r="B51" s="669" t="s">
        <v>1061</v>
      </c>
      <c r="C51" s="669" t="s">
        <v>1062</v>
      </c>
      <c r="D51" s="669" t="s">
        <v>1063</v>
      </c>
      <c r="E51" s="608" t="s">
        <v>797</v>
      </c>
      <c r="F51" s="608" t="s">
        <v>798</v>
      </c>
      <c r="G51" s="608" t="s">
        <v>799</v>
      </c>
      <c r="H51" s="568" t="s">
        <v>912</v>
      </c>
      <c r="I51" s="625" t="s">
        <v>942</v>
      </c>
      <c r="J51" s="568" t="s">
        <v>947</v>
      </c>
      <c r="K51" s="575">
        <v>1</v>
      </c>
      <c r="L51" s="626">
        <f ca="1">W51/MAX(AX50:AX100) *MAX(AV50:AV100)</f>
        <v>-21.264130764589989</v>
      </c>
      <c r="M51">
        <v>6</v>
      </c>
      <c r="N51">
        <f>MAX(V50:V51)</f>
        <v>9.3823767999999994</v>
      </c>
      <c r="O51" s="576">
        <v>0</v>
      </c>
      <c r="P51" s="580"/>
      <c r="Q51" s="605">
        <f>'ASWING AERO'!G28</f>
        <v>9.3823767999999994</v>
      </c>
      <c r="R51" s="606">
        <f>(1.56*3.28084)/3.28084</f>
        <v>1.56</v>
      </c>
      <c r="S51" s="606">
        <f>S50</f>
        <v>3.9</v>
      </c>
      <c r="T51" s="606">
        <f>F23</f>
        <v>0.15</v>
      </c>
      <c r="U51" s="607">
        <v>0</v>
      </c>
      <c r="V51" s="605">
        <f>Q51</f>
        <v>9.3823767999999994</v>
      </c>
      <c r="W51" s="606">
        <f>-R51</f>
        <v>-1.56</v>
      </c>
      <c r="X51" s="606">
        <f>S51</f>
        <v>3.9</v>
      </c>
      <c r="Y51" s="606">
        <f>F23</f>
        <v>0.15</v>
      </c>
      <c r="Z51" s="606">
        <v>0</v>
      </c>
      <c r="AA51" s="710">
        <f>E69</f>
        <v>13.791</v>
      </c>
      <c r="AB51" s="685">
        <f t="shared" ref="AB51:AC51" si="2">F69</f>
        <v>1.56</v>
      </c>
      <c r="AC51" s="685">
        <f t="shared" si="2"/>
        <v>3.9</v>
      </c>
      <c r="AD51" s="606">
        <f>F23</f>
        <v>0.15</v>
      </c>
      <c r="AE51" s="607">
        <v>0</v>
      </c>
      <c r="AF51" s="710">
        <f>AA51</f>
        <v>13.791</v>
      </c>
      <c r="AG51" s="606">
        <f>W51</f>
        <v>-1.56</v>
      </c>
      <c r="AH51" s="606">
        <f>AC51</f>
        <v>3.9</v>
      </c>
      <c r="AI51" s="606">
        <f>F23</f>
        <v>0.15</v>
      </c>
      <c r="AJ51" s="606">
        <v>0</v>
      </c>
      <c r="AK51" s="710">
        <f>E67</f>
        <v>12.224</v>
      </c>
      <c r="AL51" s="685">
        <f t="shared" ref="AL51:AM51" si="3">F67</f>
        <v>4.6100000000000003</v>
      </c>
      <c r="AM51" s="685">
        <f t="shared" si="3"/>
        <v>3.7</v>
      </c>
      <c r="AN51" s="606">
        <f>F23</f>
        <v>0.15</v>
      </c>
      <c r="AO51" s="607">
        <v>0</v>
      </c>
      <c r="AP51" s="605">
        <f>AK51</f>
        <v>12.224</v>
      </c>
      <c r="AQ51" s="606">
        <f>AQ50</f>
        <v>-4.6100000000000003</v>
      </c>
      <c r="AR51" s="606">
        <f>AM51</f>
        <v>3.7</v>
      </c>
      <c r="AS51" s="606">
        <f>F23</f>
        <v>0.15</v>
      </c>
      <c r="AT51" s="607">
        <v>0</v>
      </c>
      <c r="AU51" s="594"/>
      <c r="AV51" s="575">
        <f ca="1">'REF - ASWING STRUCT-Imperial'!AV51</f>
        <v>4</v>
      </c>
      <c r="AW51" s="787">
        <f ca="1">'REF - ASWING STRUCT-Imperial'!AW51/3.28084</f>
        <v>7.2827297999999985</v>
      </c>
      <c r="AX51" s="660">
        <f ca="1">'REF - ASWING STRUCT-Imperial'!AX51/3.28084</f>
        <v>0.28989799999999999</v>
      </c>
      <c r="AY51" s="660">
        <f ca="1">'REF - ASWING STRUCT-Imperial'!AY51/3.28084</f>
        <v>2.4898129999999998</v>
      </c>
      <c r="AZ51" s="41">
        <f ca="1">'REF - ASWING STRUCT-Imperial'!AZ51</f>
        <v>0</v>
      </c>
      <c r="BA51" s="41">
        <f ca="1">'REF - ASWING STRUCT-Imperial'!BA51*0.413253134140599</f>
        <v>1924899.6673564971</v>
      </c>
      <c r="BB51" s="41">
        <f ca="1">'REF - ASWING STRUCT-Imperial'!BB51*0.413253134140599</f>
        <v>4362440.7588195987</v>
      </c>
      <c r="BC51" s="41">
        <f ca="1">'REF - ASWING STRUCT-Imperial'!BC51*0.413253134140599</f>
        <v>0</v>
      </c>
      <c r="BD51" s="41">
        <f ca="1">'REF - ASWING STRUCT-Imperial'!BD51*0.413253134140599</f>
        <v>0</v>
      </c>
      <c r="BE51" s="41">
        <f ca="1">'REF - ASWING STRUCT-Imperial'!BE51*0.413253134140599</f>
        <v>0</v>
      </c>
      <c r="BF51" s="41">
        <f ca="1">'REF - ASWING STRUCT-Imperial'!BF51*0.413253134140599</f>
        <v>25019280.994068503</v>
      </c>
      <c r="BG51" s="41">
        <f ca="1">'REF - ASWING STRUCT-Imperial'!BG51</f>
        <v>0</v>
      </c>
      <c r="BH51" s="41">
        <f ca="1">'REF - ASWING STRUCT-Imperial'!BH51*4.44822</f>
        <v>0</v>
      </c>
      <c r="BI51" s="41">
        <f ca="1">'REF - ASWING STRUCT-Imperial'!BI51*4.44822</f>
        <v>0</v>
      </c>
      <c r="BJ51" s="41">
        <f ca="1">'REF - ASWING STRUCT-Imperial'!BJ51/(2.20462*3.28084)</f>
        <v>0</v>
      </c>
      <c r="BK51" s="41">
        <f ca="1">'REF - ASWING STRUCT-Imperial'!BK51/(2.20462*3.28084)</f>
        <v>0</v>
      </c>
      <c r="BL51" s="41">
        <f ca="1">'REF - ASWING STRUCT-Imperial'!BL51/(2.20462)*3.28084</f>
        <v>32.951111148090341</v>
      </c>
      <c r="BM51" s="41">
        <f ca="1">'REF - ASWING STRUCT-Imperial'!BM51/3.28084</f>
        <v>0.25702300901799674</v>
      </c>
      <c r="BN51" s="41">
        <f ca="1">'REF - ASWING STRUCT-Imperial'!BN51/3.28084</f>
        <v>0</v>
      </c>
      <c r="BO51" s="41">
        <f ca="1">'REF - ASWING STRUCT-Imperial'!BO51/(2.20462*3.28084)</f>
        <v>0</v>
      </c>
      <c r="BP51" s="41">
        <f ca="1">'REF - ASWING STRUCT-Imperial'!BP51/(2.20462*3.28084)</f>
        <v>0</v>
      </c>
      <c r="BQ51" s="41">
        <f ca="1">'REF - ASWING STRUCT-Imperial'!BQ51/(2.20462)*3.28084</f>
        <v>0</v>
      </c>
      <c r="BR51" s="41">
        <f ca="1">'REF - ASWING STRUCT-Imperial'!BR51/3.28084</f>
        <v>0</v>
      </c>
      <c r="BS51" s="41">
        <f ca="1">'REF - ASWING STRUCT-Imperial'!BS51/3.28084</f>
        <v>0</v>
      </c>
      <c r="BT51" s="41">
        <f ca="1">'REF - ASWING STRUCT-Imperial'!BT51/3.28084</f>
        <v>0.1362709010273129</v>
      </c>
      <c r="BU51" s="41">
        <f ca="1">'REF - ASWING STRUCT-Imperial'!BU51/3.28084</f>
        <v>0</v>
      </c>
      <c r="BV51" s="41">
        <f ca="1">'REF - ASWING STRUCT-Imperial'!BV51/3.28084</f>
        <v>0</v>
      </c>
      <c r="BW51" s="41">
        <f ca="1">'REF - ASWING STRUCT-Imperial'!BW51/3.28084</f>
        <v>0</v>
      </c>
      <c r="BX51" s="41">
        <f ca="1">'REF - ASWING STRUCT-Imperial'!BX51</f>
        <v>2E-3</v>
      </c>
      <c r="BY51" s="41">
        <f ca="1">'REF - ASWING STRUCT-Imperial'!BY51</f>
        <v>2E-3</v>
      </c>
      <c r="BZ51" s="41">
        <f ca="1">'REF - ASWING STRUCT-Imperial'!BZ51/3.28084</f>
        <v>0</v>
      </c>
      <c r="CA51" s="41">
        <f ca="1">'REF - ASWING STRUCT-Imperial'!CA51/3.28084</f>
        <v>0.137547</v>
      </c>
      <c r="CB51" s="41">
        <f ca="1">'REF - ASWING STRUCT-Imperial'!CB51/(3.28084^3)</f>
        <v>2.2288629836173042E-4</v>
      </c>
      <c r="CC51" s="41">
        <f ca="1">'REF - ASWING STRUCT-Imperial'!CC51/3.28084</f>
        <v>0</v>
      </c>
      <c r="CD51" s="41">
        <f>'REF - ASWING STRUCT-Imperial'!CD51</f>
        <v>5.4999999999999997E-3</v>
      </c>
      <c r="CE51" s="41">
        <f>'REF - ASWING STRUCT-Imperial'!CE51</f>
        <v>5.4999999999999997E-3</v>
      </c>
      <c r="CF51" s="41">
        <f ca="1">'REF - ASWING STRUCT-Imperial'!CF51/3.28084</f>
        <v>1.5283</v>
      </c>
      <c r="CG51" s="41">
        <f ca="1">'REF - ASWING STRUCT-Imperial'!CG51</f>
        <v>0.25</v>
      </c>
      <c r="CH51" s="41">
        <f ca="1">'REF - ASWING STRUCT-Imperial'!CH51</f>
        <v>7.85</v>
      </c>
      <c r="CI51" s="41">
        <f ca="1">'REF - ASWING STRUCT-Imperial'!CI51</f>
        <v>-0.15</v>
      </c>
      <c r="CJ51" s="41">
        <f ca="1">'REF - ASWING STRUCT-Imperial'!CJ51</f>
        <v>1.85</v>
      </c>
      <c r="CK51" s="41">
        <f ca="1">'REF - ASWING STRUCT-Imperial'!CK51</f>
        <v>-1.55</v>
      </c>
      <c r="CL51" s="789">
        <f ca="1">'REF - ASWING STRUCT-Imperial'!CL51</f>
        <v>5.9690260418206069</v>
      </c>
      <c r="CM51" s="641">
        <v>4</v>
      </c>
      <c r="CN51" s="643">
        <v>3.1758633999999999</v>
      </c>
      <c r="CO51" s="643">
        <v>0.12000000000000001</v>
      </c>
      <c r="CP51" s="643">
        <v>3.9167552000000003</v>
      </c>
      <c r="CQ51" s="642">
        <v>0</v>
      </c>
      <c r="CR51" s="643">
        <v>102921.07595694142</v>
      </c>
      <c r="CS51" s="643">
        <v>90951.125851579971</v>
      </c>
      <c r="CT51" s="643">
        <v>0</v>
      </c>
      <c r="CU51" s="643">
        <v>0</v>
      </c>
      <c r="CV51" s="643">
        <v>0</v>
      </c>
      <c r="CW51" s="643">
        <v>1516805.0835619054</v>
      </c>
      <c r="CX51" s="642">
        <v>0</v>
      </c>
      <c r="CY51" s="643">
        <v>0</v>
      </c>
      <c r="CZ51" s="643">
        <v>0</v>
      </c>
      <c r="DA51" s="642">
        <v>0</v>
      </c>
      <c r="DB51" s="642">
        <v>0</v>
      </c>
      <c r="DC51" s="643">
        <v>5.0881644031334483</v>
      </c>
      <c r="DD51" s="643">
        <v>0.11735702751273738</v>
      </c>
      <c r="DE51" s="643">
        <v>0</v>
      </c>
      <c r="DF51" s="642">
        <v>0</v>
      </c>
      <c r="DG51" s="642">
        <v>0</v>
      </c>
      <c r="DH51" s="642">
        <v>0</v>
      </c>
      <c r="DI51" s="643">
        <v>0</v>
      </c>
      <c r="DJ51" s="643">
        <v>0</v>
      </c>
      <c r="DK51" s="643">
        <v>5.7504196206161415E-2</v>
      </c>
      <c r="DL51" s="643">
        <v>0</v>
      </c>
      <c r="DM51" s="643">
        <v>0</v>
      </c>
      <c r="DN51" s="643">
        <v>0</v>
      </c>
      <c r="DO51" s="642">
        <v>2E-3</v>
      </c>
      <c r="DP51" s="642">
        <v>2E-3</v>
      </c>
      <c r="DQ51" s="643">
        <v>0</v>
      </c>
      <c r="DR51" s="643">
        <v>5.7420000000000006E-2</v>
      </c>
      <c r="DS51" s="643">
        <v>3.2368774478921769E-5</v>
      </c>
      <c r="DT51" s="643">
        <v>0</v>
      </c>
      <c r="DU51" s="642">
        <v>5.4999999999999997E-3</v>
      </c>
      <c r="DV51" s="642">
        <v>5.4999999999999997E-3</v>
      </c>
      <c r="DW51" s="643">
        <v>0.63800000000000001</v>
      </c>
      <c r="DX51" s="642">
        <v>0.25</v>
      </c>
      <c r="DY51" s="642">
        <v>5.9</v>
      </c>
      <c r="DZ51" s="642">
        <v>-0.15</v>
      </c>
      <c r="EA51" s="642">
        <v>2.25</v>
      </c>
      <c r="EB51" s="642">
        <v>-1.65</v>
      </c>
      <c r="EC51" s="642">
        <v>5.9690260418206069</v>
      </c>
      <c r="ED51" s="779">
        <v>4.0000000000000044</v>
      </c>
      <c r="EE51" s="718">
        <v>11.77</v>
      </c>
      <c r="EF51" s="718">
        <v>1.56</v>
      </c>
      <c r="EG51" s="718">
        <v>3.956</v>
      </c>
      <c r="EH51" s="719">
        <v>0</v>
      </c>
      <c r="EI51" s="718">
        <v>440286.44248516823</v>
      </c>
      <c r="EJ51" s="718">
        <v>367065.35530552309</v>
      </c>
      <c r="EK51" s="718">
        <v>0</v>
      </c>
      <c r="EL51" s="718">
        <v>0</v>
      </c>
      <c r="EM51" s="718">
        <v>0</v>
      </c>
      <c r="EN51" s="718">
        <v>82777791.882442757</v>
      </c>
      <c r="EO51" s="719">
        <v>0</v>
      </c>
      <c r="EP51" s="718">
        <v>0</v>
      </c>
      <c r="EQ51" s="718">
        <v>0</v>
      </c>
      <c r="ER51" s="719">
        <v>0</v>
      </c>
      <c r="ES51" s="719">
        <v>0</v>
      </c>
      <c r="ET51" s="718">
        <v>29.247636512634191</v>
      </c>
      <c r="EU51" s="718">
        <v>-0.89947384580463108</v>
      </c>
      <c r="EV51" s="718">
        <v>0</v>
      </c>
      <c r="EW51" s="719">
        <v>0</v>
      </c>
      <c r="EX51" s="719">
        <v>0</v>
      </c>
      <c r="EY51" s="719">
        <v>0</v>
      </c>
      <c r="EZ51" s="718">
        <v>0</v>
      </c>
      <c r="FA51" s="718">
        <v>0</v>
      </c>
      <c r="FB51" s="718">
        <v>-1.4421041093669813</v>
      </c>
      <c r="FC51" s="718">
        <v>0</v>
      </c>
      <c r="FD51" s="718">
        <v>0</v>
      </c>
      <c r="FE51" s="718">
        <v>0</v>
      </c>
      <c r="FF51" s="719">
        <v>2E-3</v>
      </c>
      <c r="FG51" s="719">
        <v>2E-3</v>
      </c>
      <c r="FH51" s="718">
        <v>-1.4520000000000002</v>
      </c>
      <c r="FI51" s="718">
        <v>0.21779999999999999</v>
      </c>
      <c r="FJ51" s="718">
        <v>4.6571007276451049E-4</v>
      </c>
      <c r="FK51" s="718">
        <v>0</v>
      </c>
      <c r="FL51" s="719">
        <v>5.4999999999999997E-3</v>
      </c>
      <c r="FM51" s="719">
        <v>5.4999999999999997E-3</v>
      </c>
      <c r="FN51" s="718">
        <v>2.42</v>
      </c>
      <c r="FO51" s="719">
        <v>0.85</v>
      </c>
      <c r="FP51" s="719">
        <v>0</v>
      </c>
      <c r="FQ51" s="719">
        <v>0</v>
      </c>
      <c r="FR51" s="719">
        <v>1.4</v>
      </c>
      <c r="FS51" s="719">
        <v>-1.4</v>
      </c>
      <c r="FT51" s="719">
        <v>5.9690260418206069</v>
      </c>
      <c r="FU51" s="782">
        <f t="shared" ref="FU51:FU71" si="4">ED51</f>
        <v>4.0000000000000044</v>
      </c>
      <c r="FV51" s="617">
        <f t="shared" ref="FV51:FV71" si="5">EE51</f>
        <v>11.77</v>
      </c>
      <c r="FW51" s="795">
        <f t="shared" ref="FW51:FW71" si="6">-EF51</f>
        <v>-1.56</v>
      </c>
      <c r="FX51" s="617">
        <f t="shared" ref="FX51:FX71" si="7">EG51</f>
        <v>3.956</v>
      </c>
      <c r="FY51" s="617">
        <f t="shared" ref="FY51:FY71" si="8">EH51</f>
        <v>0</v>
      </c>
      <c r="FZ51" s="617">
        <f t="shared" ref="FZ51:FZ71" si="9">EI51</f>
        <v>440286.44248516823</v>
      </c>
      <c r="GA51" s="617">
        <f t="shared" ref="GA51:GA71" si="10">EJ51</f>
        <v>367065.35530552309</v>
      </c>
      <c r="GB51" s="617">
        <f t="shared" ref="GB51:GB71" si="11">EK51</f>
        <v>0</v>
      </c>
      <c r="GC51" s="617">
        <f t="shared" ref="GC51:GC71" si="12">EL51</f>
        <v>0</v>
      </c>
      <c r="GD51" s="617">
        <f t="shared" ref="GD51:GD71" si="13">EM51</f>
        <v>0</v>
      </c>
      <c r="GE51" s="617">
        <f t="shared" ref="GE51:GE71" si="14">EN51</f>
        <v>82777791.882442757</v>
      </c>
      <c r="GF51" s="617">
        <f t="shared" ref="GF51:GF71" si="15">EO51</f>
        <v>0</v>
      </c>
      <c r="GG51" s="617">
        <f t="shared" ref="GG51:GG71" si="16">EP51</f>
        <v>0</v>
      </c>
      <c r="GH51" s="617">
        <f t="shared" ref="GH51:GH71" si="17">EQ51</f>
        <v>0</v>
      </c>
      <c r="GI51" s="617">
        <f t="shared" ref="GI51:GI71" si="18">ER51</f>
        <v>0</v>
      </c>
      <c r="GJ51" s="617">
        <f t="shared" ref="GJ51:GJ71" si="19">ES51</f>
        <v>0</v>
      </c>
      <c r="GK51" s="617">
        <f t="shared" ref="GK51:GK71" si="20">ET51</f>
        <v>29.247636512634191</v>
      </c>
      <c r="GL51" s="617">
        <f t="shared" ref="GL51:GL71" si="21">EU51</f>
        <v>-0.89947384580463108</v>
      </c>
      <c r="GM51" s="617">
        <f t="shared" ref="GM51:GM71" si="22">EV51</f>
        <v>0</v>
      </c>
      <c r="GN51" s="617">
        <f t="shared" ref="GN51:GN71" si="23">EW51</f>
        <v>0</v>
      </c>
      <c r="GO51" s="617">
        <f t="shared" ref="GO51:GO71" si="24">EX51</f>
        <v>0</v>
      </c>
      <c r="GP51" s="617">
        <f t="shared" ref="GP51:GP71" si="25">EY51</f>
        <v>0</v>
      </c>
      <c r="GQ51" s="617">
        <f t="shared" ref="GQ51:GQ71" si="26">EZ51</f>
        <v>0</v>
      </c>
      <c r="GR51" s="617">
        <f t="shared" ref="GR51:GR71" si="27">FA51</f>
        <v>0</v>
      </c>
      <c r="GS51" s="617">
        <f t="shared" ref="GS51:GS71" si="28">FB51</f>
        <v>-1.4421041093669813</v>
      </c>
      <c r="GT51" s="617">
        <f t="shared" ref="GT51:GT71" si="29">FC51</f>
        <v>0</v>
      </c>
      <c r="GU51" s="617">
        <f t="shared" ref="GU51:GU71" si="30">FD51</f>
        <v>0</v>
      </c>
      <c r="GV51" s="617">
        <f t="shared" ref="GV51:GV71" si="31">FE51</f>
        <v>0</v>
      </c>
      <c r="GW51" s="617">
        <f t="shared" ref="GW51:GW71" si="32">FF51</f>
        <v>2E-3</v>
      </c>
      <c r="GX51" s="617">
        <f t="shared" ref="GX51:GX71" si="33">FG51</f>
        <v>2E-3</v>
      </c>
      <c r="GY51" s="617">
        <f t="shared" ref="GY51:GY71" si="34">FH51</f>
        <v>-1.4520000000000002</v>
      </c>
      <c r="GZ51" s="617">
        <f t="shared" ref="GZ51:GZ71" si="35">FI51</f>
        <v>0.21779999999999999</v>
      </c>
      <c r="HA51" s="617">
        <f t="shared" ref="HA51:HA71" si="36">FJ51</f>
        <v>4.6571007276451049E-4</v>
      </c>
      <c r="HB51" s="617">
        <f t="shared" ref="HB51:HB71" si="37">FK51</f>
        <v>0</v>
      </c>
      <c r="HC51" s="617">
        <f t="shared" ref="HC51:HC71" si="38">FL51</f>
        <v>5.4999999999999997E-3</v>
      </c>
      <c r="HD51" s="617">
        <f t="shared" ref="HD51:HD71" si="39">FM51</f>
        <v>5.4999999999999997E-3</v>
      </c>
      <c r="HE51" s="617">
        <f t="shared" ref="HE51:HE71" si="40">FN51</f>
        <v>2.42</v>
      </c>
      <c r="HF51" s="617">
        <f t="shared" ref="HF51:HF71" si="41">FO51</f>
        <v>0.85</v>
      </c>
      <c r="HG51" s="617">
        <f t="shared" ref="HG51:HG71" si="42">FP51</f>
        <v>0</v>
      </c>
      <c r="HH51" s="617">
        <f t="shared" ref="HH51:HH71" si="43">FQ51</f>
        <v>0</v>
      </c>
      <c r="HI51" s="617">
        <f t="shared" ref="HI51:HI71" si="44">FR51</f>
        <v>1.4</v>
      </c>
      <c r="HJ51" s="617">
        <f t="shared" ref="HJ51:HJ71" si="45">FS51</f>
        <v>-1.4</v>
      </c>
      <c r="HK51" s="617">
        <f t="shared" ref="HK51:HK71" si="46">FT51</f>
        <v>5.9690260418206069</v>
      </c>
    </row>
    <row r="52" spans="1:219" x14ac:dyDescent="0.25">
      <c r="A52" s="745" t="s">
        <v>1037</v>
      </c>
      <c r="B52" s="746">
        <v>-1050</v>
      </c>
      <c r="C52" s="747">
        <v>0</v>
      </c>
      <c r="D52" s="748">
        <v>-2000</v>
      </c>
      <c r="E52" s="810">
        <f t="shared" ref="E52:E57" si="47">(B52+B$79)/10^3 +$F$37</f>
        <v>6.95</v>
      </c>
      <c r="F52" s="670">
        <f>(C52+C$79)/10^3</f>
        <v>0</v>
      </c>
      <c r="G52" s="670">
        <f>(D52+D$79)/10^3</f>
        <v>2.2000000000000002</v>
      </c>
      <c r="H52" s="668">
        <v>150</v>
      </c>
      <c r="I52" s="667">
        <v>1</v>
      </c>
      <c r="J52" s="204">
        <v>0</v>
      </c>
      <c r="K52" s="575">
        <v>5</v>
      </c>
      <c r="L52" s="554">
        <f>E58</f>
        <v>4.13</v>
      </c>
      <c r="M52">
        <v>2</v>
      </c>
      <c r="N52" s="626">
        <f>R50/MAX($CO$50:$CO$71)*MAX($CM$50:$CM$71)</f>
        <v>52</v>
      </c>
      <c r="O52" s="576">
        <v>0</v>
      </c>
      <c r="P52" s="580"/>
      <c r="AU52" s="594"/>
      <c r="AV52" s="575">
        <f ca="1">'REF - ASWING STRUCT-Imperial'!AV52</f>
        <v>9</v>
      </c>
      <c r="AW52" s="787">
        <f ca="1">'REF - ASWING STRUCT-Imperial'!AW52/3.28084</f>
        <v>7.2895110499999989</v>
      </c>
      <c r="AX52" s="660">
        <f ca="1">'REF - ASWING STRUCT-Imperial'!AX52/3.28084</f>
        <v>0.65689799999999987</v>
      </c>
      <c r="AY52" s="660">
        <f ca="1">'REF - ASWING STRUCT-Imperial'!AY52/3.28084</f>
        <v>2.4898129999999998</v>
      </c>
      <c r="AZ52" s="41">
        <f ca="1">'REF - ASWING STRUCT-Imperial'!AZ52</f>
        <v>0</v>
      </c>
      <c r="BA52" s="41">
        <f ca="1">'REF - ASWING STRUCT-Imperial'!BA52*0.413253134140599</f>
        <v>1775108.7684057576</v>
      </c>
      <c r="BB52" s="41">
        <f ca="1">'REF - ASWING STRUCT-Imperial'!BB52*0.413253134140599</f>
        <v>4208961.590931152</v>
      </c>
      <c r="BC52" s="41">
        <f ca="1">'REF - ASWING STRUCT-Imperial'!BC52*0.413253134140599</f>
        <v>0</v>
      </c>
      <c r="BD52" s="41">
        <f ca="1">'REF - ASWING STRUCT-Imperial'!BD52*0.413253134140599</f>
        <v>0</v>
      </c>
      <c r="BE52" s="41">
        <f ca="1">'REF - ASWING STRUCT-Imperial'!BE52*0.413253134140599</f>
        <v>0</v>
      </c>
      <c r="BF52" s="41">
        <f ca="1">'REF - ASWING STRUCT-Imperial'!BF52*0.413253134140599</f>
        <v>23710622.443903752</v>
      </c>
      <c r="BG52" s="41">
        <f ca="1">'REF - ASWING STRUCT-Imperial'!BG52</f>
        <v>0</v>
      </c>
      <c r="BH52" s="41">
        <f ca="1">'REF - ASWING STRUCT-Imperial'!BH52*4.44822</f>
        <v>0</v>
      </c>
      <c r="BI52" s="41">
        <f ca="1">'REF - ASWING STRUCT-Imperial'!BI52*4.44822</f>
        <v>0</v>
      </c>
      <c r="BJ52" s="41">
        <f ca="1">'REF - ASWING STRUCT-Imperial'!BJ52/(2.20462*3.28084)</f>
        <v>0</v>
      </c>
      <c r="BK52" s="41">
        <f ca="1">'REF - ASWING STRUCT-Imperial'!BK52/(2.20462*3.28084)</f>
        <v>0</v>
      </c>
      <c r="BL52" s="41">
        <f ca="1">'REF - ASWING STRUCT-Imperial'!BL52/(2.20462)*3.28084</f>
        <v>32.515823334571103</v>
      </c>
      <c r="BM52" s="41">
        <f ca="1">'REF - ASWING STRUCT-Imperial'!BM52/3.28084</f>
        <v>0.25130319020209946</v>
      </c>
      <c r="BN52" s="41">
        <f ca="1">'REF - ASWING STRUCT-Imperial'!BN52/3.28084</f>
        <v>0</v>
      </c>
      <c r="BO52" s="41">
        <f ca="1">'REF - ASWING STRUCT-Imperial'!BO52/(2.20462*3.28084)</f>
        <v>0</v>
      </c>
      <c r="BP52" s="41">
        <f ca="1">'REF - ASWING STRUCT-Imperial'!BP52/(2.20462*3.28084)</f>
        <v>0</v>
      </c>
      <c r="BQ52" s="41">
        <f ca="1">'REF - ASWING STRUCT-Imperial'!BQ52/(2.20462)*3.28084</f>
        <v>0</v>
      </c>
      <c r="BR52" s="41">
        <f ca="1">'REF - ASWING STRUCT-Imperial'!BR52/3.28084</f>
        <v>0</v>
      </c>
      <c r="BS52" s="41">
        <f ca="1">'REF - ASWING STRUCT-Imperial'!BS52/3.28084</f>
        <v>0</v>
      </c>
      <c r="BT52" s="41">
        <f ca="1">'REF - ASWING STRUCT-Imperial'!BT52/3.28084</f>
        <v>0.13390676090663395</v>
      </c>
      <c r="BU52" s="41">
        <f ca="1">'REF - ASWING STRUCT-Imperial'!BU52/3.28084</f>
        <v>0</v>
      </c>
      <c r="BV52" s="41">
        <f ca="1">'REF - ASWING STRUCT-Imperial'!BV52/3.28084</f>
        <v>0</v>
      </c>
      <c r="BW52" s="41">
        <f ca="1">'REF - ASWING STRUCT-Imperial'!BW52/3.28084</f>
        <v>0</v>
      </c>
      <c r="BX52" s="41">
        <f ca="1">'REF - ASWING STRUCT-Imperial'!BX52</f>
        <v>2E-3</v>
      </c>
      <c r="BY52" s="41">
        <f ca="1">'REF - ASWING STRUCT-Imperial'!BY52</f>
        <v>2E-3</v>
      </c>
      <c r="BZ52" s="41">
        <f ca="1">'REF - ASWING STRUCT-Imperial'!BZ52/3.28084</f>
        <v>0</v>
      </c>
      <c r="CA52" s="41">
        <f ca="1">'REF - ASWING STRUCT-Imperial'!CA52/3.28084</f>
        <v>0.13510575000000002</v>
      </c>
      <c r="CB52" s="41">
        <f ca="1">'REF - ASWING STRUCT-Imperial'!CB52/(3.28084^3)</f>
        <v>2.150447240006037E-4</v>
      </c>
      <c r="CC52" s="41">
        <f ca="1">'REF - ASWING STRUCT-Imperial'!CC52/3.28084</f>
        <v>0</v>
      </c>
      <c r="CD52" s="41">
        <f>'REF - ASWING STRUCT-Imperial'!CD52</f>
        <v>5.4999999999999997E-3</v>
      </c>
      <c r="CE52" s="41">
        <f>'REF - ASWING STRUCT-Imperial'!CE52</f>
        <v>5.4999999999999997E-3</v>
      </c>
      <c r="CF52" s="41">
        <f ca="1">'REF - ASWING STRUCT-Imperial'!CF52/3.28084</f>
        <v>1.5011750000000001</v>
      </c>
      <c r="CG52" s="41">
        <f ca="1">'REF - ASWING STRUCT-Imperial'!CG52</f>
        <v>0.25</v>
      </c>
      <c r="CH52" s="41">
        <f ca="1">'REF - ASWING STRUCT-Imperial'!CH52</f>
        <v>7.85</v>
      </c>
      <c r="CI52" s="41">
        <f ca="1">'REF - ASWING STRUCT-Imperial'!CI52</f>
        <v>-0.15</v>
      </c>
      <c r="CJ52" s="41">
        <f ca="1">'REF - ASWING STRUCT-Imperial'!CJ52</f>
        <v>1.85</v>
      </c>
      <c r="CK52" s="41">
        <f ca="1">'REF - ASWING STRUCT-Imperial'!CK52</f>
        <v>-1.55</v>
      </c>
      <c r="CL52" s="789">
        <f ca="1">'REF - ASWING STRUCT-Imperial'!CL52</f>
        <v>5.9690260418206069</v>
      </c>
      <c r="CM52" s="641">
        <v>9</v>
      </c>
      <c r="CN52" s="643">
        <v>3.1796134</v>
      </c>
      <c r="CO52" s="643">
        <v>0.27</v>
      </c>
      <c r="CP52" s="643">
        <v>3.9167552000000003</v>
      </c>
      <c r="CQ52" s="642">
        <v>0</v>
      </c>
      <c r="CR52" s="643">
        <v>96397.294673056458</v>
      </c>
      <c r="CS52" s="643">
        <v>86724.701815154796</v>
      </c>
      <c r="CT52" s="643">
        <v>0</v>
      </c>
      <c r="CU52" s="643">
        <v>0</v>
      </c>
      <c r="CV52" s="643">
        <v>0</v>
      </c>
      <c r="CW52" s="643">
        <v>1412316.0003939886</v>
      </c>
      <c r="CX52" s="642">
        <v>0</v>
      </c>
      <c r="CY52" s="643">
        <v>0</v>
      </c>
      <c r="CZ52" s="643">
        <v>0</v>
      </c>
      <c r="DA52" s="642">
        <v>0</v>
      </c>
      <c r="DB52" s="642">
        <v>0</v>
      </c>
      <c r="DC52" s="643">
        <v>4.9914659358758033</v>
      </c>
      <c r="DD52" s="643">
        <v>0.11406768863893471</v>
      </c>
      <c r="DE52" s="643">
        <v>0</v>
      </c>
      <c r="DF52" s="642">
        <v>0</v>
      </c>
      <c r="DG52" s="642">
        <v>0</v>
      </c>
      <c r="DH52" s="642">
        <v>0</v>
      </c>
      <c r="DI52" s="643">
        <v>0</v>
      </c>
      <c r="DJ52" s="643">
        <v>0</v>
      </c>
      <c r="DK52" s="643">
        <v>5.6267097223831684E-2</v>
      </c>
      <c r="DL52" s="643">
        <v>0</v>
      </c>
      <c r="DM52" s="643">
        <v>0</v>
      </c>
      <c r="DN52" s="643">
        <v>0</v>
      </c>
      <c r="DO52" s="642">
        <v>2E-3</v>
      </c>
      <c r="DP52" s="642">
        <v>2E-3</v>
      </c>
      <c r="DQ52" s="643">
        <v>0</v>
      </c>
      <c r="DR52" s="643">
        <v>5.6069999999999995E-2</v>
      </c>
      <c r="DS52" s="643">
        <v>3.0864624143162468E-5</v>
      </c>
      <c r="DT52" s="643">
        <v>0</v>
      </c>
      <c r="DU52" s="642">
        <v>5.4999999999999997E-3</v>
      </c>
      <c r="DV52" s="642">
        <v>5.4999999999999997E-3</v>
      </c>
      <c r="DW52" s="643">
        <v>0.623</v>
      </c>
      <c r="DX52" s="642">
        <v>0.25</v>
      </c>
      <c r="DY52" s="642">
        <v>5.9</v>
      </c>
      <c r="DZ52" s="642">
        <v>-0.15</v>
      </c>
      <c r="EA52" s="642">
        <v>2.25</v>
      </c>
      <c r="EB52" s="642">
        <v>-1.65</v>
      </c>
      <c r="EC52" s="642">
        <v>5.9690260418206069</v>
      </c>
      <c r="ED52" s="779">
        <v>9.0000000000000018</v>
      </c>
      <c r="EE52" s="718">
        <v>11.795</v>
      </c>
      <c r="EF52" s="718">
        <v>1.56</v>
      </c>
      <c r="EG52" s="718">
        <v>4.0259999999999998</v>
      </c>
      <c r="EH52" s="719">
        <v>0</v>
      </c>
      <c r="EI52" s="718">
        <v>396078.26174538076</v>
      </c>
      <c r="EJ52" s="718">
        <v>337356.15196988691</v>
      </c>
      <c r="EK52" s="718">
        <v>0</v>
      </c>
      <c r="EL52" s="718">
        <v>0</v>
      </c>
      <c r="EM52" s="718">
        <v>0</v>
      </c>
      <c r="EN52" s="718">
        <v>72934278.999220014</v>
      </c>
      <c r="EO52" s="719">
        <v>0</v>
      </c>
      <c r="EP52" s="718">
        <v>0</v>
      </c>
      <c r="EQ52" s="718">
        <v>0</v>
      </c>
      <c r="ER52" s="719">
        <v>0</v>
      </c>
      <c r="ES52" s="719">
        <v>0</v>
      </c>
      <c r="ET52" s="718">
        <v>28.053839574901563</v>
      </c>
      <c r="EU52" s="718">
        <v>-0.8631953772715506</v>
      </c>
      <c r="EV52" s="718">
        <v>0</v>
      </c>
      <c r="EW52" s="719">
        <v>0</v>
      </c>
      <c r="EX52" s="719">
        <v>0</v>
      </c>
      <c r="EY52" s="719">
        <v>0</v>
      </c>
      <c r="EZ52" s="718">
        <v>0</v>
      </c>
      <c r="FA52" s="718">
        <v>0</v>
      </c>
      <c r="FB52" s="718">
        <v>-1.3186181461323194</v>
      </c>
      <c r="FC52" s="718">
        <v>0</v>
      </c>
      <c r="FD52" s="718">
        <v>0</v>
      </c>
      <c r="FE52" s="718">
        <v>0</v>
      </c>
      <c r="FF52" s="719">
        <v>2E-3</v>
      </c>
      <c r="FG52" s="719">
        <v>2E-3</v>
      </c>
      <c r="FH52" s="718">
        <v>-1.3920000000000001</v>
      </c>
      <c r="FI52" s="718">
        <v>0.20879999999999999</v>
      </c>
      <c r="FJ52" s="718">
        <v>4.2801685261384132E-4</v>
      </c>
      <c r="FK52" s="718">
        <v>0</v>
      </c>
      <c r="FL52" s="719">
        <v>5.4999999999999997E-3</v>
      </c>
      <c r="FM52" s="719">
        <v>5.4999999999999997E-3</v>
      </c>
      <c r="FN52" s="718">
        <v>2.3199999999999998</v>
      </c>
      <c r="FO52" s="719">
        <v>0.85</v>
      </c>
      <c r="FP52" s="719">
        <v>0</v>
      </c>
      <c r="FQ52" s="719">
        <v>0</v>
      </c>
      <c r="FR52" s="719">
        <v>1.4</v>
      </c>
      <c r="FS52" s="719">
        <v>-1.4</v>
      </c>
      <c r="FT52" s="719">
        <v>5.9690260418206069</v>
      </c>
      <c r="FU52" s="782">
        <f t="shared" si="4"/>
        <v>9.0000000000000018</v>
      </c>
      <c r="FV52" s="617">
        <f t="shared" si="5"/>
        <v>11.795</v>
      </c>
      <c r="FW52" s="795">
        <f t="shared" si="6"/>
        <v>-1.56</v>
      </c>
      <c r="FX52" s="617">
        <f t="shared" si="7"/>
        <v>4.0259999999999998</v>
      </c>
      <c r="FY52" s="617">
        <f t="shared" si="8"/>
        <v>0</v>
      </c>
      <c r="FZ52" s="617">
        <f t="shared" si="9"/>
        <v>396078.26174538076</v>
      </c>
      <c r="GA52" s="617">
        <f t="shared" si="10"/>
        <v>337356.15196988691</v>
      </c>
      <c r="GB52" s="617">
        <f t="shared" si="11"/>
        <v>0</v>
      </c>
      <c r="GC52" s="617">
        <f t="shared" si="12"/>
        <v>0</v>
      </c>
      <c r="GD52" s="617">
        <f t="shared" si="13"/>
        <v>0</v>
      </c>
      <c r="GE52" s="617">
        <f t="shared" si="14"/>
        <v>72934278.999220014</v>
      </c>
      <c r="GF52" s="617">
        <f t="shared" si="15"/>
        <v>0</v>
      </c>
      <c r="GG52" s="617">
        <f t="shared" si="16"/>
        <v>0</v>
      </c>
      <c r="GH52" s="617">
        <f t="shared" si="17"/>
        <v>0</v>
      </c>
      <c r="GI52" s="617">
        <f t="shared" si="18"/>
        <v>0</v>
      </c>
      <c r="GJ52" s="617">
        <f t="shared" si="19"/>
        <v>0</v>
      </c>
      <c r="GK52" s="617">
        <f t="shared" si="20"/>
        <v>28.053839574901563</v>
      </c>
      <c r="GL52" s="617">
        <f t="shared" si="21"/>
        <v>-0.8631953772715506</v>
      </c>
      <c r="GM52" s="617">
        <f t="shared" si="22"/>
        <v>0</v>
      </c>
      <c r="GN52" s="617">
        <f t="shared" si="23"/>
        <v>0</v>
      </c>
      <c r="GO52" s="617">
        <f t="shared" si="24"/>
        <v>0</v>
      </c>
      <c r="GP52" s="617">
        <f t="shared" si="25"/>
        <v>0</v>
      </c>
      <c r="GQ52" s="617">
        <f t="shared" si="26"/>
        <v>0</v>
      </c>
      <c r="GR52" s="617">
        <f t="shared" si="27"/>
        <v>0</v>
      </c>
      <c r="GS52" s="617">
        <f t="shared" si="28"/>
        <v>-1.3186181461323194</v>
      </c>
      <c r="GT52" s="617">
        <f t="shared" si="29"/>
        <v>0</v>
      </c>
      <c r="GU52" s="617">
        <f t="shared" si="30"/>
        <v>0</v>
      </c>
      <c r="GV52" s="617">
        <f t="shared" si="31"/>
        <v>0</v>
      </c>
      <c r="GW52" s="617">
        <f t="shared" si="32"/>
        <v>2E-3</v>
      </c>
      <c r="GX52" s="617">
        <f t="shared" si="33"/>
        <v>2E-3</v>
      </c>
      <c r="GY52" s="617">
        <f t="shared" si="34"/>
        <v>-1.3920000000000001</v>
      </c>
      <c r="GZ52" s="617">
        <f t="shared" si="35"/>
        <v>0.20879999999999999</v>
      </c>
      <c r="HA52" s="617">
        <f t="shared" si="36"/>
        <v>4.2801685261384132E-4</v>
      </c>
      <c r="HB52" s="617">
        <f t="shared" si="37"/>
        <v>0</v>
      </c>
      <c r="HC52" s="617">
        <f t="shared" si="38"/>
        <v>5.4999999999999997E-3</v>
      </c>
      <c r="HD52" s="617">
        <f t="shared" si="39"/>
        <v>5.4999999999999997E-3</v>
      </c>
      <c r="HE52" s="617">
        <f t="shared" si="40"/>
        <v>2.3199999999999998</v>
      </c>
      <c r="HF52" s="617">
        <f t="shared" si="41"/>
        <v>0.85</v>
      </c>
      <c r="HG52" s="617">
        <f t="shared" si="42"/>
        <v>0</v>
      </c>
      <c r="HH52" s="617">
        <f t="shared" si="43"/>
        <v>0</v>
      </c>
      <c r="HI52" s="617">
        <f t="shared" si="44"/>
        <v>1.4</v>
      </c>
      <c r="HJ52" s="617">
        <f t="shared" si="45"/>
        <v>-1.4</v>
      </c>
      <c r="HK52" s="617">
        <f t="shared" si="46"/>
        <v>5.9690260418206069</v>
      </c>
    </row>
    <row r="53" spans="1:219" x14ac:dyDescent="0.25">
      <c r="A53" s="745" t="s">
        <v>1038</v>
      </c>
      <c r="B53" s="749">
        <v>-350</v>
      </c>
      <c r="C53" s="750">
        <v>0</v>
      </c>
      <c r="D53" s="751">
        <v>-2000</v>
      </c>
      <c r="E53" s="811">
        <f t="shared" si="47"/>
        <v>7.65</v>
      </c>
      <c r="F53" s="670">
        <f t="shared" ref="F53:F57" si="48">(C53+C$79)/10^3</f>
        <v>0</v>
      </c>
      <c r="G53" s="670">
        <f t="shared" ref="G53:G57" si="49">(D53+D$79)/10^3</f>
        <v>2.2000000000000002</v>
      </c>
      <c r="H53" s="668">
        <v>150</v>
      </c>
      <c r="I53" s="668">
        <v>1</v>
      </c>
      <c r="J53" s="204">
        <v>0</v>
      </c>
      <c r="K53" s="575">
        <v>6</v>
      </c>
      <c r="L53" s="554">
        <f>L52</f>
        <v>4.13</v>
      </c>
      <c r="M53">
        <v>2</v>
      </c>
      <c r="N53" s="626">
        <f>W50/MAX($CO$50:$CO$71)*MAX($CM$50:$CM$71)</f>
        <v>-52</v>
      </c>
      <c r="O53" s="576">
        <v>0</v>
      </c>
      <c r="P53" s="580"/>
      <c r="AU53" s="594"/>
      <c r="AV53" s="575">
        <f ca="1">'REF - ASWING STRUCT-Imperial'!AV53</f>
        <v>14.000000000000002</v>
      </c>
      <c r="AW53" s="787">
        <f ca="1">'REF - ASWING STRUCT-Imperial'!AW53/3.28084</f>
        <v>7.2962922999999993</v>
      </c>
      <c r="AX53" s="660">
        <f ca="1">'REF - ASWING STRUCT-Imperial'!AX53/3.28084</f>
        <v>1.023898</v>
      </c>
      <c r="AY53" s="660">
        <f ca="1">'REF - ASWING STRUCT-Imperial'!AY53/3.28084</f>
        <v>2.4898129999999998</v>
      </c>
      <c r="AZ53" s="41">
        <f ca="1">'REF - ASWING STRUCT-Imperial'!AZ53</f>
        <v>0</v>
      </c>
      <c r="BA53" s="41">
        <f ca="1">'REF - ASWING STRUCT-Imperial'!BA53*0.413253134140599</f>
        <v>1432589.9253609807</v>
      </c>
      <c r="BB53" s="41">
        <f ca="1">'REF - ASWING STRUCT-Imperial'!BB53*0.413253134140599</f>
        <v>3321045.0481313895</v>
      </c>
      <c r="BC53" s="41">
        <f ca="1">'REF - ASWING STRUCT-Imperial'!BC53*0.413253134140599</f>
        <v>0</v>
      </c>
      <c r="BD53" s="41">
        <f ca="1">'REF - ASWING STRUCT-Imperial'!BD53*0.413253134140599</f>
        <v>0</v>
      </c>
      <c r="BE53" s="41">
        <f ca="1">'REF - ASWING STRUCT-Imperial'!BE53*0.413253134140599</f>
        <v>0</v>
      </c>
      <c r="BF53" s="41">
        <f ca="1">'REF - ASWING STRUCT-Imperial'!BF53*0.413253134140599</f>
        <v>22448412.3252059</v>
      </c>
      <c r="BG53" s="41">
        <f ca="1">'REF - ASWING STRUCT-Imperial'!BG53</f>
        <v>0</v>
      </c>
      <c r="BH53" s="41">
        <f ca="1">'REF - ASWING STRUCT-Imperial'!BH53*4.44822</f>
        <v>0</v>
      </c>
      <c r="BI53" s="41">
        <f ca="1">'REF - ASWING STRUCT-Imperial'!BI53*4.44822</f>
        <v>0</v>
      </c>
      <c r="BJ53" s="41">
        <f ca="1">'REF - ASWING STRUCT-Imperial'!BJ53/(2.20462*3.28084)</f>
        <v>0</v>
      </c>
      <c r="BK53" s="41">
        <f ca="1">'REF - ASWING STRUCT-Imperial'!BK53/(2.20462*3.28084)</f>
        <v>0</v>
      </c>
      <c r="BL53" s="41">
        <f ca="1">'REF - ASWING STRUCT-Imperial'!BL53/(2.20462)*3.28084</f>
        <v>30.463394297867744</v>
      </c>
      <c r="BM53" s="41">
        <f ca="1">'REF - ASWING STRUCT-Imperial'!BM53/3.28084</f>
        <v>0.25843332057475082</v>
      </c>
      <c r="BN53" s="41">
        <f ca="1">'REF - ASWING STRUCT-Imperial'!BN53/3.28084</f>
        <v>0</v>
      </c>
      <c r="BO53" s="41">
        <f ca="1">'REF - ASWING STRUCT-Imperial'!BO53/(2.20462*3.28084)</f>
        <v>0</v>
      </c>
      <c r="BP53" s="41">
        <f ca="1">'REF - ASWING STRUCT-Imperial'!BP53/(2.20462*3.28084)</f>
        <v>0</v>
      </c>
      <c r="BQ53" s="41">
        <f ca="1">'REF - ASWING STRUCT-Imperial'!BQ53/(2.20462)*3.28084</f>
        <v>0</v>
      </c>
      <c r="BR53" s="41">
        <f ca="1">'REF - ASWING STRUCT-Imperial'!BR53/3.28084</f>
        <v>0</v>
      </c>
      <c r="BS53" s="41">
        <f ca="1">'REF - ASWING STRUCT-Imperial'!BS53/3.28084</f>
        <v>0</v>
      </c>
      <c r="BT53" s="41">
        <f ca="1">'REF - ASWING STRUCT-Imperial'!BT53/3.28084</f>
        <v>0.13152177068549695</v>
      </c>
      <c r="BU53" s="41">
        <f ca="1">'REF - ASWING STRUCT-Imperial'!BU53/3.28084</f>
        <v>0</v>
      </c>
      <c r="BV53" s="41">
        <f ca="1">'REF - ASWING STRUCT-Imperial'!BV53/3.28084</f>
        <v>0</v>
      </c>
      <c r="BW53" s="41">
        <f ca="1">'REF - ASWING STRUCT-Imperial'!BW53/3.28084</f>
        <v>0</v>
      </c>
      <c r="BX53" s="41">
        <f ca="1">'REF - ASWING STRUCT-Imperial'!BX53</f>
        <v>2E-3</v>
      </c>
      <c r="BY53" s="41">
        <f ca="1">'REF - ASWING STRUCT-Imperial'!BY53</f>
        <v>2E-3</v>
      </c>
      <c r="BZ53" s="41">
        <f ca="1">'REF - ASWING STRUCT-Imperial'!BZ53/3.28084</f>
        <v>0</v>
      </c>
      <c r="CA53" s="41">
        <f ca="1">'REF - ASWING STRUCT-Imperial'!CA53/3.28084</f>
        <v>0.13266450000000002</v>
      </c>
      <c r="CB53" s="41">
        <f ca="1">'REF - ASWING STRUCT-Imperial'!CB53/(3.28084^3)</f>
        <v>2.0734357179483085E-4</v>
      </c>
      <c r="CC53" s="41">
        <f ca="1">'REF - ASWING STRUCT-Imperial'!CC53/3.28084</f>
        <v>0</v>
      </c>
      <c r="CD53" s="41">
        <f>'REF - ASWING STRUCT-Imperial'!CD53</f>
        <v>5.4999999999999997E-3</v>
      </c>
      <c r="CE53" s="41">
        <f>'REF - ASWING STRUCT-Imperial'!CE53</f>
        <v>5.4999999999999997E-3</v>
      </c>
      <c r="CF53" s="41">
        <f ca="1">'REF - ASWING STRUCT-Imperial'!CF53/3.28084</f>
        <v>1.4740500000000001</v>
      </c>
      <c r="CG53" s="41">
        <f ca="1">'REF - ASWING STRUCT-Imperial'!CG53</f>
        <v>0.25</v>
      </c>
      <c r="CH53" s="41">
        <f ca="1">'REF - ASWING STRUCT-Imperial'!CH53</f>
        <v>6.85</v>
      </c>
      <c r="CI53" s="41">
        <f ca="1">'REF - ASWING STRUCT-Imperial'!CI53</f>
        <v>-0.15</v>
      </c>
      <c r="CJ53" s="41">
        <f ca="1">'REF - ASWING STRUCT-Imperial'!CJ53</f>
        <v>1.85</v>
      </c>
      <c r="CK53" s="41">
        <f ca="1">'REF - ASWING STRUCT-Imperial'!CK53</f>
        <v>-1.55</v>
      </c>
      <c r="CL53" s="789">
        <f ca="1">'REF - ASWING STRUCT-Imperial'!CL53</f>
        <v>5.9690260418206069</v>
      </c>
      <c r="CM53" s="641">
        <v>14.000000000000002</v>
      </c>
      <c r="CN53" s="643">
        <v>3.1833633999999997</v>
      </c>
      <c r="CO53" s="643">
        <v>0.42000000000000004</v>
      </c>
      <c r="CP53" s="643">
        <v>3.9167552000000003</v>
      </c>
      <c r="CQ53" s="642">
        <v>0</v>
      </c>
      <c r="CR53" s="643">
        <v>76652.804816454474</v>
      </c>
      <c r="CS53" s="643">
        <v>68125.586888411679</v>
      </c>
      <c r="CT53" s="643">
        <v>0</v>
      </c>
      <c r="CU53" s="643">
        <v>0</v>
      </c>
      <c r="CV53" s="643">
        <v>0</v>
      </c>
      <c r="CW53" s="643">
        <v>1312739.2700792004</v>
      </c>
      <c r="CX53" s="642">
        <v>0</v>
      </c>
      <c r="CY53" s="643">
        <v>0</v>
      </c>
      <c r="CZ53" s="643">
        <v>0</v>
      </c>
      <c r="DA53" s="642">
        <v>0</v>
      </c>
      <c r="DB53" s="642">
        <v>0</v>
      </c>
      <c r="DC53" s="643">
        <v>4.7191468893011512</v>
      </c>
      <c r="DD53" s="643">
        <v>0.11485084670915716</v>
      </c>
      <c r="DE53" s="643">
        <v>0</v>
      </c>
      <c r="DF53" s="642">
        <v>0</v>
      </c>
      <c r="DG53" s="642">
        <v>0</v>
      </c>
      <c r="DH53" s="642">
        <v>0</v>
      </c>
      <c r="DI53" s="643">
        <v>0</v>
      </c>
      <c r="DJ53" s="643">
        <v>0</v>
      </c>
      <c r="DK53" s="643">
        <v>5.5039673514074614E-2</v>
      </c>
      <c r="DL53" s="643">
        <v>0</v>
      </c>
      <c r="DM53" s="643">
        <v>0</v>
      </c>
      <c r="DN53" s="643">
        <v>0</v>
      </c>
      <c r="DO53" s="642">
        <v>2E-3</v>
      </c>
      <c r="DP53" s="642">
        <v>2E-3</v>
      </c>
      <c r="DQ53" s="643">
        <v>0</v>
      </c>
      <c r="DR53" s="643">
        <v>5.4719999999999998E-2</v>
      </c>
      <c r="DS53" s="643">
        <v>2.9396258510077854E-5</v>
      </c>
      <c r="DT53" s="643">
        <v>0</v>
      </c>
      <c r="DU53" s="642">
        <v>5.4999999999999997E-3</v>
      </c>
      <c r="DV53" s="642">
        <v>5.4999999999999997E-3</v>
      </c>
      <c r="DW53" s="643">
        <v>0.60799999999999998</v>
      </c>
      <c r="DX53" s="642">
        <v>0.25</v>
      </c>
      <c r="DY53" s="642">
        <v>5.9</v>
      </c>
      <c r="DZ53" s="642">
        <v>-0.15</v>
      </c>
      <c r="EA53" s="642">
        <v>2.25</v>
      </c>
      <c r="EB53" s="642">
        <v>-1.65</v>
      </c>
      <c r="EC53" s="642">
        <v>5.9690260418206069</v>
      </c>
      <c r="ED53" s="779">
        <v>14.000000000000002</v>
      </c>
      <c r="EE53" s="718">
        <v>11.82</v>
      </c>
      <c r="EF53" s="718">
        <v>1.56</v>
      </c>
      <c r="EG53" s="718">
        <v>4.0960000000000001</v>
      </c>
      <c r="EH53" s="719">
        <v>0</v>
      </c>
      <c r="EI53" s="718">
        <v>298823.08155680675</v>
      </c>
      <c r="EJ53" s="718">
        <v>259496.05325714796</v>
      </c>
      <c r="EK53" s="718">
        <v>0</v>
      </c>
      <c r="EL53" s="718">
        <v>0</v>
      </c>
      <c r="EM53" s="718">
        <v>0</v>
      </c>
      <c r="EN53" s="718">
        <v>63903796.87178538</v>
      </c>
      <c r="EO53" s="719">
        <v>0</v>
      </c>
      <c r="EP53" s="718">
        <v>0</v>
      </c>
      <c r="EQ53" s="718">
        <v>0</v>
      </c>
      <c r="ER53" s="719">
        <v>0</v>
      </c>
      <c r="ES53" s="719">
        <v>0</v>
      </c>
      <c r="ET53" s="718">
        <v>26.821905032142681</v>
      </c>
      <c r="EU53" s="718">
        <v>-0.82618805405015516</v>
      </c>
      <c r="EV53" s="718">
        <v>0</v>
      </c>
      <c r="EW53" s="719">
        <v>0</v>
      </c>
      <c r="EX53" s="719">
        <v>0</v>
      </c>
      <c r="EY53" s="719">
        <v>0</v>
      </c>
      <c r="EZ53" s="718">
        <v>0</v>
      </c>
      <c r="FA53" s="718">
        <v>0</v>
      </c>
      <c r="FB53" s="718">
        <v>-1.2148725401440972</v>
      </c>
      <c r="FC53" s="718">
        <v>0</v>
      </c>
      <c r="FD53" s="718">
        <v>0</v>
      </c>
      <c r="FE53" s="718">
        <v>0</v>
      </c>
      <c r="FF53" s="719">
        <v>2E-3</v>
      </c>
      <c r="FG53" s="719">
        <v>2E-3</v>
      </c>
      <c r="FH53" s="718">
        <v>-1.3319999999999999</v>
      </c>
      <c r="FI53" s="718">
        <v>0.19979999999999998</v>
      </c>
      <c r="FJ53" s="718">
        <v>3.9191406369315848E-4</v>
      </c>
      <c r="FK53" s="718">
        <v>0</v>
      </c>
      <c r="FL53" s="719">
        <v>5.4999999999999997E-3</v>
      </c>
      <c r="FM53" s="719">
        <v>5.4999999999999997E-3</v>
      </c>
      <c r="FN53" s="718">
        <v>2.2200000000000002</v>
      </c>
      <c r="FO53" s="719">
        <v>0.85</v>
      </c>
      <c r="FP53" s="719">
        <v>0</v>
      </c>
      <c r="FQ53" s="719">
        <v>0</v>
      </c>
      <c r="FR53" s="719">
        <v>1.4</v>
      </c>
      <c r="FS53" s="719">
        <v>-1.4</v>
      </c>
      <c r="FT53" s="719">
        <v>5.9690260418206069</v>
      </c>
      <c r="FU53" s="782">
        <f t="shared" si="4"/>
        <v>14.000000000000002</v>
      </c>
      <c r="FV53" s="617">
        <f t="shared" si="5"/>
        <v>11.82</v>
      </c>
      <c r="FW53" s="795">
        <f t="shared" si="6"/>
        <v>-1.56</v>
      </c>
      <c r="FX53" s="617">
        <f t="shared" si="7"/>
        <v>4.0960000000000001</v>
      </c>
      <c r="FY53" s="617">
        <f t="shared" si="8"/>
        <v>0</v>
      </c>
      <c r="FZ53" s="617">
        <f t="shared" si="9"/>
        <v>298823.08155680675</v>
      </c>
      <c r="GA53" s="617">
        <f t="shared" si="10"/>
        <v>259496.05325714796</v>
      </c>
      <c r="GB53" s="617">
        <f t="shared" si="11"/>
        <v>0</v>
      </c>
      <c r="GC53" s="617">
        <f t="shared" si="12"/>
        <v>0</v>
      </c>
      <c r="GD53" s="617">
        <f t="shared" si="13"/>
        <v>0</v>
      </c>
      <c r="GE53" s="617">
        <f t="shared" si="14"/>
        <v>63903796.87178538</v>
      </c>
      <c r="GF53" s="617">
        <f t="shared" si="15"/>
        <v>0</v>
      </c>
      <c r="GG53" s="617">
        <f t="shared" si="16"/>
        <v>0</v>
      </c>
      <c r="GH53" s="617">
        <f t="shared" si="17"/>
        <v>0</v>
      </c>
      <c r="GI53" s="617">
        <f t="shared" si="18"/>
        <v>0</v>
      </c>
      <c r="GJ53" s="617">
        <f t="shared" si="19"/>
        <v>0</v>
      </c>
      <c r="GK53" s="617">
        <f t="shared" si="20"/>
        <v>26.821905032142681</v>
      </c>
      <c r="GL53" s="617">
        <f t="shared" si="21"/>
        <v>-0.82618805405015516</v>
      </c>
      <c r="GM53" s="617">
        <f t="shared" si="22"/>
        <v>0</v>
      </c>
      <c r="GN53" s="617">
        <f t="shared" si="23"/>
        <v>0</v>
      </c>
      <c r="GO53" s="617">
        <f t="shared" si="24"/>
        <v>0</v>
      </c>
      <c r="GP53" s="617">
        <f t="shared" si="25"/>
        <v>0</v>
      </c>
      <c r="GQ53" s="617">
        <f t="shared" si="26"/>
        <v>0</v>
      </c>
      <c r="GR53" s="617">
        <f t="shared" si="27"/>
        <v>0</v>
      </c>
      <c r="GS53" s="617">
        <f t="shared" si="28"/>
        <v>-1.2148725401440972</v>
      </c>
      <c r="GT53" s="617">
        <f t="shared" si="29"/>
        <v>0</v>
      </c>
      <c r="GU53" s="617">
        <f t="shared" si="30"/>
        <v>0</v>
      </c>
      <c r="GV53" s="617">
        <f t="shared" si="31"/>
        <v>0</v>
      </c>
      <c r="GW53" s="617">
        <f t="shared" si="32"/>
        <v>2E-3</v>
      </c>
      <c r="GX53" s="617">
        <f t="shared" si="33"/>
        <v>2E-3</v>
      </c>
      <c r="GY53" s="617">
        <f t="shared" si="34"/>
        <v>-1.3319999999999999</v>
      </c>
      <c r="GZ53" s="617">
        <f t="shared" si="35"/>
        <v>0.19979999999999998</v>
      </c>
      <c r="HA53" s="617">
        <f t="shared" si="36"/>
        <v>3.9191406369315848E-4</v>
      </c>
      <c r="HB53" s="617">
        <f t="shared" si="37"/>
        <v>0</v>
      </c>
      <c r="HC53" s="617">
        <f t="shared" si="38"/>
        <v>5.4999999999999997E-3</v>
      </c>
      <c r="HD53" s="617">
        <f t="shared" si="39"/>
        <v>5.4999999999999997E-3</v>
      </c>
      <c r="HE53" s="617">
        <f t="shared" si="40"/>
        <v>2.2200000000000002</v>
      </c>
      <c r="HF53" s="617">
        <f t="shared" si="41"/>
        <v>0.85</v>
      </c>
      <c r="HG53" s="617">
        <f t="shared" si="42"/>
        <v>0</v>
      </c>
      <c r="HH53" s="617">
        <f t="shared" si="43"/>
        <v>0</v>
      </c>
      <c r="HI53" s="617">
        <f t="shared" si="44"/>
        <v>1.4</v>
      </c>
      <c r="HJ53" s="617">
        <f t="shared" si="45"/>
        <v>-1.4</v>
      </c>
      <c r="HK53" s="617">
        <f t="shared" si="46"/>
        <v>5.9690260418206069</v>
      </c>
    </row>
    <row r="54" spans="1:219" x14ac:dyDescent="0.25">
      <c r="A54" s="745" t="s">
        <v>1039</v>
      </c>
      <c r="B54" s="749">
        <v>350</v>
      </c>
      <c r="C54" s="750">
        <v>0</v>
      </c>
      <c r="D54" s="751">
        <v>-2000</v>
      </c>
      <c r="E54" s="811">
        <f t="shared" si="47"/>
        <v>8.35</v>
      </c>
      <c r="F54" s="670">
        <f t="shared" si="48"/>
        <v>0</v>
      </c>
      <c r="G54" s="670">
        <f t="shared" si="49"/>
        <v>2.2000000000000002</v>
      </c>
      <c r="H54" s="668">
        <v>150</v>
      </c>
      <c r="I54" s="668">
        <v>1</v>
      </c>
      <c r="J54" s="204">
        <v>0</v>
      </c>
      <c r="K54" s="575">
        <v>1</v>
      </c>
      <c r="L54" s="626">
        <f ca="1">AB50/MAX(AX50:AX100)*MAX(AV50:AV100)</f>
        <v>21.264130764589989</v>
      </c>
      <c r="M54">
        <v>7</v>
      </c>
      <c r="N54">
        <f>MIN(AA50:AA51)</f>
        <v>9.3823767999999994</v>
      </c>
      <c r="O54" s="576">
        <v>0</v>
      </c>
      <c r="P54" s="580"/>
      <c r="AU54" s="594"/>
      <c r="AV54" s="575">
        <f ca="1">'REF - ASWING STRUCT-Imperial'!AV54</f>
        <v>19</v>
      </c>
      <c r="AW54" s="787">
        <f ca="1">'REF - ASWING STRUCT-Imperial'!AW54/3.28084</f>
        <v>7.3030735499999988</v>
      </c>
      <c r="AX54" s="660">
        <f ca="1">'REF - ASWING STRUCT-Imperial'!AX54/3.28084</f>
        <v>1.390898</v>
      </c>
      <c r="AY54" s="660">
        <f ca="1">'REF - ASWING STRUCT-Imperial'!AY54/3.28084</f>
        <v>2.4898129999999998</v>
      </c>
      <c r="AZ54" s="41">
        <f ca="1">'REF - ASWING STRUCT-Imperial'!AZ54</f>
        <v>0</v>
      </c>
      <c r="BA54" s="41">
        <f ca="1">'REF - ASWING STRUCT-Imperial'!BA54*0.413253134140599</f>
        <v>1316607.9623903956</v>
      </c>
      <c r="BB54" s="41">
        <f ca="1">'REF - ASWING STRUCT-Imperial'!BB54*0.413253134140599</f>
        <v>3199943.9940844984</v>
      </c>
      <c r="BC54" s="41">
        <f ca="1">'REF - ASWING STRUCT-Imperial'!BC54*0.413253134140599</f>
        <v>0</v>
      </c>
      <c r="BD54" s="41">
        <f ca="1">'REF - ASWING STRUCT-Imperial'!BD54*0.413253134140599</f>
        <v>0</v>
      </c>
      <c r="BE54" s="41">
        <f ca="1">'REF - ASWING STRUCT-Imperial'!BE54*0.413253134140599</f>
        <v>0</v>
      </c>
      <c r="BF54" s="41">
        <f ca="1">'REF - ASWING STRUCT-Imperial'!BF54*0.413253134140599</f>
        <v>21231811.352945954</v>
      </c>
      <c r="BG54" s="41">
        <f ca="1">'REF - ASWING STRUCT-Imperial'!BG54</f>
        <v>0</v>
      </c>
      <c r="BH54" s="41">
        <f ca="1">'REF - ASWING STRUCT-Imperial'!BH54*4.44822</f>
        <v>0</v>
      </c>
      <c r="BI54" s="41">
        <f ca="1">'REF - ASWING STRUCT-Imperial'!BI54*4.44822</f>
        <v>0</v>
      </c>
      <c r="BJ54" s="41">
        <f ca="1">'REF - ASWING STRUCT-Imperial'!BJ54/(2.20462*3.28084)</f>
        <v>0</v>
      </c>
      <c r="BK54" s="41">
        <f ca="1">'REF - ASWING STRUCT-Imperial'!BK54/(2.20462*3.28084)</f>
        <v>0</v>
      </c>
      <c r="BL54" s="41">
        <f ca="1">'REF - ASWING STRUCT-Imperial'!BL54/(2.20462)*3.28084</f>
        <v>30.028106484348513</v>
      </c>
      <c r="BM54" s="41">
        <f ca="1">'REF - ASWING STRUCT-Imperial'!BM54/3.28084</f>
        <v>0.25261977845472</v>
      </c>
      <c r="BN54" s="41">
        <f ca="1">'REF - ASWING STRUCT-Imperial'!BN54/3.28084</f>
        <v>0</v>
      </c>
      <c r="BO54" s="41">
        <f ca="1">'REF - ASWING STRUCT-Imperial'!BO54/(2.20462*3.28084)</f>
        <v>0</v>
      </c>
      <c r="BP54" s="41">
        <f ca="1">'REF - ASWING STRUCT-Imperial'!BP54/(2.20462*3.28084)</f>
        <v>0</v>
      </c>
      <c r="BQ54" s="41">
        <f ca="1">'REF - ASWING STRUCT-Imperial'!BQ54/(2.20462)*3.28084</f>
        <v>0</v>
      </c>
      <c r="BR54" s="41">
        <f ca="1">'REF - ASWING STRUCT-Imperial'!BR54/3.28084</f>
        <v>0</v>
      </c>
      <c r="BS54" s="41">
        <f ca="1">'REF - ASWING STRUCT-Imperial'!BS54/3.28084</f>
        <v>0</v>
      </c>
      <c r="BT54" s="41">
        <f ca="1">'REF - ASWING STRUCT-Imperial'!BT54/3.28084</f>
        <v>0.12912141193345786</v>
      </c>
      <c r="BU54" s="41">
        <f ca="1">'REF - ASWING STRUCT-Imperial'!BU54/3.28084</f>
        <v>0</v>
      </c>
      <c r="BV54" s="41">
        <f ca="1">'REF - ASWING STRUCT-Imperial'!BV54/3.28084</f>
        <v>0</v>
      </c>
      <c r="BW54" s="41">
        <f ca="1">'REF - ASWING STRUCT-Imperial'!BW54/3.28084</f>
        <v>0</v>
      </c>
      <c r="BX54" s="41">
        <f ca="1">'REF - ASWING STRUCT-Imperial'!BX54</f>
        <v>2E-3</v>
      </c>
      <c r="BY54" s="41">
        <f ca="1">'REF - ASWING STRUCT-Imperial'!BY54</f>
        <v>2E-3</v>
      </c>
      <c r="BZ54" s="41">
        <f ca="1">'REF - ASWING STRUCT-Imperial'!BZ54/3.28084</f>
        <v>0</v>
      </c>
      <c r="CA54" s="41">
        <f ca="1">'REF - ASWING STRUCT-Imperial'!CA54/3.28084</f>
        <v>0.13022324999999998</v>
      </c>
      <c r="CB54" s="41">
        <f ca="1">'REF - ASWING STRUCT-Imperial'!CB54/(3.28084^3)</f>
        <v>1.9978284174441204E-4</v>
      </c>
      <c r="CC54" s="41">
        <f ca="1">'REF - ASWING STRUCT-Imperial'!CC54/3.28084</f>
        <v>0</v>
      </c>
      <c r="CD54" s="41">
        <f>'REF - ASWING STRUCT-Imperial'!CD54</f>
        <v>5.4999999999999997E-3</v>
      </c>
      <c r="CE54" s="41">
        <f>'REF - ASWING STRUCT-Imperial'!CE54</f>
        <v>5.4999999999999997E-3</v>
      </c>
      <c r="CF54" s="41">
        <f ca="1">'REF - ASWING STRUCT-Imperial'!CF54/3.28084</f>
        <v>1.446925</v>
      </c>
      <c r="CG54" s="41">
        <f ca="1">'REF - ASWING STRUCT-Imperial'!CG54</f>
        <v>0.25</v>
      </c>
      <c r="CH54" s="41">
        <f ca="1">'REF - ASWING STRUCT-Imperial'!CH54</f>
        <v>5.85</v>
      </c>
      <c r="CI54" s="41">
        <f ca="1">'REF - ASWING STRUCT-Imperial'!CI54</f>
        <v>-0.15</v>
      </c>
      <c r="CJ54" s="41">
        <f ca="1">'REF - ASWING STRUCT-Imperial'!CJ54</f>
        <v>1.85</v>
      </c>
      <c r="CK54" s="41">
        <f ca="1">'REF - ASWING STRUCT-Imperial'!CK54</f>
        <v>-1.55</v>
      </c>
      <c r="CL54" s="789">
        <f ca="1">'REF - ASWING STRUCT-Imperial'!CL54</f>
        <v>5.9690260418206069</v>
      </c>
      <c r="CM54" s="641">
        <v>19.000000000000004</v>
      </c>
      <c r="CN54" s="643">
        <v>3.1871133999999999</v>
      </c>
      <c r="CO54" s="643">
        <v>0.57000000000000006</v>
      </c>
      <c r="CP54" s="643">
        <v>3.9167552000000003</v>
      </c>
      <c r="CQ54" s="642">
        <v>0</v>
      </c>
      <c r="CR54" s="643">
        <v>71564.764660668501</v>
      </c>
      <c r="CS54" s="643">
        <v>64805.592385850687</v>
      </c>
      <c r="CT54" s="643">
        <v>0</v>
      </c>
      <c r="CU54" s="643">
        <v>0</v>
      </c>
      <c r="CV54" s="643">
        <v>0</v>
      </c>
      <c r="CW54" s="643">
        <v>1217956.6176692322</v>
      </c>
      <c r="CX54" s="642">
        <v>0</v>
      </c>
      <c r="CY54" s="643">
        <v>0</v>
      </c>
      <c r="CZ54" s="643">
        <v>0</v>
      </c>
      <c r="DA54" s="642">
        <v>0</v>
      </c>
      <c r="DB54" s="642">
        <v>0</v>
      </c>
      <c r="DC54" s="643">
        <v>4.6224484220435063</v>
      </c>
      <c r="DD54" s="643">
        <v>0.11153423651186907</v>
      </c>
      <c r="DE54" s="643">
        <v>0</v>
      </c>
      <c r="DF54" s="642">
        <v>0</v>
      </c>
      <c r="DG54" s="642">
        <v>0</v>
      </c>
      <c r="DH54" s="642">
        <v>0</v>
      </c>
      <c r="DI54" s="643">
        <v>0</v>
      </c>
      <c r="DJ54" s="643">
        <v>0</v>
      </c>
      <c r="DK54" s="643">
        <v>5.3822378582930437E-2</v>
      </c>
      <c r="DL54" s="643">
        <v>0</v>
      </c>
      <c r="DM54" s="643">
        <v>0</v>
      </c>
      <c r="DN54" s="643">
        <v>0</v>
      </c>
      <c r="DO54" s="642">
        <v>2E-3</v>
      </c>
      <c r="DP54" s="642">
        <v>2E-3</v>
      </c>
      <c r="DQ54" s="643">
        <v>0</v>
      </c>
      <c r="DR54" s="643">
        <v>5.3370000000000001E-2</v>
      </c>
      <c r="DS54" s="643">
        <v>2.7963677579667951E-5</v>
      </c>
      <c r="DT54" s="643">
        <v>0</v>
      </c>
      <c r="DU54" s="642">
        <v>5.4999999999999997E-3</v>
      </c>
      <c r="DV54" s="642">
        <v>5.4999999999999997E-3</v>
      </c>
      <c r="DW54" s="643">
        <v>0.59300000000000008</v>
      </c>
      <c r="DX54" s="642">
        <v>0.25</v>
      </c>
      <c r="DY54" s="642">
        <v>5.9</v>
      </c>
      <c r="DZ54" s="642">
        <v>-0.15</v>
      </c>
      <c r="EA54" s="642">
        <v>2.25</v>
      </c>
      <c r="EB54" s="642">
        <v>-1.65</v>
      </c>
      <c r="EC54" s="642">
        <v>5.9690260418206069</v>
      </c>
      <c r="ED54" s="779">
        <v>19</v>
      </c>
      <c r="EE54" s="718">
        <v>11.844999999999999</v>
      </c>
      <c r="EF54" s="718">
        <v>1.56</v>
      </c>
      <c r="EG54" s="718">
        <v>4.1660000000000004</v>
      </c>
      <c r="EH54" s="719">
        <v>0</v>
      </c>
      <c r="EI54" s="718">
        <v>265542.63195443543</v>
      </c>
      <c r="EJ54" s="718">
        <v>236644.56248659312</v>
      </c>
      <c r="EK54" s="718">
        <v>0</v>
      </c>
      <c r="EL54" s="718">
        <v>0</v>
      </c>
      <c r="EM54" s="718">
        <v>0</v>
      </c>
      <c r="EN54" s="718">
        <v>55651301.071009912</v>
      </c>
      <c r="EO54" s="719">
        <v>0</v>
      </c>
      <c r="EP54" s="718">
        <v>0</v>
      </c>
      <c r="EQ54" s="718">
        <v>0</v>
      </c>
      <c r="ER54" s="719">
        <v>0</v>
      </c>
      <c r="ES54" s="719">
        <v>0</v>
      </c>
      <c r="ET54" s="718">
        <v>25.628108094410052</v>
      </c>
      <c r="EU54" s="718">
        <v>-0.78990983777669554</v>
      </c>
      <c r="EV54" s="718">
        <v>0</v>
      </c>
      <c r="EW54" s="719">
        <v>0</v>
      </c>
      <c r="EX54" s="719">
        <v>0</v>
      </c>
      <c r="EY54" s="719">
        <v>0</v>
      </c>
      <c r="EZ54" s="718">
        <v>0</v>
      </c>
      <c r="FA54" s="718">
        <v>0</v>
      </c>
      <c r="FB54" s="718">
        <v>-1.1287299606057231</v>
      </c>
      <c r="FC54" s="718">
        <v>0</v>
      </c>
      <c r="FD54" s="718">
        <v>0</v>
      </c>
      <c r="FE54" s="718">
        <v>0</v>
      </c>
      <c r="FF54" s="719">
        <v>2E-3</v>
      </c>
      <c r="FG54" s="719">
        <v>2E-3</v>
      </c>
      <c r="FH54" s="718">
        <v>-1.272</v>
      </c>
      <c r="FI54" s="718">
        <v>0.1908</v>
      </c>
      <c r="FJ54" s="718">
        <v>3.5740170600246138E-4</v>
      </c>
      <c r="FK54" s="718">
        <v>0</v>
      </c>
      <c r="FL54" s="719">
        <v>5.4999999999999997E-3</v>
      </c>
      <c r="FM54" s="719">
        <v>5.4999999999999997E-3</v>
      </c>
      <c r="FN54" s="718">
        <v>2.1199999999999997</v>
      </c>
      <c r="FO54" s="719">
        <v>0.85</v>
      </c>
      <c r="FP54" s="719">
        <v>0</v>
      </c>
      <c r="FQ54" s="719">
        <v>0</v>
      </c>
      <c r="FR54" s="719">
        <v>1.4</v>
      </c>
      <c r="FS54" s="719">
        <v>-1.4</v>
      </c>
      <c r="FT54" s="719">
        <v>5.9690260418206069</v>
      </c>
      <c r="FU54" s="782">
        <f t="shared" si="4"/>
        <v>19</v>
      </c>
      <c r="FV54" s="617">
        <f t="shared" si="5"/>
        <v>11.844999999999999</v>
      </c>
      <c r="FW54" s="795">
        <f t="shared" si="6"/>
        <v>-1.56</v>
      </c>
      <c r="FX54" s="617">
        <f t="shared" si="7"/>
        <v>4.1660000000000004</v>
      </c>
      <c r="FY54" s="617">
        <f t="shared" si="8"/>
        <v>0</v>
      </c>
      <c r="FZ54" s="617">
        <f t="shared" si="9"/>
        <v>265542.63195443543</v>
      </c>
      <c r="GA54" s="617">
        <f t="shared" si="10"/>
        <v>236644.56248659312</v>
      </c>
      <c r="GB54" s="617">
        <f t="shared" si="11"/>
        <v>0</v>
      </c>
      <c r="GC54" s="617">
        <f t="shared" si="12"/>
        <v>0</v>
      </c>
      <c r="GD54" s="617">
        <f t="shared" si="13"/>
        <v>0</v>
      </c>
      <c r="GE54" s="617">
        <f t="shared" si="14"/>
        <v>55651301.071009912</v>
      </c>
      <c r="GF54" s="617">
        <f t="shared" si="15"/>
        <v>0</v>
      </c>
      <c r="GG54" s="617">
        <f t="shared" si="16"/>
        <v>0</v>
      </c>
      <c r="GH54" s="617">
        <f t="shared" si="17"/>
        <v>0</v>
      </c>
      <c r="GI54" s="617">
        <f t="shared" si="18"/>
        <v>0</v>
      </c>
      <c r="GJ54" s="617">
        <f t="shared" si="19"/>
        <v>0</v>
      </c>
      <c r="GK54" s="617">
        <f t="shared" si="20"/>
        <v>25.628108094410052</v>
      </c>
      <c r="GL54" s="617">
        <f t="shared" si="21"/>
        <v>-0.78990983777669554</v>
      </c>
      <c r="GM54" s="617">
        <f t="shared" si="22"/>
        <v>0</v>
      </c>
      <c r="GN54" s="617">
        <f t="shared" si="23"/>
        <v>0</v>
      </c>
      <c r="GO54" s="617">
        <f t="shared" si="24"/>
        <v>0</v>
      </c>
      <c r="GP54" s="617">
        <f t="shared" si="25"/>
        <v>0</v>
      </c>
      <c r="GQ54" s="617">
        <f t="shared" si="26"/>
        <v>0</v>
      </c>
      <c r="GR54" s="617">
        <f t="shared" si="27"/>
        <v>0</v>
      </c>
      <c r="GS54" s="617">
        <f t="shared" si="28"/>
        <v>-1.1287299606057231</v>
      </c>
      <c r="GT54" s="617">
        <f t="shared" si="29"/>
        <v>0</v>
      </c>
      <c r="GU54" s="617">
        <f t="shared" si="30"/>
        <v>0</v>
      </c>
      <c r="GV54" s="617">
        <f t="shared" si="31"/>
        <v>0</v>
      </c>
      <c r="GW54" s="617">
        <f t="shared" si="32"/>
        <v>2E-3</v>
      </c>
      <c r="GX54" s="617">
        <f t="shared" si="33"/>
        <v>2E-3</v>
      </c>
      <c r="GY54" s="617">
        <f t="shared" si="34"/>
        <v>-1.272</v>
      </c>
      <c r="GZ54" s="617">
        <f t="shared" si="35"/>
        <v>0.1908</v>
      </c>
      <c r="HA54" s="617">
        <f t="shared" si="36"/>
        <v>3.5740170600246138E-4</v>
      </c>
      <c r="HB54" s="617">
        <f t="shared" si="37"/>
        <v>0</v>
      </c>
      <c r="HC54" s="617">
        <f t="shared" si="38"/>
        <v>5.4999999999999997E-3</v>
      </c>
      <c r="HD54" s="617">
        <f t="shared" si="39"/>
        <v>5.4999999999999997E-3</v>
      </c>
      <c r="HE54" s="617">
        <f t="shared" si="40"/>
        <v>2.1199999999999997</v>
      </c>
      <c r="HF54" s="617">
        <f t="shared" si="41"/>
        <v>0.85</v>
      </c>
      <c r="HG54" s="617">
        <f t="shared" si="42"/>
        <v>0</v>
      </c>
      <c r="HH54" s="617">
        <f t="shared" si="43"/>
        <v>0</v>
      </c>
      <c r="HI54" s="617">
        <f t="shared" si="44"/>
        <v>1.4</v>
      </c>
      <c r="HJ54" s="617">
        <f t="shared" si="45"/>
        <v>-1.4</v>
      </c>
      <c r="HK54" s="617">
        <f t="shared" si="46"/>
        <v>5.9690260418206069</v>
      </c>
    </row>
    <row r="55" spans="1:219" x14ac:dyDescent="0.25">
      <c r="A55" s="745" t="s">
        <v>1040</v>
      </c>
      <c r="B55" s="749">
        <v>1050</v>
      </c>
      <c r="C55" s="750">
        <v>0</v>
      </c>
      <c r="D55" s="751">
        <v>-2000</v>
      </c>
      <c r="E55" s="811">
        <f t="shared" si="47"/>
        <v>9.0500000000000007</v>
      </c>
      <c r="F55" s="670">
        <f t="shared" si="48"/>
        <v>0</v>
      </c>
      <c r="G55" s="670">
        <f t="shared" si="49"/>
        <v>2.2000000000000002</v>
      </c>
      <c r="H55" s="668">
        <v>150</v>
      </c>
      <c r="I55" s="668">
        <v>1</v>
      </c>
      <c r="J55" s="204">
        <v>0</v>
      </c>
      <c r="K55" s="575">
        <v>1</v>
      </c>
      <c r="L55" s="626">
        <f ca="1">AG50/MAX(AX50:AX100) *MAX(AV50:AV100)</f>
        <v>-21.264130764589989</v>
      </c>
      <c r="M55">
        <v>8</v>
      </c>
      <c r="N55">
        <f>MIN(AF50:AF51)</f>
        <v>9.3823767999999994</v>
      </c>
      <c r="O55" s="576">
        <v>0</v>
      </c>
      <c r="P55" s="580"/>
      <c r="AU55" s="594"/>
      <c r="AV55" s="575">
        <f ca="1">'REF - ASWING STRUCT-Imperial'!AV55</f>
        <v>23.000000000000004</v>
      </c>
      <c r="AW55" s="787">
        <f ca="1">'REF - ASWING STRUCT-Imperial'!AW55/3.28084</f>
        <v>7.3084985499999986</v>
      </c>
      <c r="AX55" s="660">
        <f ca="1">'REF - ASWING STRUCT-Imperial'!AX55/3.28084</f>
        <v>1.6844980000000001</v>
      </c>
      <c r="AY55" s="660">
        <f ca="1">'REF - ASWING STRUCT-Imperial'!AY55/3.28084</f>
        <v>2.4898129999999998</v>
      </c>
      <c r="AZ55" s="41">
        <f ca="1">'REF - ASWING STRUCT-Imperial'!AZ55</f>
        <v>0</v>
      </c>
      <c r="BA55" s="41">
        <f ca="1">'REF - ASWING STRUCT-Imperial'!BA55*0.413253134140599</f>
        <v>1052360.9590128704</v>
      </c>
      <c r="BB55" s="41">
        <f ca="1">'REF - ASWING STRUCT-Imperial'!BB55*0.413253134140599</f>
        <v>2474597.7871806063</v>
      </c>
      <c r="BC55" s="41">
        <f ca="1">'REF - ASWING STRUCT-Imperial'!BC55*0.413253134140599</f>
        <v>0</v>
      </c>
      <c r="BD55" s="41">
        <f ca="1">'REF - ASWING STRUCT-Imperial'!BD55*0.413253134140599</f>
        <v>0</v>
      </c>
      <c r="BE55" s="41">
        <f ca="1">'REF - ASWING STRUCT-Imperial'!BE55*0.413253134140599</f>
        <v>0</v>
      </c>
      <c r="BF55" s="41">
        <f ca="1">'REF - ASWING STRUCT-Imperial'!BF55*0.413253134140599</f>
        <v>20290805.161033731</v>
      </c>
      <c r="BG55" s="41">
        <f ca="1">'REF - ASWING STRUCT-Imperial'!BG55</f>
        <v>0</v>
      </c>
      <c r="BH55" s="41">
        <f ca="1">'REF - ASWING STRUCT-Imperial'!BH55*4.44822</f>
        <v>0</v>
      </c>
      <c r="BI55" s="41">
        <f ca="1">'REF - ASWING STRUCT-Imperial'!BI55*4.44822</f>
        <v>0</v>
      </c>
      <c r="BJ55" s="41">
        <f ca="1">'REF - ASWING STRUCT-Imperial'!BJ55/(2.20462*3.28084)</f>
        <v>0</v>
      </c>
      <c r="BK55" s="41">
        <f ca="1">'REF - ASWING STRUCT-Imperial'!BK55/(2.20462*3.28084)</f>
        <v>0</v>
      </c>
      <c r="BL55" s="41">
        <f ca="1">'REF - ASWING STRUCT-Imperial'!BL55/(2.20462)*3.28084</f>
        <v>28.22760268851955</v>
      </c>
      <c r="BM55" s="41">
        <f ca="1">'REF - ASWING STRUCT-Imperial'!BM55/3.28084</f>
        <v>0.26054537213231821</v>
      </c>
      <c r="BN55" s="41">
        <f ca="1">'REF - ASWING STRUCT-Imperial'!BN55/3.28084</f>
        <v>0</v>
      </c>
      <c r="BO55" s="41">
        <f ca="1">'REF - ASWING STRUCT-Imperial'!BO55/(2.20462*3.28084)</f>
        <v>0</v>
      </c>
      <c r="BP55" s="41">
        <f ca="1">'REF - ASWING STRUCT-Imperial'!BP55/(2.20462*3.28084)</f>
        <v>0</v>
      </c>
      <c r="BQ55" s="41">
        <f ca="1">'REF - ASWING STRUCT-Imperial'!BQ55/(2.20462)*3.28084</f>
        <v>0</v>
      </c>
      <c r="BR55" s="41">
        <f ca="1">'REF - ASWING STRUCT-Imperial'!BR55/3.28084</f>
        <v>0</v>
      </c>
      <c r="BS55" s="41">
        <f ca="1">'REF - ASWING STRUCT-Imperial'!BS55/3.28084</f>
        <v>0</v>
      </c>
      <c r="BT55" s="41">
        <f ca="1">'REF - ASWING STRUCT-Imperial'!BT55/3.28084</f>
        <v>0.12719301080719567</v>
      </c>
      <c r="BU55" s="41">
        <f ca="1">'REF - ASWING STRUCT-Imperial'!BU55/3.28084</f>
        <v>0</v>
      </c>
      <c r="BV55" s="41">
        <f ca="1">'REF - ASWING STRUCT-Imperial'!BV55/3.28084</f>
        <v>0</v>
      </c>
      <c r="BW55" s="41">
        <f ca="1">'REF - ASWING STRUCT-Imperial'!BW55/3.28084</f>
        <v>0</v>
      </c>
      <c r="BX55" s="41">
        <f ca="1">'REF - ASWING STRUCT-Imperial'!BX55</f>
        <v>2E-3</v>
      </c>
      <c r="BY55" s="41">
        <f ca="1">'REF - ASWING STRUCT-Imperial'!BY55</f>
        <v>2E-3</v>
      </c>
      <c r="BZ55" s="41">
        <f ca="1">'REF - ASWING STRUCT-Imperial'!BZ55/3.28084</f>
        <v>0</v>
      </c>
      <c r="CA55" s="41">
        <f ca="1">'REF - ASWING STRUCT-Imperial'!CA55/3.28084</f>
        <v>0.12827025</v>
      </c>
      <c r="CB55" s="41">
        <f ca="1">'REF - ASWING STRUCT-Imperial'!CB55/(3.28084^3)</f>
        <v>1.9383536165593198E-4</v>
      </c>
      <c r="CC55" s="41">
        <f ca="1">'REF - ASWING STRUCT-Imperial'!CC55/3.28084</f>
        <v>0</v>
      </c>
      <c r="CD55" s="41">
        <f>'REF - ASWING STRUCT-Imperial'!CD55</f>
        <v>5.4999999999999997E-3</v>
      </c>
      <c r="CE55" s="41">
        <f>'REF - ASWING STRUCT-Imperial'!CE55</f>
        <v>5.4999999999999997E-3</v>
      </c>
      <c r="CF55" s="41">
        <f ca="1">'REF - ASWING STRUCT-Imperial'!CF55/3.28084</f>
        <v>1.4252250000000002</v>
      </c>
      <c r="CG55" s="41">
        <f ca="1">'REF - ASWING STRUCT-Imperial'!CG55</f>
        <v>0.25</v>
      </c>
      <c r="CH55" s="41">
        <f ca="1">'REF - ASWING STRUCT-Imperial'!CH55</f>
        <v>5.85</v>
      </c>
      <c r="CI55" s="41">
        <f ca="1">'REF - ASWING STRUCT-Imperial'!CI55</f>
        <v>-0.15</v>
      </c>
      <c r="CJ55" s="41">
        <f ca="1">'REF - ASWING STRUCT-Imperial'!CJ55</f>
        <v>1.85</v>
      </c>
      <c r="CK55" s="41">
        <f ca="1">'REF - ASWING STRUCT-Imperial'!CK55</f>
        <v>-1.55</v>
      </c>
      <c r="CL55" s="789">
        <f ca="1">'REF - ASWING STRUCT-Imperial'!CL55</f>
        <v>5.9690260418206069</v>
      </c>
      <c r="CM55" s="641">
        <v>23.000000000000004</v>
      </c>
      <c r="CN55" s="643">
        <v>3.1901134</v>
      </c>
      <c r="CO55" s="643">
        <v>0.69000000000000006</v>
      </c>
      <c r="CP55" s="643">
        <v>3.9167552000000003</v>
      </c>
      <c r="CQ55" s="642">
        <v>0</v>
      </c>
      <c r="CR55" s="643">
        <v>56158.406766760847</v>
      </c>
      <c r="CS55" s="643">
        <v>50010.65903948342</v>
      </c>
      <c r="CT55" s="643">
        <v>0</v>
      </c>
      <c r="CU55" s="643">
        <v>0</v>
      </c>
      <c r="CV55" s="643">
        <v>0</v>
      </c>
      <c r="CW55" s="643">
        <v>1145502.7510674617</v>
      </c>
      <c r="CX55" s="642">
        <v>0</v>
      </c>
      <c r="CY55" s="643">
        <v>0</v>
      </c>
      <c r="CZ55" s="643">
        <v>0</v>
      </c>
      <c r="DA55" s="642">
        <v>0</v>
      </c>
      <c r="DB55" s="642">
        <v>0</v>
      </c>
      <c r="DC55" s="643">
        <v>4.3844082691558768</v>
      </c>
      <c r="DD55" s="643">
        <v>0.11282295413705085</v>
      </c>
      <c r="DE55" s="643">
        <v>0</v>
      </c>
      <c r="DF55" s="642">
        <v>0</v>
      </c>
      <c r="DG55" s="642">
        <v>0</v>
      </c>
      <c r="DH55" s="642">
        <v>0</v>
      </c>
      <c r="DI55" s="643">
        <v>0</v>
      </c>
      <c r="DJ55" s="643">
        <v>0</v>
      </c>
      <c r="DK55" s="643">
        <v>5.2856127931771503E-2</v>
      </c>
      <c r="DL55" s="643">
        <v>0</v>
      </c>
      <c r="DM55" s="643">
        <v>0</v>
      </c>
      <c r="DN55" s="643">
        <v>0</v>
      </c>
      <c r="DO55" s="642">
        <v>2E-3</v>
      </c>
      <c r="DP55" s="642">
        <v>2E-3</v>
      </c>
      <c r="DQ55" s="643">
        <v>0</v>
      </c>
      <c r="DR55" s="643">
        <v>5.2290000000000003E-2</v>
      </c>
      <c r="DS55" s="643">
        <v>2.684337782126578E-5</v>
      </c>
      <c r="DT55" s="643">
        <v>0</v>
      </c>
      <c r="DU55" s="642">
        <v>5.4999999999999997E-3</v>
      </c>
      <c r="DV55" s="642">
        <v>5.4999999999999997E-3</v>
      </c>
      <c r="DW55" s="643">
        <v>0.58100000000000007</v>
      </c>
      <c r="DX55" s="642">
        <v>0.25</v>
      </c>
      <c r="DY55" s="642">
        <v>5.9</v>
      </c>
      <c r="DZ55" s="642">
        <v>-0.15</v>
      </c>
      <c r="EA55" s="642">
        <v>2.25</v>
      </c>
      <c r="EB55" s="642">
        <v>-1.65</v>
      </c>
      <c r="EC55" s="642">
        <v>5.9690260418206069</v>
      </c>
      <c r="ED55" s="779">
        <v>23.000000000000004</v>
      </c>
      <c r="EE55" s="718">
        <v>11.865</v>
      </c>
      <c r="EF55" s="718">
        <v>1.56</v>
      </c>
      <c r="EG55" s="718">
        <v>4.2219999999999995</v>
      </c>
      <c r="EH55" s="719">
        <v>0</v>
      </c>
      <c r="EI55" s="718">
        <v>198425.27857919974</v>
      </c>
      <c r="EJ55" s="718">
        <v>180046.83009790775</v>
      </c>
      <c r="EK55" s="718">
        <v>0</v>
      </c>
      <c r="EL55" s="718">
        <v>0</v>
      </c>
      <c r="EM55" s="718">
        <v>0</v>
      </c>
      <c r="EN55" s="718">
        <v>49585904.729209594</v>
      </c>
      <c r="EO55" s="719">
        <v>0</v>
      </c>
      <c r="EP55" s="718">
        <v>0</v>
      </c>
      <c r="EQ55" s="718">
        <v>0</v>
      </c>
      <c r="ER55" s="719">
        <v>0</v>
      </c>
      <c r="ES55" s="719">
        <v>0</v>
      </c>
      <c r="ET55" s="718">
        <v>24.637342953222209</v>
      </c>
      <c r="EU55" s="718">
        <v>-0.76020372165075389</v>
      </c>
      <c r="EV55" s="718">
        <v>0</v>
      </c>
      <c r="EW55" s="719">
        <v>0</v>
      </c>
      <c r="EX55" s="719">
        <v>0</v>
      </c>
      <c r="EY55" s="719">
        <v>0</v>
      </c>
      <c r="EZ55" s="718">
        <v>0</v>
      </c>
      <c r="FA55" s="718">
        <v>0</v>
      </c>
      <c r="FB55" s="718">
        <v>-1.0696682154972623</v>
      </c>
      <c r="FC55" s="718">
        <v>0</v>
      </c>
      <c r="FD55" s="718">
        <v>0</v>
      </c>
      <c r="FE55" s="718">
        <v>0</v>
      </c>
      <c r="FF55" s="719">
        <v>2E-3</v>
      </c>
      <c r="FG55" s="719">
        <v>2E-3</v>
      </c>
      <c r="FH55" s="718">
        <v>-1.2239999999999998</v>
      </c>
      <c r="FI55" s="718">
        <v>0.18359999999999999</v>
      </c>
      <c r="FJ55" s="718">
        <v>3.3093693033549385E-4</v>
      </c>
      <c r="FK55" s="718">
        <v>0</v>
      </c>
      <c r="FL55" s="719">
        <v>5.4999999999999997E-3</v>
      </c>
      <c r="FM55" s="719">
        <v>5.4999999999999997E-3</v>
      </c>
      <c r="FN55" s="718">
        <v>2.04</v>
      </c>
      <c r="FO55" s="719">
        <v>0.85</v>
      </c>
      <c r="FP55" s="719">
        <v>0</v>
      </c>
      <c r="FQ55" s="719">
        <v>0</v>
      </c>
      <c r="FR55" s="719">
        <v>1.4</v>
      </c>
      <c r="FS55" s="719">
        <v>-1.4</v>
      </c>
      <c r="FT55" s="719">
        <v>5.9690260418206069</v>
      </c>
      <c r="FU55" s="782">
        <f t="shared" si="4"/>
        <v>23.000000000000004</v>
      </c>
      <c r="FV55" s="617">
        <f t="shared" si="5"/>
        <v>11.865</v>
      </c>
      <c r="FW55" s="795">
        <f t="shared" si="6"/>
        <v>-1.56</v>
      </c>
      <c r="FX55" s="617">
        <f t="shared" si="7"/>
        <v>4.2219999999999995</v>
      </c>
      <c r="FY55" s="617">
        <f t="shared" si="8"/>
        <v>0</v>
      </c>
      <c r="FZ55" s="617">
        <f t="shared" si="9"/>
        <v>198425.27857919974</v>
      </c>
      <c r="GA55" s="617">
        <f t="shared" si="10"/>
        <v>180046.83009790775</v>
      </c>
      <c r="GB55" s="617">
        <f t="shared" si="11"/>
        <v>0</v>
      </c>
      <c r="GC55" s="617">
        <f t="shared" si="12"/>
        <v>0</v>
      </c>
      <c r="GD55" s="617">
        <f t="shared" si="13"/>
        <v>0</v>
      </c>
      <c r="GE55" s="617">
        <f t="shared" si="14"/>
        <v>49585904.729209594</v>
      </c>
      <c r="GF55" s="617">
        <f t="shared" si="15"/>
        <v>0</v>
      </c>
      <c r="GG55" s="617">
        <f t="shared" si="16"/>
        <v>0</v>
      </c>
      <c r="GH55" s="617">
        <f t="shared" si="17"/>
        <v>0</v>
      </c>
      <c r="GI55" s="617">
        <f t="shared" si="18"/>
        <v>0</v>
      </c>
      <c r="GJ55" s="617">
        <f t="shared" si="19"/>
        <v>0</v>
      </c>
      <c r="GK55" s="617">
        <f t="shared" si="20"/>
        <v>24.637342953222209</v>
      </c>
      <c r="GL55" s="617">
        <f t="shared" si="21"/>
        <v>-0.76020372165075389</v>
      </c>
      <c r="GM55" s="617">
        <f t="shared" si="22"/>
        <v>0</v>
      </c>
      <c r="GN55" s="617">
        <f t="shared" si="23"/>
        <v>0</v>
      </c>
      <c r="GO55" s="617">
        <f t="shared" si="24"/>
        <v>0</v>
      </c>
      <c r="GP55" s="617">
        <f t="shared" si="25"/>
        <v>0</v>
      </c>
      <c r="GQ55" s="617">
        <f t="shared" si="26"/>
        <v>0</v>
      </c>
      <c r="GR55" s="617">
        <f t="shared" si="27"/>
        <v>0</v>
      </c>
      <c r="GS55" s="617">
        <f t="shared" si="28"/>
        <v>-1.0696682154972623</v>
      </c>
      <c r="GT55" s="617">
        <f t="shared" si="29"/>
        <v>0</v>
      </c>
      <c r="GU55" s="617">
        <f t="shared" si="30"/>
        <v>0</v>
      </c>
      <c r="GV55" s="617">
        <f t="shared" si="31"/>
        <v>0</v>
      </c>
      <c r="GW55" s="617">
        <f t="shared" si="32"/>
        <v>2E-3</v>
      </c>
      <c r="GX55" s="617">
        <f t="shared" si="33"/>
        <v>2E-3</v>
      </c>
      <c r="GY55" s="617">
        <f t="shared" si="34"/>
        <v>-1.2239999999999998</v>
      </c>
      <c r="GZ55" s="617">
        <f t="shared" si="35"/>
        <v>0.18359999999999999</v>
      </c>
      <c r="HA55" s="617">
        <f t="shared" si="36"/>
        <v>3.3093693033549385E-4</v>
      </c>
      <c r="HB55" s="617">
        <f t="shared" si="37"/>
        <v>0</v>
      </c>
      <c r="HC55" s="617">
        <f t="shared" si="38"/>
        <v>5.4999999999999997E-3</v>
      </c>
      <c r="HD55" s="617">
        <f t="shared" si="39"/>
        <v>5.4999999999999997E-3</v>
      </c>
      <c r="HE55" s="617">
        <f t="shared" si="40"/>
        <v>2.04</v>
      </c>
      <c r="HF55" s="617">
        <f t="shared" si="41"/>
        <v>0.85</v>
      </c>
      <c r="HG55" s="617">
        <f t="shared" si="42"/>
        <v>0</v>
      </c>
      <c r="HH55" s="617">
        <f t="shared" si="43"/>
        <v>0</v>
      </c>
      <c r="HI55" s="617">
        <f t="shared" si="44"/>
        <v>1.4</v>
      </c>
      <c r="HJ55" s="617">
        <f t="shared" si="45"/>
        <v>-1.4</v>
      </c>
      <c r="HK55" s="617">
        <f t="shared" si="46"/>
        <v>5.9690260418206069</v>
      </c>
    </row>
    <row r="56" spans="1:219" x14ac:dyDescent="0.25">
      <c r="A56" s="745" t="s">
        <v>1041</v>
      </c>
      <c r="B56" s="749">
        <v>777</v>
      </c>
      <c r="C56" s="750">
        <v>0</v>
      </c>
      <c r="D56" s="751">
        <v>-1294</v>
      </c>
      <c r="E56" s="811">
        <f t="shared" si="47"/>
        <v>8.7769999999999992</v>
      </c>
      <c r="F56" s="670">
        <f t="shared" si="48"/>
        <v>0</v>
      </c>
      <c r="G56" s="670">
        <f t="shared" si="49"/>
        <v>2.9060000000000001</v>
      </c>
      <c r="H56" s="668">
        <v>191</v>
      </c>
      <c r="I56" s="668">
        <v>1</v>
      </c>
      <c r="J56" s="204">
        <v>0</v>
      </c>
      <c r="K56" s="575">
        <v>7</v>
      </c>
      <c r="L56">
        <f>AA51</f>
        <v>13.791</v>
      </c>
      <c r="M56">
        <v>3</v>
      </c>
      <c r="N56" s="626">
        <f>0.5*(MAX(ED50:ED60)-MIN(ED50:ED60))+MIN(ED50:ED60)</f>
        <v>23.499999999999996</v>
      </c>
      <c r="O56" s="576">
        <v>0</v>
      </c>
      <c r="P56" s="580"/>
      <c r="AU56" s="594"/>
      <c r="AV56" s="575">
        <f ca="1">'REF - ASWING STRUCT-Imperial'!AV56</f>
        <v>28.000000000000004</v>
      </c>
      <c r="AW56" s="787">
        <f ca="1">'REF - ASWING STRUCT-Imperial'!AW56/3.28084</f>
        <v>7.315279799999999</v>
      </c>
      <c r="AX56" s="660">
        <f ca="1">'REF - ASWING STRUCT-Imperial'!AX56/3.28084</f>
        <v>2.051498</v>
      </c>
      <c r="AY56" s="660">
        <f ca="1">'REF - ASWING STRUCT-Imperial'!AY56/3.28084</f>
        <v>2.4898129999999998</v>
      </c>
      <c r="AZ56" s="41">
        <f ca="1">'REF - ASWING STRUCT-Imperial'!AZ56</f>
        <v>0</v>
      </c>
      <c r="BA56" s="41">
        <f ca="1">'REF - ASWING STRUCT-Imperial'!BA56*0.413253134140599</f>
        <v>573877.65316025773</v>
      </c>
      <c r="BB56" s="41">
        <f ca="1">'REF - ASWING STRUCT-Imperial'!BB56*0.413253134140599</f>
        <v>2381300.6371719381</v>
      </c>
      <c r="BC56" s="41">
        <f ca="1">'REF - ASWING STRUCT-Imperial'!BC56*0.413253134140599</f>
        <v>0</v>
      </c>
      <c r="BD56" s="41">
        <f ca="1">'REF - ASWING STRUCT-Imperial'!BD56*0.413253134140599</f>
        <v>0</v>
      </c>
      <c r="BE56" s="41">
        <f ca="1">'REF - ASWING STRUCT-Imperial'!BE56*0.413253134140599</f>
        <v>0</v>
      </c>
      <c r="BF56" s="41">
        <f ca="1">'REF - ASWING STRUCT-Imperial'!BF56*0.413253134140599</f>
        <v>15961821.378407221</v>
      </c>
      <c r="BG56" s="41">
        <f ca="1">'REF - ASWING STRUCT-Imperial'!BG56</f>
        <v>0</v>
      </c>
      <c r="BH56" s="41">
        <f ca="1">'REF - ASWING STRUCT-Imperial'!BH56*4.44822</f>
        <v>0</v>
      </c>
      <c r="BI56" s="41">
        <f ca="1">'REF - ASWING STRUCT-Imperial'!BI56*4.44822</f>
        <v>0</v>
      </c>
      <c r="BJ56" s="41">
        <f ca="1">'REF - ASWING STRUCT-Imperial'!BJ56/(2.20462*3.28084)</f>
        <v>0</v>
      </c>
      <c r="BK56" s="41">
        <f ca="1">'REF - ASWING STRUCT-Imperial'!BK56/(2.20462*3.28084)</f>
        <v>0</v>
      </c>
      <c r="BL56" s="41">
        <f ca="1">'REF - ASWING STRUCT-Imperial'!BL56/(2.20462)*3.28084</f>
        <v>29.212405546175074</v>
      </c>
      <c r="BM56" s="41">
        <f ca="1">'REF - ASWING STRUCT-Imperial'!BM56/3.28084</f>
        <v>0.26349524063405105</v>
      </c>
      <c r="BN56" s="41">
        <f ca="1">'REF - ASWING STRUCT-Imperial'!BN56/3.28084</f>
        <v>0</v>
      </c>
      <c r="BO56" s="41">
        <f ca="1">'REF - ASWING STRUCT-Imperial'!BO56/(2.20462*3.28084)</f>
        <v>0</v>
      </c>
      <c r="BP56" s="41">
        <f ca="1">'REF - ASWING STRUCT-Imperial'!BP56/(2.20462*3.28084)</f>
        <v>0</v>
      </c>
      <c r="BQ56" s="41">
        <f ca="1">'REF - ASWING STRUCT-Imperial'!BQ56/(2.20462)*3.28084</f>
        <v>0</v>
      </c>
      <c r="BR56" s="41">
        <f ca="1">'REF - ASWING STRUCT-Imperial'!BR56/3.28084</f>
        <v>0</v>
      </c>
      <c r="BS56" s="41">
        <f ca="1">'REF - ASWING STRUCT-Imperial'!BS56/3.28084</f>
        <v>0</v>
      </c>
      <c r="BT56" s="41">
        <f ca="1">'REF - ASWING STRUCT-Imperial'!BT56/3.28084</f>
        <v>0.12477526936371565</v>
      </c>
      <c r="BU56" s="41">
        <f ca="1">'REF - ASWING STRUCT-Imperial'!BU56/3.28084</f>
        <v>0</v>
      </c>
      <c r="BV56" s="41">
        <f ca="1">'REF - ASWING STRUCT-Imperial'!BV56/3.28084</f>
        <v>0</v>
      </c>
      <c r="BW56" s="41">
        <f ca="1">'REF - ASWING STRUCT-Imperial'!BW56/3.28084</f>
        <v>0</v>
      </c>
      <c r="BX56" s="41">
        <f ca="1">'REF - ASWING STRUCT-Imperial'!BX56</f>
        <v>2E-3</v>
      </c>
      <c r="BY56" s="41">
        <f ca="1">'REF - ASWING STRUCT-Imperial'!BY56</f>
        <v>2E-3</v>
      </c>
      <c r="BZ56" s="41">
        <f ca="1">'REF - ASWING STRUCT-Imperial'!BZ56/3.28084</f>
        <v>0</v>
      </c>
      <c r="CA56" s="41">
        <f ca="1">'REF - ASWING STRUCT-Imperial'!CA56/3.28084</f>
        <v>0.125829</v>
      </c>
      <c r="CB56" s="41">
        <f ca="1">'REF - ASWING STRUCT-Imperial'!CB56/(3.28084^3)</f>
        <v>1.5543949290429204E-4</v>
      </c>
      <c r="CC56" s="41">
        <f ca="1">'REF - ASWING STRUCT-Imperial'!CC56/3.28084</f>
        <v>0</v>
      </c>
      <c r="CD56" s="41">
        <f>'REF - ASWING STRUCT-Imperial'!CD56</f>
        <v>5.4999999999999997E-3</v>
      </c>
      <c r="CE56" s="41">
        <f>'REF - ASWING STRUCT-Imperial'!CE56</f>
        <v>5.4999999999999997E-3</v>
      </c>
      <c r="CF56" s="41">
        <f ca="1">'REF - ASWING STRUCT-Imperial'!CF56/3.28084</f>
        <v>1.3981000000000001</v>
      </c>
      <c r="CG56" s="41">
        <f ca="1">'REF - ASWING STRUCT-Imperial'!CG56</f>
        <v>0.25</v>
      </c>
      <c r="CH56" s="41">
        <f ca="1">'REF - ASWING STRUCT-Imperial'!CH56</f>
        <v>5.85</v>
      </c>
      <c r="CI56" s="41">
        <f ca="1">'REF - ASWING STRUCT-Imperial'!CI56</f>
        <v>-0.15</v>
      </c>
      <c r="CJ56" s="41">
        <f ca="1">'REF - ASWING STRUCT-Imperial'!CJ56</f>
        <v>1.85</v>
      </c>
      <c r="CK56" s="41">
        <f ca="1">'REF - ASWING STRUCT-Imperial'!CK56</f>
        <v>-1.55</v>
      </c>
      <c r="CL56" s="789">
        <f ca="1">'REF - ASWING STRUCT-Imperial'!CL56</f>
        <v>5.9690260418206069</v>
      </c>
      <c r="CM56" s="641">
        <v>28.000000000000004</v>
      </c>
      <c r="CN56" s="643">
        <v>3.1938633999999997</v>
      </c>
      <c r="CO56" s="643">
        <v>0.84000000000000008</v>
      </c>
      <c r="CP56" s="643">
        <v>3.9167552000000003</v>
      </c>
      <c r="CQ56" s="642">
        <v>0</v>
      </c>
      <c r="CR56" s="643">
        <v>52274.548552387438</v>
      </c>
      <c r="CS56" s="643">
        <v>47461.687479456283</v>
      </c>
      <c r="CT56" s="643">
        <v>0</v>
      </c>
      <c r="CU56" s="643">
        <v>0</v>
      </c>
      <c r="CV56" s="643">
        <v>0</v>
      </c>
      <c r="CW56" s="643">
        <v>1059051.3860164261</v>
      </c>
      <c r="CX56" s="642">
        <v>0</v>
      </c>
      <c r="CY56" s="643">
        <v>0</v>
      </c>
      <c r="CZ56" s="643">
        <v>0</v>
      </c>
      <c r="DA56" s="642">
        <v>0</v>
      </c>
      <c r="DB56" s="642">
        <v>0</v>
      </c>
      <c r="DC56" s="643">
        <v>4.196540797126703</v>
      </c>
      <c r="DD56" s="643">
        <v>0.11187567385135519</v>
      </c>
      <c r="DE56" s="643">
        <v>0</v>
      </c>
      <c r="DF56" s="642">
        <v>0</v>
      </c>
      <c r="DG56" s="642">
        <v>0</v>
      </c>
      <c r="DH56" s="642">
        <v>0</v>
      </c>
      <c r="DI56" s="643">
        <v>0</v>
      </c>
      <c r="DJ56" s="643">
        <v>0</v>
      </c>
      <c r="DK56" s="643">
        <v>5.1658142184217583E-2</v>
      </c>
      <c r="DL56" s="643">
        <v>0</v>
      </c>
      <c r="DM56" s="643">
        <v>0</v>
      </c>
      <c r="DN56" s="643">
        <v>0</v>
      </c>
      <c r="DO56" s="642">
        <v>2E-3</v>
      </c>
      <c r="DP56" s="642">
        <v>2E-3</v>
      </c>
      <c r="DQ56" s="643">
        <v>0</v>
      </c>
      <c r="DR56" s="643">
        <v>5.0939999999999999E-2</v>
      </c>
      <c r="DS56" s="643">
        <v>2.5475209355670294E-5</v>
      </c>
      <c r="DT56" s="643">
        <v>0</v>
      </c>
      <c r="DU56" s="642">
        <v>5.4999999999999997E-3</v>
      </c>
      <c r="DV56" s="642">
        <v>5.4999999999999997E-3</v>
      </c>
      <c r="DW56" s="643">
        <v>0.56600000000000006</v>
      </c>
      <c r="DX56" s="642">
        <v>0.25</v>
      </c>
      <c r="DY56" s="642">
        <v>5.9</v>
      </c>
      <c r="DZ56" s="642">
        <v>-0.15</v>
      </c>
      <c r="EA56" s="642">
        <v>2.25</v>
      </c>
      <c r="EB56" s="642">
        <v>-1.65</v>
      </c>
      <c r="EC56" s="642">
        <v>5.9690260418206069</v>
      </c>
      <c r="ED56" s="779">
        <v>28.000000000000004</v>
      </c>
      <c r="EE56" s="718">
        <v>11.889999999999999</v>
      </c>
      <c r="EF56" s="718">
        <v>1.56</v>
      </c>
      <c r="EG56" s="718">
        <v>4.2919999999999998</v>
      </c>
      <c r="EH56" s="719">
        <v>0</v>
      </c>
      <c r="EI56" s="718">
        <v>208965.46113908727</v>
      </c>
      <c r="EJ56" s="718">
        <v>162827.8185689364</v>
      </c>
      <c r="EK56" s="718">
        <v>0</v>
      </c>
      <c r="EL56" s="718">
        <v>0</v>
      </c>
      <c r="EM56" s="718">
        <v>0</v>
      </c>
      <c r="EN56" s="718">
        <v>42645472.355016075</v>
      </c>
      <c r="EO56" s="719">
        <v>0</v>
      </c>
      <c r="EP56" s="718">
        <v>0</v>
      </c>
      <c r="EQ56" s="718">
        <v>0</v>
      </c>
      <c r="ER56" s="719">
        <v>0</v>
      </c>
      <c r="ES56" s="719">
        <v>0</v>
      </c>
      <c r="ET56" s="718">
        <v>18.997498286908819</v>
      </c>
      <c r="EU56" s="718">
        <v>-0.7256815964879838</v>
      </c>
      <c r="EV56" s="718">
        <v>0</v>
      </c>
      <c r="EW56" s="719">
        <v>0</v>
      </c>
      <c r="EX56" s="719">
        <v>0</v>
      </c>
      <c r="EY56" s="719">
        <v>0</v>
      </c>
      <c r="EZ56" s="718">
        <v>0</v>
      </c>
      <c r="FA56" s="718">
        <v>0</v>
      </c>
      <c r="FB56" s="718">
        <v>-1.0045785118953872</v>
      </c>
      <c r="FC56" s="718">
        <v>0</v>
      </c>
      <c r="FD56" s="718">
        <v>0</v>
      </c>
      <c r="FE56" s="718">
        <v>0</v>
      </c>
      <c r="FF56" s="719">
        <v>2E-3</v>
      </c>
      <c r="FG56" s="719">
        <v>2E-3</v>
      </c>
      <c r="FH56" s="718">
        <v>-1.1639999999999999</v>
      </c>
      <c r="FI56" s="718">
        <v>0.17460000000000001</v>
      </c>
      <c r="FJ56" s="718">
        <v>2.9928734885877181E-4</v>
      </c>
      <c r="FK56" s="718">
        <v>0</v>
      </c>
      <c r="FL56" s="719">
        <v>5.4999999999999997E-3</v>
      </c>
      <c r="FM56" s="719">
        <v>5.4999999999999997E-3</v>
      </c>
      <c r="FN56" s="718">
        <v>1.9400000000000002</v>
      </c>
      <c r="FO56" s="719">
        <v>0.85</v>
      </c>
      <c r="FP56" s="719">
        <v>0</v>
      </c>
      <c r="FQ56" s="719">
        <v>0</v>
      </c>
      <c r="FR56" s="719">
        <v>1.4</v>
      </c>
      <c r="FS56" s="719">
        <v>-1.4</v>
      </c>
      <c r="FT56" s="719">
        <v>5.9690260418206069</v>
      </c>
      <c r="FU56" s="782">
        <f t="shared" si="4"/>
        <v>28.000000000000004</v>
      </c>
      <c r="FV56" s="617">
        <f t="shared" si="5"/>
        <v>11.889999999999999</v>
      </c>
      <c r="FW56" s="795">
        <f t="shared" si="6"/>
        <v>-1.56</v>
      </c>
      <c r="FX56" s="617">
        <f t="shared" si="7"/>
        <v>4.2919999999999998</v>
      </c>
      <c r="FY56" s="617">
        <f t="shared" si="8"/>
        <v>0</v>
      </c>
      <c r="FZ56" s="617">
        <f t="shared" si="9"/>
        <v>208965.46113908727</v>
      </c>
      <c r="GA56" s="617">
        <f t="shared" si="10"/>
        <v>162827.8185689364</v>
      </c>
      <c r="GB56" s="617">
        <f t="shared" si="11"/>
        <v>0</v>
      </c>
      <c r="GC56" s="617">
        <f t="shared" si="12"/>
        <v>0</v>
      </c>
      <c r="GD56" s="617">
        <f t="shared" si="13"/>
        <v>0</v>
      </c>
      <c r="GE56" s="617">
        <f t="shared" si="14"/>
        <v>42645472.355016075</v>
      </c>
      <c r="GF56" s="617">
        <f t="shared" si="15"/>
        <v>0</v>
      </c>
      <c r="GG56" s="617">
        <f t="shared" si="16"/>
        <v>0</v>
      </c>
      <c r="GH56" s="617">
        <f t="shared" si="17"/>
        <v>0</v>
      </c>
      <c r="GI56" s="617">
        <f t="shared" si="18"/>
        <v>0</v>
      </c>
      <c r="GJ56" s="617">
        <f t="shared" si="19"/>
        <v>0</v>
      </c>
      <c r="GK56" s="617">
        <f t="shared" si="20"/>
        <v>18.997498286908819</v>
      </c>
      <c r="GL56" s="617">
        <f t="shared" si="21"/>
        <v>-0.7256815964879838</v>
      </c>
      <c r="GM56" s="617">
        <f t="shared" si="22"/>
        <v>0</v>
      </c>
      <c r="GN56" s="617">
        <f t="shared" si="23"/>
        <v>0</v>
      </c>
      <c r="GO56" s="617">
        <f t="shared" si="24"/>
        <v>0</v>
      </c>
      <c r="GP56" s="617">
        <f t="shared" si="25"/>
        <v>0</v>
      </c>
      <c r="GQ56" s="617">
        <f t="shared" si="26"/>
        <v>0</v>
      </c>
      <c r="GR56" s="617">
        <f t="shared" si="27"/>
        <v>0</v>
      </c>
      <c r="GS56" s="617">
        <f t="shared" si="28"/>
        <v>-1.0045785118953872</v>
      </c>
      <c r="GT56" s="617">
        <f t="shared" si="29"/>
        <v>0</v>
      </c>
      <c r="GU56" s="617">
        <f t="shared" si="30"/>
        <v>0</v>
      </c>
      <c r="GV56" s="617">
        <f t="shared" si="31"/>
        <v>0</v>
      </c>
      <c r="GW56" s="617">
        <f t="shared" si="32"/>
        <v>2E-3</v>
      </c>
      <c r="GX56" s="617">
        <f t="shared" si="33"/>
        <v>2E-3</v>
      </c>
      <c r="GY56" s="617">
        <f t="shared" si="34"/>
        <v>-1.1639999999999999</v>
      </c>
      <c r="GZ56" s="617">
        <f t="shared" si="35"/>
        <v>0.17460000000000001</v>
      </c>
      <c r="HA56" s="617">
        <f t="shared" si="36"/>
        <v>2.9928734885877181E-4</v>
      </c>
      <c r="HB56" s="617">
        <f t="shared" si="37"/>
        <v>0</v>
      </c>
      <c r="HC56" s="617">
        <f t="shared" si="38"/>
        <v>5.4999999999999997E-3</v>
      </c>
      <c r="HD56" s="617">
        <f t="shared" si="39"/>
        <v>5.4999999999999997E-3</v>
      </c>
      <c r="HE56" s="617">
        <f t="shared" si="40"/>
        <v>1.9400000000000002</v>
      </c>
      <c r="HF56" s="617">
        <f t="shared" si="41"/>
        <v>0.85</v>
      </c>
      <c r="HG56" s="617">
        <f t="shared" si="42"/>
        <v>0</v>
      </c>
      <c r="HH56" s="617">
        <f t="shared" si="43"/>
        <v>0</v>
      </c>
      <c r="HI56" s="617">
        <f t="shared" si="44"/>
        <v>1.4</v>
      </c>
      <c r="HJ56" s="617">
        <f t="shared" si="45"/>
        <v>-1.4</v>
      </c>
      <c r="HK56" s="617">
        <f t="shared" si="46"/>
        <v>5.9690260418206069</v>
      </c>
    </row>
    <row r="57" spans="1:219" x14ac:dyDescent="0.25">
      <c r="A57" s="745" t="s">
        <v>1042</v>
      </c>
      <c r="B57" s="749">
        <v>0</v>
      </c>
      <c r="C57" s="750">
        <v>0</v>
      </c>
      <c r="D57" s="751">
        <v>-2700</v>
      </c>
      <c r="E57" s="811">
        <f t="shared" si="47"/>
        <v>8</v>
      </c>
      <c r="F57" s="670">
        <f t="shared" si="48"/>
        <v>0</v>
      </c>
      <c r="G57" s="670">
        <f t="shared" si="49"/>
        <v>1.5</v>
      </c>
      <c r="H57" s="668">
        <v>46</v>
      </c>
      <c r="I57" s="668">
        <v>1</v>
      </c>
      <c r="J57" s="204">
        <v>0</v>
      </c>
      <c r="K57" s="575">
        <v>8</v>
      </c>
      <c r="L57">
        <f>AF51</f>
        <v>13.791</v>
      </c>
      <c r="M57">
        <v>4</v>
      </c>
      <c r="N57" s="626">
        <f>N56</f>
        <v>23.499999999999996</v>
      </c>
      <c r="O57" s="576">
        <v>0</v>
      </c>
      <c r="P57" s="580"/>
      <c r="AU57" s="594"/>
      <c r="AV57" s="575">
        <f ca="1">'REF - ASWING STRUCT-Imperial'!AV57</f>
        <v>33</v>
      </c>
      <c r="AW57" s="787">
        <f ca="1">'REF - ASWING STRUCT-Imperial'!AW57/3.28084</f>
        <v>7.3220610499999994</v>
      </c>
      <c r="AX57" s="660">
        <f ca="1">'REF - ASWING STRUCT-Imperial'!AX57/3.28084</f>
        <v>2.418498</v>
      </c>
      <c r="AY57" s="660">
        <f ca="1">'REF - ASWING STRUCT-Imperial'!AY57/3.28084</f>
        <v>2.4898129999999998</v>
      </c>
      <c r="AZ57" s="41">
        <f ca="1">'REF - ASWING STRUCT-Imperial'!AZ57</f>
        <v>0</v>
      </c>
      <c r="BA57" s="41">
        <f ca="1">'REF - ASWING STRUCT-Imperial'!BA57*0.413253134140599</f>
        <v>435931.24253559491</v>
      </c>
      <c r="BB57" s="41">
        <f ca="1">'REF - ASWING STRUCT-Imperial'!BB57*0.413253134140599</f>
        <v>1765136.9169277889</v>
      </c>
      <c r="BC57" s="41">
        <f ca="1">'REF - ASWING STRUCT-Imperial'!BC57*0.413253134140599</f>
        <v>0</v>
      </c>
      <c r="BD57" s="41">
        <f ca="1">'REF - ASWING STRUCT-Imperial'!BD57*0.413253134140599</f>
        <v>0</v>
      </c>
      <c r="BE57" s="41">
        <f ca="1">'REF - ASWING STRUCT-Imperial'!BE57*0.413253134140599</f>
        <v>0</v>
      </c>
      <c r="BF57" s="41">
        <f ca="1">'REF - ASWING STRUCT-Imperial'!BF57*0.413253134140599</f>
        <v>15050687.746250026</v>
      </c>
      <c r="BG57" s="41">
        <f ca="1">'REF - ASWING STRUCT-Imperial'!BG57</f>
        <v>0</v>
      </c>
      <c r="BH57" s="41">
        <f ca="1">'REF - ASWING STRUCT-Imperial'!BH57*4.44822</f>
        <v>0</v>
      </c>
      <c r="BI57" s="41">
        <f ca="1">'REF - ASWING STRUCT-Imperial'!BI57*4.44822</f>
        <v>0</v>
      </c>
      <c r="BJ57" s="41">
        <f ca="1">'REF - ASWING STRUCT-Imperial'!BJ57/(2.20462*3.28084)</f>
        <v>0</v>
      </c>
      <c r="BK57" s="41">
        <f ca="1">'REF - ASWING STRUCT-Imperial'!BK57/(2.20462*3.28084)</f>
        <v>0</v>
      </c>
      <c r="BL57" s="41">
        <f ca="1">'REF - ASWING STRUCT-Imperial'!BL57/(2.20462)*3.28084</f>
        <v>27.468084458255735</v>
      </c>
      <c r="BM57" s="41">
        <f ca="1">'REF - ASWING STRUCT-Imperial'!BM57/3.28084</f>
        <v>0.26929112888745638</v>
      </c>
      <c r="BN57" s="41">
        <f ca="1">'REF - ASWING STRUCT-Imperial'!BN57/3.28084</f>
        <v>0</v>
      </c>
      <c r="BO57" s="41">
        <f ca="1">'REF - ASWING STRUCT-Imperial'!BO57/(2.20462*3.28084)</f>
        <v>0</v>
      </c>
      <c r="BP57" s="41">
        <f ca="1">'REF - ASWING STRUCT-Imperial'!BP57/(2.20462*3.28084)</f>
        <v>0</v>
      </c>
      <c r="BQ57" s="41">
        <f ca="1">'REF - ASWING STRUCT-Imperial'!BQ57/(2.20462)*3.28084</f>
        <v>0</v>
      </c>
      <c r="BR57" s="41">
        <f ca="1">'REF - ASWING STRUCT-Imperial'!BR57/3.28084</f>
        <v>0</v>
      </c>
      <c r="BS57" s="41">
        <f ca="1">'REF - ASWING STRUCT-Imperial'!BS57/3.28084</f>
        <v>0</v>
      </c>
      <c r="BT57" s="41">
        <f ca="1">'REF - ASWING STRUCT-Imperial'!BT57/3.28084</f>
        <v>0.12235196653364055</v>
      </c>
      <c r="BU57" s="41">
        <f ca="1">'REF - ASWING STRUCT-Imperial'!BU57/3.28084</f>
        <v>0</v>
      </c>
      <c r="BV57" s="41">
        <f ca="1">'REF - ASWING STRUCT-Imperial'!BV57/3.28084</f>
        <v>0</v>
      </c>
      <c r="BW57" s="41">
        <f ca="1">'REF - ASWING STRUCT-Imperial'!BW57/3.28084</f>
        <v>0</v>
      </c>
      <c r="BX57" s="41">
        <f ca="1">'REF - ASWING STRUCT-Imperial'!BX57</f>
        <v>2E-3</v>
      </c>
      <c r="BY57" s="41">
        <f ca="1">'REF - ASWING STRUCT-Imperial'!BY57</f>
        <v>2E-3</v>
      </c>
      <c r="BZ57" s="41">
        <f ca="1">'REF - ASWING STRUCT-Imperial'!BZ57/3.28084</f>
        <v>0</v>
      </c>
      <c r="CA57" s="41">
        <f ca="1">'REF - ASWING STRUCT-Imperial'!CA57/3.28084</f>
        <v>0.12338774999999999</v>
      </c>
      <c r="CB57" s="41">
        <f ca="1">'REF - ASWING STRUCT-Imperial'!CB57/(3.28084^3)</f>
        <v>1.494665362247691E-4</v>
      </c>
      <c r="CC57" s="41">
        <f ca="1">'REF - ASWING STRUCT-Imperial'!CC57/3.28084</f>
        <v>0</v>
      </c>
      <c r="CD57" s="41">
        <f>'REF - ASWING STRUCT-Imperial'!CD57</f>
        <v>5.4999999999999997E-3</v>
      </c>
      <c r="CE57" s="41">
        <f>'REF - ASWING STRUCT-Imperial'!CE57</f>
        <v>5.4999999999999997E-3</v>
      </c>
      <c r="CF57" s="41">
        <f ca="1">'REF - ASWING STRUCT-Imperial'!CF57/3.28084</f>
        <v>1.3709750000000001</v>
      </c>
      <c r="CG57" s="41">
        <f ca="1">'REF - ASWING STRUCT-Imperial'!CG57</f>
        <v>0.25</v>
      </c>
      <c r="CH57" s="41">
        <f ca="1">'REF - ASWING STRUCT-Imperial'!CH57</f>
        <v>5.85</v>
      </c>
      <c r="CI57" s="41">
        <f ca="1">'REF - ASWING STRUCT-Imperial'!CI57</f>
        <v>-0.15</v>
      </c>
      <c r="CJ57" s="41">
        <f ca="1">'REF - ASWING STRUCT-Imperial'!CJ57</f>
        <v>1.85</v>
      </c>
      <c r="CK57" s="41">
        <f ca="1">'REF - ASWING STRUCT-Imperial'!CK57</f>
        <v>-1.55</v>
      </c>
      <c r="CL57" s="789">
        <f ca="1">'REF - ASWING STRUCT-Imperial'!CL57</f>
        <v>5.9690260418206069</v>
      </c>
      <c r="CM57" s="641">
        <v>33.000000000000007</v>
      </c>
      <c r="CN57" s="643">
        <v>3.1976133999999998</v>
      </c>
      <c r="CO57" s="643">
        <v>0.9900000000000001</v>
      </c>
      <c r="CP57" s="643">
        <v>3.9167552000000003</v>
      </c>
      <c r="CQ57" s="642">
        <v>0</v>
      </c>
      <c r="CR57" s="643">
        <v>39079.940892500505</v>
      </c>
      <c r="CS57" s="643">
        <v>34999.982436828526</v>
      </c>
      <c r="CT57" s="643">
        <v>0</v>
      </c>
      <c r="CU57" s="643">
        <v>0</v>
      </c>
      <c r="CV57" s="643">
        <v>0</v>
      </c>
      <c r="CW57" s="643">
        <v>977062.92901494261</v>
      </c>
      <c r="CX57" s="642">
        <v>0</v>
      </c>
      <c r="CY57" s="643">
        <v>0</v>
      </c>
      <c r="CZ57" s="643">
        <v>0</v>
      </c>
      <c r="DA57" s="642">
        <v>0</v>
      </c>
      <c r="DB57" s="642">
        <v>0</v>
      </c>
      <c r="DC57" s="643">
        <v>3.9576183491317369</v>
      </c>
      <c r="DD57" s="643">
        <v>0.11237059163479998</v>
      </c>
      <c r="DE57" s="643">
        <v>0</v>
      </c>
      <c r="DF57" s="642">
        <v>0</v>
      </c>
      <c r="DG57" s="642">
        <v>0</v>
      </c>
      <c r="DH57" s="642">
        <v>0</v>
      </c>
      <c r="DI57" s="643">
        <v>0</v>
      </c>
      <c r="DJ57" s="643">
        <v>0</v>
      </c>
      <c r="DK57" s="643">
        <v>5.0471432784472213E-2</v>
      </c>
      <c r="DL57" s="643">
        <v>0</v>
      </c>
      <c r="DM57" s="643">
        <v>0</v>
      </c>
      <c r="DN57" s="643">
        <v>0</v>
      </c>
      <c r="DO57" s="642">
        <v>2E-3</v>
      </c>
      <c r="DP57" s="642">
        <v>2E-3</v>
      </c>
      <c r="DQ57" s="643">
        <v>0</v>
      </c>
      <c r="DR57" s="643">
        <v>4.9590000000000002E-2</v>
      </c>
      <c r="DS57" s="643">
        <v>2.4142825592749493E-5</v>
      </c>
      <c r="DT57" s="643">
        <v>0</v>
      </c>
      <c r="DU57" s="642">
        <v>5.4999999999999997E-3</v>
      </c>
      <c r="DV57" s="642">
        <v>5.4999999999999997E-3</v>
      </c>
      <c r="DW57" s="643">
        <v>0.55100000000000005</v>
      </c>
      <c r="DX57" s="642">
        <v>0.25</v>
      </c>
      <c r="DY57" s="642">
        <v>5.9</v>
      </c>
      <c r="DZ57" s="642">
        <v>-0.15</v>
      </c>
      <c r="EA57" s="642">
        <v>2.25</v>
      </c>
      <c r="EB57" s="642">
        <v>-1.65</v>
      </c>
      <c r="EC57" s="642">
        <v>5.9690260418206069</v>
      </c>
      <c r="ED57" s="779">
        <v>33</v>
      </c>
      <c r="EE57" s="718">
        <v>11.915000000000001</v>
      </c>
      <c r="EF57" s="718">
        <v>1.56</v>
      </c>
      <c r="EG57" s="718">
        <v>4.3620000000000001</v>
      </c>
      <c r="EH57" s="719">
        <v>0</v>
      </c>
      <c r="EI57" s="718">
        <v>147557.59986718665</v>
      </c>
      <c r="EJ57" s="718">
        <v>116998.73975065858</v>
      </c>
      <c r="EK57" s="718">
        <v>0</v>
      </c>
      <c r="EL57" s="718">
        <v>0</v>
      </c>
      <c r="EM57" s="718">
        <v>0</v>
      </c>
      <c r="EN57" s="718">
        <v>36384901.905921109</v>
      </c>
      <c r="EO57" s="719">
        <v>0</v>
      </c>
      <c r="EP57" s="718">
        <v>0</v>
      </c>
      <c r="EQ57" s="718">
        <v>0</v>
      </c>
      <c r="ER57" s="719">
        <v>0</v>
      </c>
      <c r="ES57" s="719">
        <v>0</v>
      </c>
      <c r="ET57" s="718">
        <v>17.998571647836723</v>
      </c>
      <c r="EU57" s="718">
        <v>-0.68857002747406415</v>
      </c>
      <c r="EV57" s="718">
        <v>0</v>
      </c>
      <c r="EW57" s="719">
        <v>0</v>
      </c>
      <c r="EX57" s="719">
        <v>0</v>
      </c>
      <c r="EY57" s="719">
        <v>0</v>
      </c>
      <c r="EZ57" s="718">
        <v>0</v>
      </c>
      <c r="FA57" s="718">
        <v>0</v>
      </c>
      <c r="FB57" s="718">
        <v>-0.94591947544105737</v>
      </c>
      <c r="FC57" s="718">
        <v>0</v>
      </c>
      <c r="FD57" s="718">
        <v>0</v>
      </c>
      <c r="FE57" s="718">
        <v>0</v>
      </c>
      <c r="FF57" s="719">
        <v>2E-3</v>
      </c>
      <c r="FG57" s="719">
        <v>2E-3</v>
      </c>
      <c r="FH57" s="718">
        <v>-1.1039999999999999</v>
      </c>
      <c r="FI57" s="718">
        <v>0.16559999999999997</v>
      </c>
      <c r="FJ57" s="718">
        <v>2.6922819861203577E-4</v>
      </c>
      <c r="FK57" s="718">
        <v>0</v>
      </c>
      <c r="FL57" s="719">
        <v>5.4999999999999997E-3</v>
      </c>
      <c r="FM57" s="719">
        <v>5.4999999999999997E-3</v>
      </c>
      <c r="FN57" s="718">
        <v>1.8399999999999999</v>
      </c>
      <c r="FO57" s="719">
        <v>0.85</v>
      </c>
      <c r="FP57" s="719">
        <v>0</v>
      </c>
      <c r="FQ57" s="719">
        <v>0</v>
      </c>
      <c r="FR57" s="719">
        <v>1.4</v>
      </c>
      <c r="FS57" s="719">
        <v>-1.4</v>
      </c>
      <c r="FT57" s="719">
        <v>5.9690260418206069</v>
      </c>
      <c r="FU57" s="782">
        <f t="shared" si="4"/>
        <v>33</v>
      </c>
      <c r="FV57" s="617">
        <f t="shared" si="5"/>
        <v>11.915000000000001</v>
      </c>
      <c r="FW57" s="795">
        <f t="shared" si="6"/>
        <v>-1.56</v>
      </c>
      <c r="FX57" s="617">
        <f t="shared" si="7"/>
        <v>4.3620000000000001</v>
      </c>
      <c r="FY57" s="617">
        <f t="shared" si="8"/>
        <v>0</v>
      </c>
      <c r="FZ57" s="617">
        <f t="shared" si="9"/>
        <v>147557.59986718665</v>
      </c>
      <c r="GA57" s="617">
        <f t="shared" si="10"/>
        <v>116998.73975065858</v>
      </c>
      <c r="GB57" s="617">
        <f t="shared" si="11"/>
        <v>0</v>
      </c>
      <c r="GC57" s="617">
        <f t="shared" si="12"/>
        <v>0</v>
      </c>
      <c r="GD57" s="617">
        <f t="shared" si="13"/>
        <v>0</v>
      </c>
      <c r="GE57" s="617">
        <f t="shared" si="14"/>
        <v>36384901.905921109</v>
      </c>
      <c r="GF57" s="617">
        <f t="shared" si="15"/>
        <v>0</v>
      </c>
      <c r="GG57" s="617">
        <f t="shared" si="16"/>
        <v>0</v>
      </c>
      <c r="GH57" s="617">
        <f t="shared" si="17"/>
        <v>0</v>
      </c>
      <c r="GI57" s="617">
        <f t="shared" si="18"/>
        <v>0</v>
      </c>
      <c r="GJ57" s="617">
        <f t="shared" si="19"/>
        <v>0</v>
      </c>
      <c r="GK57" s="617">
        <f t="shared" si="20"/>
        <v>17.998571647836723</v>
      </c>
      <c r="GL57" s="617">
        <f t="shared" si="21"/>
        <v>-0.68857002747406415</v>
      </c>
      <c r="GM57" s="617">
        <f t="shared" si="22"/>
        <v>0</v>
      </c>
      <c r="GN57" s="617">
        <f t="shared" si="23"/>
        <v>0</v>
      </c>
      <c r="GO57" s="617">
        <f t="shared" si="24"/>
        <v>0</v>
      </c>
      <c r="GP57" s="617">
        <f t="shared" si="25"/>
        <v>0</v>
      </c>
      <c r="GQ57" s="617">
        <f t="shared" si="26"/>
        <v>0</v>
      </c>
      <c r="GR57" s="617">
        <f t="shared" si="27"/>
        <v>0</v>
      </c>
      <c r="GS57" s="617">
        <f t="shared" si="28"/>
        <v>-0.94591947544105737</v>
      </c>
      <c r="GT57" s="617">
        <f t="shared" si="29"/>
        <v>0</v>
      </c>
      <c r="GU57" s="617">
        <f t="shared" si="30"/>
        <v>0</v>
      </c>
      <c r="GV57" s="617">
        <f t="shared" si="31"/>
        <v>0</v>
      </c>
      <c r="GW57" s="617">
        <f t="shared" si="32"/>
        <v>2E-3</v>
      </c>
      <c r="GX57" s="617">
        <f t="shared" si="33"/>
        <v>2E-3</v>
      </c>
      <c r="GY57" s="617">
        <f t="shared" si="34"/>
        <v>-1.1039999999999999</v>
      </c>
      <c r="GZ57" s="617">
        <f t="shared" si="35"/>
        <v>0.16559999999999997</v>
      </c>
      <c r="HA57" s="617">
        <f t="shared" si="36"/>
        <v>2.6922819861203577E-4</v>
      </c>
      <c r="HB57" s="617">
        <f t="shared" si="37"/>
        <v>0</v>
      </c>
      <c r="HC57" s="617">
        <f t="shared" si="38"/>
        <v>5.4999999999999997E-3</v>
      </c>
      <c r="HD57" s="617">
        <f t="shared" si="39"/>
        <v>5.4999999999999997E-3</v>
      </c>
      <c r="HE57" s="617">
        <f t="shared" si="40"/>
        <v>1.8399999999999999</v>
      </c>
      <c r="HF57" s="617">
        <f t="shared" si="41"/>
        <v>0.85</v>
      </c>
      <c r="HG57" s="617">
        <f t="shared" si="42"/>
        <v>0</v>
      </c>
      <c r="HH57" s="617">
        <f t="shared" si="43"/>
        <v>0</v>
      </c>
      <c r="HI57" s="617">
        <f t="shared" si="44"/>
        <v>1.4</v>
      </c>
      <c r="HJ57" s="617">
        <f t="shared" si="45"/>
        <v>-1.4</v>
      </c>
      <c r="HK57" s="617">
        <f t="shared" si="46"/>
        <v>5.9690260418206069</v>
      </c>
    </row>
    <row r="58" spans="1:219" x14ac:dyDescent="0.25">
      <c r="A58" s="745" t="s">
        <v>1044</v>
      </c>
      <c r="B58" s="749">
        <v>4130</v>
      </c>
      <c r="C58" s="750">
        <v>-1560</v>
      </c>
      <c r="D58" s="751">
        <v>3900</v>
      </c>
      <c r="E58" s="812">
        <f>(B58+B$78)/10^3</f>
        <v>4.13</v>
      </c>
      <c r="F58" s="670">
        <f>(C58+C$78)/10^3</f>
        <v>-1.56</v>
      </c>
      <c r="G58" s="670">
        <f>(D58+D$78)/10^3</f>
        <v>3.9</v>
      </c>
      <c r="H58" s="668">
        <v>21.4</v>
      </c>
      <c r="I58" s="668">
        <v>6</v>
      </c>
      <c r="J58" s="670">
        <f>E58</f>
        <v>4.13</v>
      </c>
      <c r="K58" s="575">
        <v>1</v>
      </c>
      <c r="L58" s="626">
        <f ca="1">AL50/MAX(AX50:AX71)*100</f>
        <v>62.83823257997426</v>
      </c>
      <c r="M58">
        <v>9</v>
      </c>
      <c r="N58">
        <f ca="1">AK50+(AK51-AK50)*AL50/MAX(AX50:AX71)</f>
        <v>10.364796775976114</v>
      </c>
      <c r="O58" s="576">
        <v>0</v>
      </c>
      <c r="P58" s="580"/>
      <c r="AU58" s="594"/>
      <c r="AV58" s="575">
        <f ca="1">'REF - ASWING STRUCT-Imperial'!AV58</f>
        <v>38</v>
      </c>
      <c r="AW58" s="787">
        <f ca="1">'REF - ASWING STRUCT-Imperial'!AW58/3.28084</f>
        <v>7.3288422999999998</v>
      </c>
      <c r="AX58" s="660">
        <f ca="1">'REF - ASWING STRUCT-Imperial'!AX58/3.28084</f>
        <v>2.7854979999999996</v>
      </c>
      <c r="AY58" s="660">
        <f ca="1">'REF - ASWING STRUCT-Imperial'!AY58/3.28084</f>
        <v>2.4898129999999998</v>
      </c>
      <c r="AZ58" s="41">
        <f ca="1">'REF - ASWING STRUCT-Imperial'!AZ58</f>
        <v>0</v>
      </c>
      <c r="BA58" s="41">
        <f ca="1">'REF - ASWING STRUCT-Imperial'!BA58*0.413253134140599</f>
        <v>386970.6512718118</v>
      </c>
      <c r="BB58" s="41">
        <f ca="1">'REF - ASWING STRUCT-Imperial'!BB58*0.413253134140599</f>
        <v>1695980.7499978854</v>
      </c>
      <c r="BC58" s="41">
        <f ca="1">'REF - ASWING STRUCT-Imperial'!BC58*0.413253134140599</f>
        <v>0</v>
      </c>
      <c r="BD58" s="41">
        <f ca="1">'REF - ASWING STRUCT-Imperial'!BD58*0.413253134140599</f>
        <v>0</v>
      </c>
      <c r="BE58" s="41">
        <f ca="1">'REF - ASWING STRUCT-Imperial'!BE58*0.413253134140599</f>
        <v>0</v>
      </c>
      <c r="BF58" s="41">
        <f ca="1">'REF - ASWING STRUCT-Imperial'!BF58*0.413253134140599</f>
        <v>14174904.00019897</v>
      </c>
      <c r="BG58" s="41">
        <f ca="1">'REF - ASWING STRUCT-Imperial'!BG58</f>
        <v>0</v>
      </c>
      <c r="BH58" s="41">
        <f ca="1">'REF - ASWING STRUCT-Imperial'!BH58*4.44822</f>
        <v>0</v>
      </c>
      <c r="BI58" s="41">
        <f ca="1">'REF - ASWING STRUCT-Imperial'!BI58*4.44822</f>
        <v>0</v>
      </c>
      <c r="BJ58" s="41">
        <f ca="1">'REF - ASWING STRUCT-Imperial'!BJ58/(2.20462*3.28084)</f>
        <v>0</v>
      </c>
      <c r="BK58" s="41">
        <f ca="1">'REF - ASWING STRUCT-Imperial'!BK58/(2.20462*3.28084)</f>
        <v>0</v>
      </c>
      <c r="BL58" s="41">
        <f ca="1">'REF - ASWING STRUCT-Imperial'!BL58/(2.20462)*3.28084</f>
        <v>27.005298346816105</v>
      </c>
      <c r="BM58" s="41">
        <f ca="1">'REF - ASWING STRUCT-Imperial'!BM58/3.28084</f>
        <v>0.26316953900329898</v>
      </c>
      <c r="BN58" s="41">
        <f ca="1">'REF - ASWING STRUCT-Imperial'!BN58/3.28084</f>
        <v>0</v>
      </c>
      <c r="BO58" s="41">
        <f ca="1">'REF - ASWING STRUCT-Imperial'!BO58/(2.20462*3.28084)</f>
        <v>0</v>
      </c>
      <c r="BP58" s="41">
        <f ca="1">'REF - ASWING STRUCT-Imperial'!BP58/(2.20462*3.28084)</f>
        <v>0</v>
      </c>
      <c r="BQ58" s="41">
        <f ca="1">'REF - ASWING STRUCT-Imperial'!BQ58/(2.20462)*3.28084</f>
        <v>0</v>
      </c>
      <c r="BR58" s="41">
        <f ca="1">'REF - ASWING STRUCT-Imperial'!BR58/3.28084</f>
        <v>0</v>
      </c>
      <c r="BS58" s="41">
        <f ca="1">'REF - ASWING STRUCT-Imperial'!BS58/3.28084</f>
        <v>0</v>
      </c>
      <c r="BT58" s="41">
        <f ca="1">'REF - ASWING STRUCT-Imperial'!BT58/3.28084</f>
        <v>0.11992509683370679</v>
      </c>
      <c r="BU58" s="41">
        <f ca="1">'REF - ASWING STRUCT-Imperial'!BU58/3.28084</f>
        <v>0</v>
      </c>
      <c r="BV58" s="41">
        <f ca="1">'REF - ASWING STRUCT-Imperial'!BV58/3.28084</f>
        <v>0</v>
      </c>
      <c r="BW58" s="41">
        <f ca="1">'REF - ASWING STRUCT-Imperial'!BW58/3.28084</f>
        <v>0</v>
      </c>
      <c r="BX58" s="41">
        <f ca="1">'REF - ASWING STRUCT-Imperial'!BX58</f>
        <v>2E-3</v>
      </c>
      <c r="BY58" s="41">
        <f ca="1">'REF - ASWING STRUCT-Imperial'!BY58</f>
        <v>2E-3</v>
      </c>
      <c r="BZ58" s="41">
        <f ca="1">'REF - ASWING STRUCT-Imperial'!BZ58/3.28084</f>
        <v>0</v>
      </c>
      <c r="CA58" s="41">
        <f ca="1">'REF - ASWING STRUCT-Imperial'!CA58/3.28084</f>
        <v>0.12094650000000001</v>
      </c>
      <c r="CB58" s="41">
        <f ca="1">'REF - ASWING STRUCT-Imperial'!CB58/(3.28084^3)</f>
        <v>1.4361059800804124E-4</v>
      </c>
      <c r="CC58" s="41">
        <f ca="1">'REF - ASWING STRUCT-Imperial'!CC58/3.28084</f>
        <v>0</v>
      </c>
      <c r="CD58" s="41">
        <f>'REF - ASWING STRUCT-Imperial'!CD58</f>
        <v>5.4999999999999997E-3</v>
      </c>
      <c r="CE58" s="41">
        <f>'REF - ASWING STRUCT-Imperial'!CE58</f>
        <v>5.4999999999999997E-3</v>
      </c>
      <c r="CF58" s="41">
        <f ca="1">'REF - ASWING STRUCT-Imperial'!CF58/3.28084</f>
        <v>1.3438500000000002</v>
      </c>
      <c r="CG58" s="41">
        <f ca="1">'REF - ASWING STRUCT-Imperial'!CG58</f>
        <v>0.25</v>
      </c>
      <c r="CH58" s="41">
        <f ca="1">'REF - ASWING STRUCT-Imperial'!CH58</f>
        <v>5.35</v>
      </c>
      <c r="CI58" s="41">
        <f ca="1">'REF - ASWING STRUCT-Imperial'!CI58</f>
        <v>-0.15</v>
      </c>
      <c r="CJ58" s="41">
        <f ca="1">'REF - ASWING STRUCT-Imperial'!CJ58</f>
        <v>1.85</v>
      </c>
      <c r="CK58" s="41">
        <f ca="1">'REF - ASWING STRUCT-Imperial'!CK58</f>
        <v>-1.55</v>
      </c>
      <c r="CL58" s="789">
        <f ca="1">'REF - ASWING STRUCT-Imperial'!CL58</f>
        <v>5.9690260418206069</v>
      </c>
      <c r="CM58" s="641">
        <v>38.000000000000007</v>
      </c>
      <c r="CN58" s="643">
        <v>3.2013634</v>
      </c>
      <c r="CO58" s="643">
        <v>1.1400000000000001</v>
      </c>
      <c r="CP58" s="643">
        <v>3.9167552000000003</v>
      </c>
      <c r="CQ58" s="642">
        <v>0</v>
      </c>
      <c r="CR58" s="643">
        <v>36239.513787760334</v>
      </c>
      <c r="CS58" s="643">
        <v>33120.295895504605</v>
      </c>
      <c r="CT58" s="643">
        <v>0</v>
      </c>
      <c r="CU58" s="643">
        <v>0</v>
      </c>
      <c r="CV58" s="643">
        <v>0</v>
      </c>
      <c r="CW58" s="643">
        <v>899419.10511470051</v>
      </c>
      <c r="CX58" s="642">
        <v>0</v>
      </c>
      <c r="CY58" s="643">
        <v>0</v>
      </c>
      <c r="CZ58" s="643">
        <v>0</v>
      </c>
      <c r="DA58" s="642">
        <v>0</v>
      </c>
      <c r="DB58" s="642">
        <v>0</v>
      </c>
      <c r="DC58" s="643">
        <v>3.8633296353041779</v>
      </c>
      <c r="DD58" s="643">
        <v>0.10892345855787704</v>
      </c>
      <c r="DE58" s="643">
        <v>0</v>
      </c>
      <c r="DF58" s="642">
        <v>0</v>
      </c>
      <c r="DG58" s="642">
        <v>0</v>
      </c>
      <c r="DH58" s="642">
        <v>0</v>
      </c>
      <c r="DI58" s="643">
        <v>0</v>
      </c>
      <c r="DJ58" s="643">
        <v>0</v>
      </c>
      <c r="DK58" s="643">
        <v>4.9296345890959811E-2</v>
      </c>
      <c r="DL58" s="643">
        <v>0</v>
      </c>
      <c r="DM58" s="643">
        <v>0</v>
      </c>
      <c r="DN58" s="643">
        <v>0</v>
      </c>
      <c r="DO58" s="642">
        <v>2E-3</v>
      </c>
      <c r="DP58" s="642">
        <v>2E-3</v>
      </c>
      <c r="DQ58" s="643">
        <v>0</v>
      </c>
      <c r="DR58" s="643">
        <v>4.8239999999999998E-2</v>
      </c>
      <c r="DS58" s="643">
        <v>2.2846226532503382E-5</v>
      </c>
      <c r="DT58" s="643">
        <v>0</v>
      </c>
      <c r="DU58" s="642">
        <v>5.4999999999999997E-3</v>
      </c>
      <c r="DV58" s="642">
        <v>5.4999999999999997E-3</v>
      </c>
      <c r="DW58" s="643">
        <v>0.53600000000000003</v>
      </c>
      <c r="DX58" s="642">
        <v>0.25</v>
      </c>
      <c r="DY58" s="642">
        <v>5.9</v>
      </c>
      <c r="DZ58" s="642">
        <v>-0.15</v>
      </c>
      <c r="EA58" s="642">
        <v>2.25</v>
      </c>
      <c r="EB58" s="642">
        <v>-1.65</v>
      </c>
      <c r="EC58" s="642">
        <v>5.9690260418206069</v>
      </c>
      <c r="ED58" s="779">
        <v>38.000000000000007</v>
      </c>
      <c r="EE58" s="718">
        <v>11.94</v>
      </c>
      <c r="EF58" s="718">
        <v>1.56</v>
      </c>
      <c r="EG58" s="718">
        <v>4.4319999999999995</v>
      </c>
      <c r="EH58" s="719">
        <v>0</v>
      </c>
      <c r="EI58" s="718">
        <v>128700.01230985457</v>
      </c>
      <c r="EJ58" s="718">
        <v>104627.06299299804</v>
      </c>
      <c r="EK58" s="718">
        <v>0</v>
      </c>
      <c r="EL58" s="718">
        <v>0</v>
      </c>
      <c r="EM58" s="718">
        <v>0</v>
      </c>
      <c r="EN58" s="718">
        <v>30769148.95279596</v>
      </c>
      <c r="EO58" s="719">
        <v>0</v>
      </c>
      <c r="EP58" s="718">
        <v>0</v>
      </c>
      <c r="EQ58" s="718">
        <v>0</v>
      </c>
      <c r="ER58" s="719">
        <v>0</v>
      </c>
      <c r="ES58" s="719">
        <v>0</v>
      </c>
      <c r="ET58" s="718">
        <v>17.032777157723618</v>
      </c>
      <c r="EU58" s="718">
        <v>-0.65223899473660163</v>
      </c>
      <c r="EV58" s="718">
        <v>0</v>
      </c>
      <c r="EW58" s="719">
        <v>0</v>
      </c>
      <c r="EX58" s="719">
        <v>0</v>
      </c>
      <c r="EY58" s="719">
        <v>0</v>
      </c>
      <c r="EZ58" s="718">
        <v>0</v>
      </c>
      <c r="FA58" s="718">
        <v>0</v>
      </c>
      <c r="FB58" s="718">
        <v>-0.89109876032699642</v>
      </c>
      <c r="FC58" s="718">
        <v>0</v>
      </c>
      <c r="FD58" s="718">
        <v>0</v>
      </c>
      <c r="FE58" s="718">
        <v>0</v>
      </c>
      <c r="FF58" s="719">
        <v>2E-3</v>
      </c>
      <c r="FG58" s="719">
        <v>2E-3</v>
      </c>
      <c r="FH58" s="718">
        <v>-1.044</v>
      </c>
      <c r="FI58" s="718">
        <v>0.15660000000000002</v>
      </c>
      <c r="FJ58" s="718">
        <v>2.407594795952858E-4</v>
      </c>
      <c r="FK58" s="718">
        <v>0</v>
      </c>
      <c r="FL58" s="719">
        <v>5.4999999999999997E-3</v>
      </c>
      <c r="FM58" s="719">
        <v>5.4999999999999997E-3</v>
      </c>
      <c r="FN58" s="718">
        <v>1.74</v>
      </c>
      <c r="FO58" s="719">
        <v>0.85</v>
      </c>
      <c r="FP58" s="719">
        <v>0</v>
      </c>
      <c r="FQ58" s="719">
        <v>0</v>
      </c>
      <c r="FR58" s="719">
        <v>1.4</v>
      </c>
      <c r="FS58" s="719">
        <v>-1.4</v>
      </c>
      <c r="FT58" s="719">
        <v>5.9690260418206069</v>
      </c>
      <c r="FU58" s="782">
        <f t="shared" si="4"/>
        <v>38.000000000000007</v>
      </c>
      <c r="FV58" s="617">
        <f t="shared" si="5"/>
        <v>11.94</v>
      </c>
      <c r="FW58" s="795">
        <f t="shared" si="6"/>
        <v>-1.56</v>
      </c>
      <c r="FX58" s="617">
        <f t="shared" si="7"/>
        <v>4.4319999999999995</v>
      </c>
      <c r="FY58" s="617">
        <f t="shared" si="8"/>
        <v>0</v>
      </c>
      <c r="FZ58" s="617">
        <f t="shared" si="9"/>
        <v>128700.01230985457</v>
      </c>
      <c r="GA58" s="617">
        <f t="shared" si="10"/>
        <v>104627.06299299804</v>
      </c>
      <c r="GB58" s="617">
        <f t="shared" si="11"/>
        <v>0</v>
      </c>
      <c r="GC58" s="617">
        <f t="shared" si="12"/>
        <v>0</v>
      </c>
      <c r="GD58" s="617">
        <f t="shared" si="13"/>
        <v>0</v>
      </c>
      <c r="GE58" s="617">
        <f t="shared" si="14"/>
        <v>30769148.95279596</v>
      </c>
      <c r="GF58" s="617">
        <f t="shared" si="15"/>
        <v>0</v>
      </c>
      <c r="GG58" s="617">
        <f t="shared" si="16"/>
        <v>0</v>
      </c>
      <c r="GH58" s="617">
        <f t="shared" si="17"/>
        <v>0</v>
      </c>
      <c r="GI58" s="617">
        <f t="shared" si="18"/>
        <v>0</v>
      </c>
      <c r="GJ58" s="617">
        <f t="shared" si="19"/>
        <v>0</v>
      </c>
      <c r="GK58" s="617">
        <f t="shared" si="20"/>
        <v>17.032777157723618</v>
      </c>
      <c r="GL58" s="617">
        <f t="shared" si="21"/>
        <v>-0.65223899473660163</v>
      </c>
      <c r="GM58" s="617">
        <f t="shared" si="22"/>
        <v>0</v>
      </c>
      <c r="GN58" s="617">
        <f t="shared" si="23"/>
        <v>0</v>
      </c>
      <c r="GO58" s="617">
        <f t="shared" si="24"/>
        <v>0</v>
      </c>
      <c r="GP58" s="617">
        <f t="shared" si="25"/>
        <v>0</v>
      </c>
      <c r="GQ58" s="617">
        <f t="shared" si="26"/>
        <v>0</v>
      </c>
      <c r="GR58" s="617">
        <f t="shared" si="27"/>
        <v>0</v>
      </c>
      <c r="GS58" s="617">
        <f t="shared" si="28"/>
        <v>-0.89109876032699642</v>
      </c>
      <c r="GT58" s="617">
        <f t="shared" si="29"/>
        <v>0</v>
      </c>
      <c r="GU58" s="617">
        <f t="shared" si="30"/>
        <v>0</v>
      </c>
      <c r="GV58" s="617">
        <f t="shared" si="31"/>
        <v>0</v>
      </c>
      <c r="GW58" s="617">
        <f t="shared" si="32"/>
        <v>2E-3</v>
      </c>
      <c r="GX58" s="617">
        <f t="shared" si="33"/>
        <v>2E-3</v>
      </c>
      <c r="GY58" s="617">
        <f t="shared" si="34"/>
        <v>-1.044</v>
      </c>
      <c r="GZ58" s="617">
        <f t="shared" si="35"/>
        <v>0.15660000000000002</v>
      </c>
      <c r="HA58" s="617">
        <f t="shared" si="36"/>
        <v>2.407594795952858E-4</v>
      </c>
      <c r="HB58" s="617">
        <f t="shared" si="37"/>
        <v>0</v>
      </c>
      <c r="HC58" s="617">
        <f t="shared" si="38"/>
        <v>5.4999999999999997E-3</v>
      </c>
      <c r="HD58" s="617">
        <f t="shared" si="39"/>
        <v>5.4999999999999997E-3</v>
      </c>
      <c r="HE58" s="617">
        <f t="shared" si="40"/>
        <v>1.74</v>
      </c>
      <c r="HF58" s="617">
        <f t="shared" si="41"/>
        <v>0.85</v>
      </c>
      <c r="HG58" s="617">
        <f t="shared" si="42"/>
        <v>0</v>
      </c>
      <c r="HH58" s="617">
        <f t="shared" si="43"/>
        <v>0</v>
      </c>
      <c r="HI58" s="617">
        <f t="shared" si="44"/>
        <v>1.4</v>
      </c>
      <c r="HJ58" s="617">
        <f t="shared" si="45"/>
        <v>-1.4</v>
      </c>
      <c r="HK58" s="617">
        <f t="shared" si="46"/>
        <v>5.9690260418206069</v>
      </c>
    </row>
    <row r="59" spans="1:219" x14ac:dyDescent="0.25">
      <c r="A59" s="745" t="s">
        <v>1045</v>
      </c>
      <c r="B59" s="749">
        <v>4130</v>
      </c>
      <c r="C59" s="750">
        <v>1560</v>
      </c>
      <c r="D59" s="751">
        <v>3900</v>
      </c>
      <c r="E59" s="812">
        <f t="shared" ref="E59:E75" si="50">(B59+B$78)/10^3</f>
        <v>4.13</v>
      </c>
      <c r="F59" s="670">
        <f t="shared" ref="F59:F75" si="51">(C59+C$78)/10^3</f>
        <v>1.56</v>
      </c>
      <c r="G59" s="670">
        <f t="shared" ref="G59:G75" si="52">(D59+D$78)/10^3</f>
        <v>3.9</v>
      </c>
      <c r="H59" s="668">
        <v>21.4</v>
      </c>
      <c r="I59" s="668">
        <v>5</v>
      </c>
      <c r="J59" s="670">
        <f t="shared" ref="J59:J69" si="53">E59</f>
        <v>4.13</v>
      </c>
      <c r="K59" s="575">
        <v>1</v>
      </c>
      <c r="L59" s="626">
        <f ca="1">AQ50/MAX(AX51:AX72)*100</f>
        <v>-62.83823257997426</v>
      </c>
      <c r="M59">
        <v>10</v>
      </c>
      <c r="N59">
        <f ca="1">N58</f>
        <v>10.364796775976114</v>
      </c>
      <c r="O59" s="576">
        <v>0</v>
      </c>
      <c r="P59" s="580"/>
      <c r="AU59" s="594"/>
      <c r="AV59" s="575">
        <f ca="1">'REF - ASWING STRUCT-Imperial'!AV59</f>
        <v>42</v>
      </c>
      <c r="AW59" s="787">
        <f ca="1">'REF - ASWING STRUCT-Imperial'!AW59/3.28084</f>
        <v>7.3342672999999987</v>
      </c>
      <c r="AX59" s="660">
        <f ca="1">'REF - ASWING STRUCT-Imperial'!AX59/3.28084</f>
        <v>3.0790979999999992</v>
      </c>
      <c r="AY59" s="660">
        <f ca="1">'REF - ASWING STRUCT-Imperial'!AY59/3.28084</f>
        <v>2.4898129999999998</v>
      </c>
      <c r="AZ59" s="41">
        <f ca="1">'REF - ASWING STRUCT-Imperial'!AZ59</f>
        <v>0</v>
      </c>
      <c r="BA59" s="41">
        <f ca="1">'REF - ASWING STRUCT-Imperial'!BA59*0.413253134140599</f>
        <v>288094.02329598449</v>
      </c>
      <c r="BB59" s="41">
        <f ca="1">'REF - ASWING STRUCT-Imperial'!BB59*0.413253134140599</f>
        <v>1211415.0608274953</v>
      </c>
      <c r="BC59" s="41">
        <f ca="1">'REF - ASWING STRUCT-Imperial'!BC59*0.413253134140599</f>
        <v>0</v>
      </c>
      <c r="BD59" s="41">
        <f ca="1">'REF - ASWING STRUCT-Imperial'!BD59*0.413253134140599</f>
        <v>0</v>
      </c>
      <c r="BE59" s="41">
        <f ca="1">'REF - ASWING STRUCT-Imperial'!BE59*0.413253134140599</f>
        <v>0</v>
      </c>
      <c r="BF59" s="41">
        <f ca="1">'REF - ASWING STRUCT-Imperial'!BF59*0.413253134140599</f>
        <v>13499258.92173822</v>
      </c>
      <c r="BG59" s="41">
        <f ca="1">'REF - ASWING STRUCT-Imperial'!BG59</f>
        <v>0</v>
      </c>
      <c r="BH59" s="41">
        <f ca="1">'REF - ASWING STRUCT-Imperial'!BH59*4.44822</f>
        <v>0</v>
      </c>
      <c r="BI59" s="41">
        <f ca="1">'REF - ASWING STRUCT-Imperial'!BI59*4.44822</f>
        <v>0</v>
      </c>
      <c r="BJ59" s="41">
        <f ca="1">'REF - ASWING STRUCT-Imperial'!BJ59/(2.20462*3.28084)</f>
        <v>0</v>
      </c>
      <c r="BK59" s="41">
        <f ca="1">'REF - ASWING STRUCT-Imperial'!BK59/(2.20462*3.28084)</f>
        <v>0</v>
      </c>
      <c r="BL59" s="41">
        <f ca="1">'REF - ASWING STRUCT-Imperial'!BL59/(2.20462)*3.28084</f>
        <v>25.528957996491371</v>
      </c>
      <c r="BM59" s="41">
        <f ca="1">'REF - ASWING STRUCT-Imperial'!BM59/3.28084</f>
        <v>0.26931502899353976</v>
      </c>
      <c r="BN59" s="41">
        <f ca="1">'REF - ASWING STRUCT-Imperial'!BN59/3.28084</f>
        <v>0</v>
      </c>
      <c r="BO59" s="41">
        <f ca="1">'REF - ASWING STRUCT-Imperial'!BO59/(2.20462*3.28084)</f>
        <v>0</v>
      </c>
      <c r="BP59" s="41">
        <f ca="1">'REF - ASWING STRUCT-Imperial'!BP59/(2.20462*3.28084)</f>
        <v>0</v>
      </c>
      <c r="BQ59" s="41">
        <f ca="1">'REF - ASWING STRUCT-Imperial'!BQ59/(2.20462)*3.28084</f>
        <v>0</v>
      </c>
      <c r="BR59" s="41">
        <f ca="1">'REF - ASWING STRUCT-Imperial'!BR59/3.28084</f>
        <v>0</v>
      </c>
      <c r="BS59" s="41">
        <f ca="1">'REF - ASWING STRUCT-Imperial'!BS59/3.28084</f>
        <v>0</v>
      </c>
      <c r="BT59" s="41">
        <f ca="1">'REF - ASWING STRUCT-Imperial'!BT59/3.28084</f>
        <v>0.11798200165694649</v>
      </c>
      <c r="BU59" s="41">
        <f ca="1">'REF - ASWING STRUCT-Imperial'!BU59/3.28084</f>
        <v>0</v>
      </c>
      <c r="BV59" s="41">
        <f ca="1">'REF - ASWING STRUCT-Imperial'!BV59/3.28084</f>
        <v>0</v>
      </c>
      <c r="BW59" s="41">
        <f ca="1">'REF - ASWING STRUCT-Imperial'!BW59/3.28084</f>
        <v>0</v>
      </c>
      <c r="BX59" s="41">
        <f ca="1">'REF - ASWING STRUCT-Imperial'!BX59</f>
        <v>2E-3</v>
      </c>
      <c r="BY59" s="41">
        <f ca="1">'REF - ASWING STRUCT-Imperial'!BY59</f>
        <v>2E-3</v>
      </c>
      <c r="BZ59" s="41">
        <f ca="1">'REF - ASWING STRUCT-Imperial'!BZ59/3.28084</f>
        <v>0</v>
      </c>
      <c r="CA59" s="41">
        <f ca="1">'REF - ASWING STRUCT-Imperial'!CA59/3.28084</f>
        <v>0.1189935</v>
      </c>
      <c r="CB59" s="41">
        <f ca="1">'REF - ASWING STRUCT-Imperial'!CB59/(3.28084^3)</f>
        <v>1.3901010072787129E-4</v>
      </c>
      <c r="CC59" s="41">
        <f ca="1">'REF - ASWING STRUCT-Imperial'!CC59/3.28084</f>
        <v>0</v>
      </c>
      <c r="CD59" s="41">
        <f>'REF - ASWING STRUCT-Imperial'!CD59</f>
        <v>5.4999999999999997E-3</v>
      </c>
      <c r="CE59" s="41">
        <f>'REF - ASWING STRUCT-Imperial'!CE59</f>
        <v>5.4999999999999997E-3</v>
      </c>
      <c r="CF59" s="41">
        <f ca="1">'REF - ASWING STRUCT-Imperial'!CF59/3.28084</f>
        <v>1.3221499999999999</v>
      </c>
      <c r="CG59" s="41">
        <f ca="1">'REF - ASWING STRUCT-Imperial'!CG59</f>
        <v>0.25</v>
      </c>
      <c r="CH59" s="41">
        <f ca="1">'REF - ASWING STRUCT-Imperial'!CH59</f>
        <v>5.35</v>
      </c>
      <c r="CI59" s="41">
        <f ca="1">'REF - ASWING STRUCT-Imperial'!CI59</f>
        <v>-0.15</v>
      </c>
      <c r="CJ59" s="41">
        <f ca="1">'REF - ASWING STRUCT-Imperial'!CJ59</f>
        <v>1.85</v>
      </c>
      <c r="CK59" s="41">
        <f ca="1">'REF - ASWING STRUCT-Imperial'!CK59</f>
        <v>-1.55</v>
      </c>
      <c r="CL59" s="789">
        <f ca="1">'REF - ASWING STRUCT-Imperial'!CL59</f>
        <v>5.9690260418206069</v>
      </c>
      <c r="CM59" s="641">
        <v>42</v>
      </c>
      <c r="CN59" s="643">
        <v>3.2043633999999996</v>
      </c>
      <c r="CO59" s="643">
        <v>1.26</v>
      </c>
      <c r="CP59" s="643">
        <v>3.9167552000000003</v>
      </c>
      <c r="CQ59" s="642">
        <v>0</v>
      </c>
      <c r="CR59" s="643">
        <v>26305.131446067691</v>
      </c>
      <c r="CS59" s="643">
        <v>23599.172548626906</v>
      </c>
      <c r="CT59" s="643">
        <v>0</v>
      </c>
      <c r="CU59" s="643">
        <v>0</v>
      </c>
      <c r="CV59" s="643">
        <v>0</v>
      </c>
      <c r="CW59" s="643">
        <v>840352.70106213703</v>
      </c>
      <c r="CX59" s="642">
        <v>0</v>
      </c>
      <c r="CY59" s="643">
        <v>0</v>
      </c>
      <c r="CZ59" s="643">
        <v>0</v>
      </c>
      <c r="DA59" s="642">
        <v>0</v>
      </c>
      <c r="DB59" s="642">
        <v>0</v>
      </c>
      <c r="DC59" s="643">
        <v>3.660405635406101</v>
      </c>
      <c r="DD59" s="643">
        <v>0.10982246669046763</v>
      </c>
      <c r="DE59" s="643">
        <v>0</v>
      </c>
      <c r="DF59" s="642">
        <v>0</v>
      </c>
      <c r="DG59" s="642">
        <v>0</v>
      </c>
      <c r="DH59" s="642">
        <v>0</v>
      </c>
      <c r="DI59" s="643">
        <v>0</v>
      </c>
      <c r="DJ59" s="643">
        <v>0</v>
      </c>
      <c r="DK59" s="643">
        <v>4.8364848202480014E-2</v>
      </c>
      <c r="DL59" s="643">
        <v>0</v>
      </c>
      <c r="DM59" s="643">
        <v>0</v>
      </c>
      <c r="DN59" s="643">
        <v>0</v>
      </c>
      <c r="DO59" s="642">
        <v>2E-3</v>
      </c>
      <c r="DP59" s="642">
        <v>2E-3</v>
      </c>
      <c r="DQ59" s="643">
        <v>0</v>
      </c>
      <c r="DR59" s="643">
        <v>4.7159999999999994E-2</v>
      </c>
      <c r="DS59" s="643">
        <v>2.1834712270232261E-5</v>
      </c>
      <c r="DT59" s="643">
        <v>0</v>
      </c>
      <c r="DU59" s="642">
        <v>5.4999999999999997E-3</v>
      </c>
      <c r="DV59" s="642">
        <v>5.4999999999999997E-3</v>
      </c>
      <c r="DW59" s="643">
        <v>0.52400000000000002</v>
      </c>
      <c r="DX59" s="642">
        <v>0.25</v>
      </c>
      <c r="DY59" s="642">
        <v>5.9</v>
      </c>
      <c r="DZ59" s="642">
        <v>-0.15</v>
      </c>
      <c r="EA59" s="642">
        <v>2.25</v>
      </c>
      <c r="EB59" s="642">
        <v>-1.65</v>
      </c>
      <c r="EC59" s="642">
        <v>5.9690260418206069</v>
      </c>
      <c r="ED59" s="779">
        <v>42</v>
      </c>
      <c r="EE59" s="718">
        <v>11.96</v>
      </c>
      <c r="EF59" s="718">
        <v>1.56</v>
      </c>
      <c r="EG59" s="718">
        <v>4.4879999999999995</v>
      </c>
      <c r="EH59" s="719">
        <v>0</v>
      </c>
      <c r="EI59" s="718">
        <v>88647.673305337928</v>
      </c>
      <c r="EJ59" s="718">
        <v>73272.980841744531</v>
      </c>
      <c r="EK59" s="718">
        <v>0</v>
      </c>
      <c r="EL59" s="718">
        <v>0</v>
      </c>
      <c r="EM59" s="718">
        <v>0</v>
      </c>
      <c r="EN59" s="718">
        <v>26717265.331019524</v>
      </c>
      <c r="EO59" s="719">
        <v>0</v>
      </c>
      <c r="EP59" s="718">
        <v>0</v>
      </c>
      <c r="EQ59" s="718">
        <v>0</v>
      </c>
      <c r="ER59" s="719">
        <v>0</v>
      </c>
      <c r="ES59" s="719">
        <v>0</v>
      </c>
      <c r="ET59" s="718">
        <v>16.229819249089218</v>
      </c>
      <c r="EU59" s="718">
        <v>-0.62245911595822412</v>
      </c>
      <c r="EV59" s="718">
        <v>0</v>
      </c>
      <c r="EW59" s="719">
        <v>0</v>
      </c>
      <c r="EX59" s="719">
        <v>0</v>
      </c>
      <c r="EY59" s="719">
        <v>0</v>
      </c>
      <c r="EZ59" s="718">
        <v>0</v>
      </c>
      <c r="FA59" s="718">
        <v>0</v>
      </c>
      <c r="FB59" s="718">
        <v>-0.84881936611835118</v>
      </c>
      <c r="FC59" s="718">
        <v>0</v>
      </c>
      <c r="FD59" s="718">
        <v>0</v>
      </c>
      <c r="FE59" s="718">
        <v>0</v>
      </c>
      <c r="FF59" s="719">
        <v>2E-3</v>
      </c>
      <c r="FG59" s="719">
        <v>2E-3</v>
      </c>
      <c r="FH59" s="718">
        <v>-0.99600000000000022</v>
      </c>
      <c r="FI59" s="718">
        <v>0.14940000000000001</v>
      </c>
      <c r="FJ59" s="718">
        <v>2.1912961486747582E-4</v>
      </c>
      <c r="FK59" s="718">
        <v>0</v>
      </c>
      <c r="FL59" s="719">
        <v>5.4999999999999997E-3</v>
      </c>
      <c r="FM59" s="719">
        <v>5.4999999999999997E-3</v>
      </c>
      <c r="FN59" s="718">
        <v>1.6600000000000001</v>
      </c>
      <c r="FO59" s="719">
        <v>0.85</v>
      </c>
      <c r="FP59" s="719">
        <v>0</v>
      </c>
      <c r="FQ59" s="719">
        <v>0</v>
      </c>
      <c r="FR59" s="719">
        <v>1.4</v>
      </c>
      <c r="FS59" s="719">
        <v>-1.4</v>
      </c>
      <c r="FT59" s="719">
        <v>5.9690260418206069</v>
      </c>
      <c r="FU59" s="782">
        <f t="shared" si="4"/>
        <v>42</v>
      </c>
      <c r="FV59" s="617">
        <f t="shared" si="5"/>
        <v>11.96</v>
      </c>
      <c r="FW59" s="795">
        <f t="shared" si="6"/>
        <v>-1.56</v>
      </c>
      <c r="FX59" s="617">
        <f t="shared" si="7"/>
        <v>4.4879999999999995</v>
      </c>
      <c r="FY59" s="617">
        <f t="shared" si="8"/>
        <v>0</v>
      </c>
      <c r="FZ59" s="617">
        <f t="shared" si="9"/>
        <v>88647.673305337928</v>
      </c>
      <c r="GA59" s="617">
        <f t="shared" si="10"/>
        <v>73272.980841744531</v>
      </c>
      <c r="GB59" s="617">
        <f t="shared" si="11"/>
        <v>0</v>
      </c>
      <c r="GC59" s="617">
        <f t="shared" si="12"/>
        <v>0</v>
      </c>
      <c r="GD59" s="617">
        <f t="shared" si="13"/>
        <v>0</v>
      </c>
      <c r="GE59" s="617">
        <f t="shared" si="14"/>
        <v>26717265.331019524</v>
      </c>
      <c r="GF59" s="617">
        <f t="shared" si="15"/>
        <v>0</v>
      </c>
      <c r="GG59" s="617">
        <f t="shared" si="16"/>
        <v>0</v>
      </c>
      <c r="GH59" s="617">
        <f t="shared" si="17"/>
        <v>0</v>
      </c>
      <c r="GI59" s="617">
        <f t="shared" si="18"/>
        <v>0</v>
      </c>
      <c r="GJ59" s="617">
        <f t="shared" si="19"/>
        <v>0</v>
      </c>
      <c r="GK59" s="617">
        <f t="shared" si="20"/>
        <v>16.229819249089218</v>
      </c>
      <c r="GL59" s="617">
        <f t="shared" si="21"/>
        <v>-0.62245911595822412</v>
      </c>
      <c r="GM59" s="617">
        <f t="shared" si="22"/>
        <v>0</v>
      </c>
      <c r="GN59" s="617">
        <f t="shared" si="23"/>
        <v>0</v>
      </c>
      <c r="GO59" s="617">
        <f t="shared" si="24"/>
        <v>0</v>
      </c>
      <c r="GP59" s="617">
        <f t="shared" si="25"/>
        <v>0</v>
      </c>
      <c r="GQ59" s="617">
        <f t="shared" si="26"/>
        <v>0</v>
      </c>
      <c r="GR59" s="617">
        <f t="shared" si="27"/>
        <v>0</v>
      </c>
      <c r="GS59" s="617">
        <f t="shared" si="28"/>
        <v>-0.84881936611835118</v>
      </c>
      <c r="GT59" s="617">
        <f t="shared" si="29"/>
        <v>0</v>
      </c>
      <c r="GU59" s="617">
        <f t="shared" si="30"/>
        <v>0</v>
      </c>
      <c r="GV59" s="617">
        <f t="shared" si="31"/>
        <v>0</v>
      </c>
      <c r="GW59" s="617">
        <f t="shared" si="32"/>
        <v>2E-3</v>
      </c>
      <c r="GX59" s="617">
        <f t="shared" si="33"/>
        <v>2E-3</v>
      </c>
      <c r="GY59" s="617">
        <f t="shared" si="34"/>
        <v>-0.99600000000000022</v>
      </c>
      <c r="GZ59" s="617">
        <f t="shared" si="35"/>
        <v>0.14940000000000001</v>
      </c>
      <c r="HA59" s="617">
        <f t="shared" si="36"/>
        <v>2.1912961486747582E-4</v>
      </c>
      <c r="HB59" s="617">
        <f t="shared" si="37"/>
        <v>0</v>
      </c>
      <c r="HC59" s="617">
        <f t="shared" si="38"/>
        <v>5.4999999999999997E-3</v>
      </c>
      <c r="HD59" s="617">
        <f t="shared" si="39"/>
        <v>5.4999999999999997E-3</v>
      </c>
      <c r="HE59" s="617">
        <f t="shared" si="40"/>
        <v>1.6600000000000001</v>
      </c>
      <c r="HF59" s="617">
        <f t="shared" si="41"/>
        <v>0.85</v>
      </c>
      <c r="HG59" s="617">
        <f t="shared" si="42"/>
        <v>0</v>
      </c>
      <c r="HH59" s="617">
        <f t="shared" si="43"/>
        <v>0</v>
      </c>
      <c r="HI59" s="617">
        <f t="shared" si="44"/>
        <v>1.4</v>
      </c>
      <c r="HJ59" s="617">
        <f t="shared" si="45"/>
        <v>-1.4</v>
      </c>
      <c r="HK59" s="617">
        <f t="shared" si="46"/>
        <v>5.9690260418206069</v>
      </c>
    </row>
    <row r="60" spans="1:219" x14ac:dyDescent="0.25">
      <c r="A60" s="745" t="s">
        <v>1046</v>
      </c>
      <c r="B60" s="749">
        <v>7221</v>
      </c>
      <c r="C60" s="750">
        <v>-4610</v>
      </c>
      <c r="D60" s="751">
        <v>3700</v>
      </c>
      <c r="E60" s="812">
        <f t="shared" si="50"/>
        <v>7.2210000000000001</v>
      </c>
      <c r="F60" s="670">
        <f t="shared" si="51"/>
        <v>-4.6100000000000003</v>
      </c>
      <c r="G60" s="670">
        <f t="shared" si="52"/>
        <v>3.7</v>
      </c>
      <c r="H60" s="668">
        <v>21.4</v>
      </c>
      <c r="I60" s="668">
        <v>10</v>
      </c>
      <c r="J60" s="670">
        <f t="shared" si="53"/>
        <v>7.2210000000000001</v>
      </c>
      <c r="K60" s="575"/>
      <c r="O60" s="576"/>
      <c r="P60" s="580"/>
      <c r="AU60" s="594"/>
      <c r="AV60" s="575">
        <f ca="1">'REF - ASWING STRUCT-Imperial'!AV60</f>
        <v>47</v>
      </c>
      <c r="AW60" s="787">
        <f ca="1">'REF - ASWING STRUCT-Imperial'!AW60/3.28084</f>
        <v>7.3410485499999991</v>
      </c>
      <c r="AX60" s="660">
        <f ca="1">'REF - ASWING STRUCT-Imperial'!AX60/3.28084</f>
        <v>3.4460979999999992</v>
      </c>
      <c r="AY60" s="660">
        <f ca="1">'REF - ASWING STRUCT-Imperial'!AY60/3.28084</f>
        <v>2.4898129999999998</v>
      </c>
      <c r="AZ60" s="41">
        <f ca="1">'REF - ASWING STRUCT-Imperial'!AZ60</f>
        <v>0</v>
      </c>
      <c r="BA60" s="41">
        <f ca="1">'REF - ASWING STRUCT-Imperial'!BA60*0.413253134140599</f>
        <v>254242.12958070604</v>
      </c>
      <c r="BB60" s="41">
        <f ca="1">'REF - ASWING STRUCT-Imperial'!BB60*0.413253134140599</f>
        <v>1162218.5819787923</v>
      </c>
      <c r="BC60" s="41">
        <f ca="1">'REF - ASWING STRUCT-Imperial'!BC60*0.413253134140599</f>
        <v>0</v>
      </c>
      <c r="BD60" s="41">
        <f ca="1">'REF - ASWING STRUCT-Imperial'!BD60*0.413253134140599</f>
        <v>0</v>
      </c>
      <c r="BE60" s="41">
        <f ca="1">'REF - ASWING STRUCT-Imperial'!BE60*0.413253134140599</f>
        <v>0</v>
      </c>
      <c r="BF60" s="41">
        <f ca="1">'REF - ASWING STRUCT-Imperial'!BF60*0.413253134140599</f>
        <v>12685342.472117092</v>
      </c>
      <c r="BG60" s="41">
        <f ca="1">'REF - ASWING STRUCT-Imperial'!BG60</f>
        <v>0</v>
      </c>
      <c r="BH60" s="41">
        <f ca="1">'REF - ASWING STRUCT-Imperial'!BH60*4.44822</f>
        <v>0</v>
      </c>
      <c r="BI60" s="41">
        <f ca="1">'REF - ASWING STRUCT-Imperial'!BI60*4.44822</f>
        <v>0</v>
      </c>
      <c r="BJ60" s="41">
        <f ca="1">'REF - ASWING STRUCT-Imperial'!BJ60/(2.20462*3.28084)</f>
        <v>0</v>
      </c>
      <c r="BK60" s="41">
        <f ca="1">'REF - ASWING STRUCT-Imperial'!BK60/(2.20462*3.28084)</f>
        <v>0</v>
      </c>
      <c r="BL60" s="41">
        <f ca="1">'REF - ASWING STRUCT-Imperial'!BL60/(2.20462)*3.28084</f>
        <v>25.066171885051748</v>
      </c>
      <c r="BM60" s="41">
        <f ca="1">'REF - ASWING STRUCT-Imperial'!BM60/3.28084</f>
        <v>0.26314063514283365</v>
      </c>
      <c r="BN60" s="41">
        <f ca="1">'REF - ASWING STRUCT-Imperial'!BN60/3.28084</f>
        <v>0</v>
      </c>
      <c r="BO60" s="41">
        <f ca="1">'REF - ASWING STRUCT-Imperial'!BO60/(2.20462*3.28084)</f>
        <v>0</v>
      </c>
      <c r="BP60" s="41">
        <f ca="1">'REF - ASWING STRUCT-Imperial'!BP60/(2.20462*3.28084)</f>
        <v>0</v>
      </c>
      <c r="BQ60" s="41">
        <f ca="1">'REF - ASWING STRUCT-Imperial'!BQ60/(2.20462)*3.28084</f>
        <v>0</v>
      </c>
      <c r="BR60" s="41">
        <f ca="1">'REF - ASWING STRUCT-Imperial'!BR60/3.28084</f>
        <v>0</v>
      </c>
      <c r="BS60" s="41">
        <f ca="1">'REF - ASWING STRUCT-Imperial'!BS60/3.28084</f>
        <v>0</v>
      </c>
      <c r="BT60" s="41">
        <f ca="1">'REF - ASWING STRUCT-Imperial'!BT60/3.28084</f>
        <v>0.11555196987137244</v>
      </c>
      <c r="BU60" s="41">
        <f ca="1">'REF - ASWING STRUCT-Imperial'!BU60/3.28084</f>
        <v>0</v>
      </c>
      <c r="BV60" s="41">
        <f ca="1">'REF - ASWING STRUCT-Imperial'!BV60/3.28084</f>
        <v>0</v>
      </c>
      <c r="BW60" s="41">
        <f ca="1">'REF - ASWING STRUCT-Imperial'!BW60/3.28084</f>
        <v>0</v>
      </c>
      <c r="BX60" s="41">
        <f ca="1">'REF - ASWING STRUCT-Imperial'!BX60</f>
        <v>2E-3</v>
      </c>
      <c r="BY60" s="41">
        <f ca="1">'REF - ASWING STRUCT-Imperial'!BY60</f>
        <v>2E-3</v>
      </c>
      <c r="BZ60" s="41">
        <f ca="1">'REF - ASWING STRUCT-Imperial'!BZ60/3.28084</f>
        <v>0</v>
      </c>
      <c r="CA60" s="41">
        <f ca="1">'REF - ASWING STRUCT-Imperial'!CA60/3.28084</f>
        <v>0.11655225000000001</v>
      </c>
      <c r="CB60" s="41">
        <f ca="1">'REF - ASWING STRUCT-Imperial'!CB60/(3.28084^3)</f>
        <v>1.3336479574417451E-4</v>
      </c>
      <c r="CC60" s="41">
        <f ca="1">'REF - ASWING STRUCT-Imperial'!CC60/3.28084</f>
        <v>0</v>
      </c>
      <c r="CD60" s="41">
        <f>'REF - ASWING STRUCT-Imperial'!CD60</f>
        <v>5.4999999999999997E-3</v>
      </c>
      <c r="CE60" s="41">
        <f>'REF - ASWING STRUCT-Imperial'!CE60</f>
        <v>5.4999999999999997E-3</v>
      </c>
      <c r="CF60" s="41">
        <f ca="1">'REF - ASWING STRUCT-Imperial'!CF60/3.28084</f>
        <v>1.2950250000000003</v>
      </c>
      <c r="CG60" s="41">
        <f ca="1">'REF - ASWING STRUCT-Imperial'!CG60</f>
        <v>0.25</v>
      </c>
      <c r="CH60" s="41">
        <f ca="1">'REF - ASWING STRUCT-Imperial'!CH60</f>
        <v>4.8499999999999996</v>
      </c>
      <c r="CI60" s="41">
        <f ca="1">'REF - ASWING STRUCT-Imperial'!CI60</f>
        <v>-0.15</v>
      </c>
      <c r="CJ60" s="41">
        <f ca="1">'REF - ASWING STRUCT-Imperial'!CJ60</f>
        <v>1.85</v>
      </c>
      <c r="CK60" s="41">
        <f ca="1">'REF - ASWING STRUCT-Imperial'!CK60</f>
        <v>-1.55</v>
      </c>
      <c r="CL60" s="789">
        <f ca="1">'REF - ASWING STRUCT-Imperial'!CL60</f>
        <v>5.9690260418206069</v>
      </c>
      <c r="CM60" s="641">
        <v>46.999999999999993</v>
      </c>
      <c r="CN60" s="643">
        <v>3.2081133999999998</v>
      </c>
      <c r="CO60" s="643">
        <v>1.4100000000000001</v>
      </c>
      <c r="CP60" s="643">
        <v>3.9167552000000003</v>
      </c>
      <c r="CQ60" s="642">
        <v>0</v>
      </c>
      <c r="CR60" s="643">
        <v>24306.546981311938</v>
      </c>
      <c r="CS60" s="643">
        <v>22267.413113567123</v>
      </c>
      <c r="CT60" s="643">
        <v>0</v>
      </c>
      <c r="CU60" s="643">
        <v>0</v>
      </c>
      <c r="CV60" s="643">
        <v>0</v>
      </c>
      <c r="CW60" s="643">
        <v>770231.16387439007</v>
      </c>
      <c r="CX60" s="642">
        <v>0</v>
      </c>
      <c r="CY60" s="643">
        <v>0</v>
      </c>
      <c r="CZ60" s="643">
        <v>0</v>
      </c>
      <c r="DA60" s="642">
        <v>0</v>
      </c>
      <c r="DB60" s="642">
        <v>0</v>
      </c>
      <c r="DC60" s="643">
        <v>3.5661169215785389</v>
      </c>
      <c r="DD60" s="643">
        <v>0.10635594301176031</v>
      </c>
      <c r="DE60" s="643">
        <v>0</v>
      </c>
      <c r="DF60" s="642">
        <v>0</v>
      </c>
      <c r="DG60" s="642">
        <v>0</v>
      </c>
      <c r="DH60" s="642">
        <v>0</v>
      </c>
      <c r="DI60" s="643">
        <v>0</v>
      </c>
      <c r="DJ60" s="643">
        <v>0</v>
      </c>
      <c r="DK60" s="643">
        <v>4.7211402429139335E-2</v>
      </c>
      <c r="DL60" s="643">
        <v>0</v>
      </c>
      <c r="DM60" s="643">
        <v>0</v>
      </c>
      <c r="DN60" s="643">
        <v>0</v>
      </c>
      <c r="DO60" s="642">
        <v>2E-3</v>
      </c>
      <c r="DP60" s="642">
        <v>2E-3</v>
      </c>
      <c r="DQ60" s="643">
        <v>0</v>
      </c>
      <c r="DR60" s="643">
        <v>4.5809999999999997E-2</v>
      </c>
      <c r="DS60" s="643">
        <v>2.0602525674800581E-5</v>
      </c>
      <c r="DT60" s="643">
        <v>0</v>
      </c>
      <c r="DU60" s="642">
        <v>5.4999999999999997E-3</v>
      </c>
      <c r="DV60" s="642">
        <v>5.4999999999999997E-3</v>
      </c>
      <c r="DW60" s="643">
        <v>0.50900000000000001</v>
      </c>
      <c r="DX60" s="642">
        <v>0.25</v>
      </c>
      <c r="DY60" s="642">
        <v>5.9</v>
      </c>
      <c r="DZ60" s="642">
        <v>-0.15</v>
      </c>
      <c r="EA60" s="642">
        <v>2.25</v>
      </c>
      <c r="EB60" s="642">
        <v>-1.65</v>
      </c>
      <c r="EC60" s="642">
        <v>5.9690260418206069</v>
      </c>
      <c r="ED60" s="779">
        <v>46.999999999999993</v>
      </c>
      <c r="EE60" s="718">
        <v>11.984999999999999</v>
      </c>
      <c r="EF60" s="718">
        <v>1.56</v>
      </c>
      <c r="EG60" s="718">
        <v>4.5579999999999998</v>
      </c>
      <c r="EH60" s="719">
        <v>0</v>
      </c>
      <c r="EI60" s="718">
        <v>75886.272012909118</v>
      </c>
      <c r="EJ60" s="718">
        <v>64710.816583128726</v>
      </c>
      <c r="EK60" s="718">
        <v>0</v>
      </c>
      <c r="EL60" s="718">
        <v>0</v>
      </c>
      <c r="EM60" s="718">
        <v>0</v>
      </c>
      <c r="EN60" s="718">
        <v>22173871.909235384</v>
      </c>
      <c r="EO60" s="719">
        <v>0</v>
      </c>
      <c r="EP60" s="718">
        <v>0</v>
      </c>
      <c r="EQ60" s="718">
        <v>0</v>
      </c>
      <c r="ER60" s="719">
        <v>0</v>
      </c>
      <c r="ES60" s="719">
        <v>0</v>
      </c>
      <c r="ET60" s="718">
        <v>15.264024758976127</v>
      </c>
      <c r="EU60" s="718">
        <v>-0.58612847990662642</v>
      </c>
      <c r="EV60" s="718">
        <v>0</v>
      </c>
      <c r="EW60" s="719">
        <v>0</v>
      </c>
      <c r="EX60" s="719">
        <v>0</v>
      </c>
      <c r="EY60" s="719">
        <v>0</v>
      </c>
      <c r="EZ60" s="718">
        <v>0</v>
      </c>
      <c r="FA60" s="718">
        <v>0</v>
      </c>
      <c r="FB60" s="718">
        <v>-0.79700182719310408</v>
      </c>
      <c r="FC60" s="718">
        <v>0</v>
      </c>
      <c r="FD60" s="718">
        <v>0</v>
      </c>
      <c r="FE60" s="718">
        <v>0</v>
      </c>
      <c r="FF60" s="719">
        <v>2E-3</v>
      </c>
      <c r="FG60" s="719">
        <v>2E-3</v>
      </c>
      <c r="FH60" s="718">
        <v>-0.93599999999999994</v>
      </c>
      <c r="FI60" s="718">
        <v>0.1404</v>
      </c>
      <c r="FJ60" s="718">
        <v>1.9352367206470057E-4</v>
      </c>
      <c r="FK60" s="718">
        <v>0</v>
      </c>
      <c r="FL60" s="719">
        <v>5.4999999999999997E-3</v>
      </c>
      <c r="FM60" s="719">
        <v>5.4999999999999997E-3</v>
      </c>
      <c r="FN60" s="718">
        <v>1.56</v>
      </c>
      <c r="FO60" s="719">
        <v>0.85</v>
      </c>
      <c r="FP60" s="719">
        <v>0</v>
      </c>
      <c r="FQ60" s="719">
        <v>0</v>
      </c>
      <c r="FR60" s="719">
        <v>1.4</v>
      </c>
      <c r="FS60" s="719">
        <v>-1.4</v>
      </c>
      <c r="FT60" s="719">
        <v>5.9690260418206069</v>
      </c>
      <c r="FU60" s="782">
        <f t="shared" si="4"/>
        <v>46.999999999999993</v>
      </c>
      <c r="FV60" s="617">
        <f t="shared" si="5"/>
        <v>11.984999999999999</v>
      </c>
      <c r="FW60" s="795">
        <f t="shared" si="6"/>
        <v>-1.56</v>
      </c>
      <c r="FX60" s="617">
        <f t="shared" si="7"/>
        <v>4.5579999999999998</v>
      </c>
      <c r="FY60" s="617">
        <f t="shared" si="8"/>
        <v>0</v>
      </c>
      <c r="FZ60" s="617">
        <f t="shared" si="9"/>
        <v>75886.272012909118</v>
      </c>
      <c r="GA60" s="617">
        <f t="shared" si="10"/>
        <v>64710.816583128726</v>
      </c>
      <c r="GB60" s="617">
        <f t="shared" si="11"/>
        <v>0</v>
      </c>
      <c r="GC60" s="617">
        <f t="shared" si="12"/>
        <v>0</v>
      </c>
      <c r="GD60" s="617">
        <f t="shared" si="13"/>
        <v>0</v>
      </c>
      <c r="GE60" s="617">
        <f t="shared" si="14"/>
        <v>22173871.909235384</v>
      </c>
      <c r="GF60" s="617">
        <f t="shared" si="15"/>
        <v>0</v>
      </c>
      <c r="GG60" s="617">
        <f t="shared" si="16"/>
        <v>0</v>
      </c>
      <c r="GH60" s="617">
        <f t="shared" si="17"/>
        <v>0</v>
      </c>
      <c r="GI60" s="617">
        <f t="shared" si="18"/>
        <v>0</v>
      </c>
      <c r="GJ60" s="617">
        <f t="shared" si="19"/>
        <v>0</v>
      </c>
      <c r="GK60" s="617">
        <f t="shared" si="20"/>
        <v>15.264024758976127</v>
      </c>
      <c r="GL60" s="617">
        <f t="shared" si="21"/>
        <v>-0.58612847990662642</v>
      </c>
      <c r="GM60" s="617">
        <f t="shared" si="22"/>
        <v>0</v>
      </c>
      <c r="GN60" s="617">
        <f t="shared" si="23"/>
        <v>0</v>
      </c>
      <c r="GO60" s="617">
        <f t="shared" si="24"/>
        <v>0</v>
      </c>
      <c r="GP60" s="617">
        <f t="shared" si="25"/>
        <v>0</v>
      </c>
      <c r="GQ60" s="617">
        <f t="shared" si="26"/>
        <v>0</v>
      </c>
      <c r="GR60" s="617">
        <f t="shared" si="27"/>
        <v>0</v>
      </c>
      <c r="GS60" s="617">
        <f t="shared" si="28"/>
        <v>-0.79700182719310408</v>
      </c>
      <c r="GT60" s="617">
        <f t="shared" si="29"/>
        <v>0</v>
      </c>
      <c r="GU60" s="617">
        <f t="shared" si="30"/>
        <v>0</v>
      </c>
      <c r="GV60" s="617">
        <f t="shared" si="31"/>
        <v>0</v>
      </c>
      <c r="GW60" s="617">
        <f t="shared" si="32"/>
        <v>2E-3</v>
      </c>
      <c r="GX60" s="617">
        <f t="shared" si="33"/>
        <v>2E-3</v>
      </c>
      <c r="GY60" s="617">
        <f t="shared" si="34"/>
        <v>-0.93599999999999994</v>
      </c>
      <c r="GZ60" s="617">
        <f t="shared" si="35"/>
        <v>0.1404</v>
      </c>
      <c r="HA60" s="617">
        <f t="shared" si="36"/>
        <v>1.9352367206470057E-4</v>
      </c>
      <c r="HB60" s="617">
        <f t="shared" si="37"/>
        <v>0</v>
      </c>
      <c r="HC60" s="617">
        <f t="shared" si="38"/>
        <v>5.4999999999999997E-3</v>
      </c>
      <c r="HD60" s="617">
        <f t="shared" si="39"/>
        <v>5.4999999999999997E-3</v>
      </c>
      <c r="HE60" s="617">
        <f t="shared" si="40"/>
        <v>1.56</v>
      </c>
      <c r="HF60" s="617">
        <f t="shared" si="41"/>
        <v>0.85</v>
      </c>
      <c r="HG60" s="617">
        <f t="shared" si="42"/>
        <v>0</v>
      </c>
      <c r="HH60" s="617">
        <f t="shared" si="43"/>
        <v>0</v>
      </c>
      <c r="HI60" s="617">
        <f t="shared" si="44"/>
        <v>1.4</v>
      </c>
      <c r="HJ60" s="617">
        <f t="shared" si="45"/>
        <v>-1.4</v>
      </c>
      <c r="HK60" s="617">
        <f t="shared" si="46"/>
        <v>5.9690260418206069</v>
      </c>
    </row>
    <row r="61" spans="1:219" x14ac:dyDescent="0.25">
      <c r="A61" s="745" t="s">
        <v>1047</v>
      </c>
      <c r="B61" s="749">
        <v>7180</v>
      </c>
      <c r="C61" s="750">
        <v>-1560</v>
      </c>
      <c r="D61" s="751">
        <v>3900</v>
      </c>
      <c r="E61" s="812">
        <f t="shared" si="50"/>
        <v>7.18</v>
      </c>
      <c r="F61" s="670">
        <f t="shared" si="51"/>
        <v>-1.56</v>
      </c>
      <c r="G61" s="670">
        <f t="shared" si="52"/>
        <v>3.9</v>
      </c>
      <c r="H61" s="668">
        <v>21.4</v>
      </c>
      <c r="I61" s="668">
        <v>6</v>
      </c>
      <c r="J61" s="670">
        <f t="shared" si="53"/>
        <v>7.18</v>
      </c>
      <c r="K61" s="575"/>
      <c r="L61" t="s">
        <v>922</v>
      </c>
      <c r="O61" s="576"/>
      <c r="P61" s="580"/>
      <c r="AU61" s="594"/>
      <c r="AV61" s="575">
        <f ca="1">'REF - ASWING STRUCT-Imperial'!AV61</f>
        <v>52.000000000000007</v>
      </c>
      <c r="AW61" s="787">
        <f ca="1">'REF - ASWING STRUCT-Imperial'!AW61/3.28084</f>
        <v>7.3478297999999995</v>
      </c>
      <c r="AX61" s="660">
        <f ca="1">'REF - ASWING STRUCT-Imperial'!AX61/3.28084</f>
        <v>3.8130979999999997</v>
      </c>
      <c r="AY61" s="660">
        <f ca="1">'REF - ASWING STRUCT-Imperial'!AY61/3.28084</f>
        <v>2.4898129999999998</v>
      </c>
      <c r="AZ61" s="41">
        <f ca="1">'REF - ASWING STRUCT-Imperial'!AZ61</f>
        <v>0</v>
      </c>
      <c r="BA61" s="41">
        <f ca="1">'REF - ASWING STRUCT-Imperial'!BA61*0.413253134140599</f>
        <v>485104.56367121678</v>
      </c>
      <c r="BB61" s="41">
        <f ca="1">'REF - ASWING STRUCT-Imperial'!BB61*0.413253134140599</f>
        <v>774558.73602410883</v>
      </c>
      <c r="BC61" s="41">
        <f ca="1">'REF - ASWING STRUCT-Imperial'!BC61*0.413253134140599</f>
        <v>0</v>
      </c>
      <c r="BD61" s="41">
        <f ca="1">'REF - ASWING STRUCT-Imperial'!BD61*0.413253134140599</f>
        <v>0</v>
      </c>
      <c r="BE61" s="41">
        <f ca="1">'REF - ASWING STRUCT-Imperial'!BE61*0.413253134140599</f>
        <v>0</v>
      </c>
      <c r="BF61" s="41">
        <f ca="1">'REF - ASWING STRUCT-Imperial'!BF61*0.413253134140599</f>
        <v>11904817.576867532</v>
      </c>
      <c r="BG61" s="41">
        <f ca="1">'REF - ASWING STRUCT-Imperial'!BG61</f>
        <v>0</v>
      </c>
      <c r="BH61" s="41">
        <f ca="1">'REF - ASWING STRUCT-Imperial'!BH61*4.44822</f>
        <v>0</v>
      </c>
      <c r="BI61" s="41">
        <f ca="1">'REF - ASWING STRUCT-Imperial'!BI61*4.44822</f>
        <v>0</v>
      </c>
      <c r="BJ61" s="41">
        <f ca="1">'REF - ASWING STRUCT-Imperial'!BJ61/(2.20462*3.28084)</f>
        <v>0</v>
      </c>
      <c r="BK61" s="41">
        <f ca="1">'REF - ASWING STRUCT-Imperial'!BK61/(2.20462*3.28084)</f>
        <v>0</v>
      </c>
      <c r="BL61" s="41">
        <f ca="1">'REF - ASWING STRUCT-Imperial'!BL61/(2.20462)*3.28084</f>
        <v>17.45255965365126</v>
      </c>
      <c r="BM61" s="41">
        <f ca="1">'REF - ASWING STRUCT-Imperial'!BM61/3.28084</f>
        <v>0.26065158493904705</v>
      </c>
      <c r="BN61" s="41">
        <f ca="1">'REF - ASWING STRUCT-Imperial'!BN61/3.28084</f>
        <v>0</v>
      </c>
      <c r="BO61" s="41">
        <f ca="1">'REF - ASWING STRUCT-Imperial'!BO61/(2.20462*3.28084)</f>
        <v>0</v>
      </c>
      <c r="BP61" s="41">
        <f ca="1">'REF - ASWING STRUCT-Imperial'!BP61/(2.20462*3.28084)</f>
        <v>0</v>
      </c>
      <c r="BQ61" s="41">
        <f ca="1">'REF - ASWING STRUCT-Imperial'!BQ61/(2.20462)*3.28084</f>
        <v>0</v>
      </c>
      <c r="BR61" s="41">
        <f ca="1">'REF - ASWING STRUCT-Imperial'!BR61/3.28084</f>
        <v>0</v>
      </c>
      <c r="BS61" s="41">
        <f ca="1">'REF - ASWING STRUCT-Imperial'!BS61/3.28084</f>
        <v>0</v>
      </c>
      <c r="BT61" s="41">
        <f ca="1">'REF - ASWING STRUCT-Imperial'!BT61/3.28084</f>
        <v>0.11312124952151752</v>
      </c>
      <c r="BU61" s="41">
        <f ca="1">'REF - ASWING STRUCT-Imperial'!BU61/3.28084</f>
        <v>0</v>
      </c>
      <c r="BV61" s="41">
        <f ca="1">'REF - ASWING STRUCT-Imperial'!BV61/3.28084</f>
        <v>0</v>
      </c>
      <c r="BW61" s="41">
        <f ca="1">'REF - ASWING STRUCT-Imperial'!BW61/3.28084</f>
        <v>0</v>
      </c>
      <c r="BX61" s="41">
        <f ca="1">'REF - ASWING STRUCT-Imperial'!BX61</f>
        <v>2E-3</v>
      </c>
      <c r="BY61" s="41">
        <f ca="1">'REF - ASWING STRUCT-Imperial'!BY61</f>
        <v>2E-3</v>
      </c>
      <c r="BZ61" s="41">
        <f ca="1">'REF - ASWING STRUCT-Imperial'!BZ61/3.28084</f>
        <v>0</v>
      </c>
      <c r="CA61" s="41">
        <f ca="1">'REF - ASWING STRUCT-Imperial'!CA61/3.28084</f>
        <v>0.114111</v>
      </c>
      <c r="CB61" s="41">
        <f ca="1">'REF - ASWING STRUCT-Imperial'!CB61/(3.28084^3)</f>
        <v>1.2783650922327267E-4</v>
      </c>
      <c r="CC61" s="41">
        <f ca="1">'REF - ASWING STRUCT-Imperial'!CC61/3.28084</f>
        <v>0</v>
      </c>
      <c r="CD61" s="41">
        <f>'REF - ASWING STRUCT-Imperial'!CD61</f>
        <v>5.4999999999999997E-3</v>
      </c>
      <c r="CE61" s="41">
        <f>'REF - ASWING STRUCT-Imperial'!CE61</f>
        <v>5.4999999999999997E-3</v>
      </c>
      <c r="CF61" s="41">
        <f ca="1">'REF - ASWING STRUCT-Imperial'!CF61/3.28084</f>
        <v>1.2679</v>
      </c>
      <c r="CG61" s="41">
        <f ca="1">'REF - ASWING STRUCT-Imperial'!CG61</f>
        <v>0.25</v>
      </c>
      <c r="CH61" s="41">
        <f ca="1">'REF - ASWING STRUCT-Imperial'!CH61</f>
        <v>4.45</v>
      </c>
      <c r="CI61" s="41">
        <f ca="1">'REF - ASWING STRUCT-Imperial'!CI61</f>
        <v>-0.15</v>
      </c>
      <c r="CJ61" s="41">
        <f ca="1">'REF - ASWING STRUCT-Imperial'!CJ61</f>
        <v>1.85</v>
      </c>
      <c r="CK61" s="41">
        <f ca="1">'REF - ASWING STRUCT-Imperial'!CK61</f>
        <v>-1.55</v>
      </c>
      <c r="CL61" s="789">
        <f ca="1">'REF - ASWING STRUCT-Imperial'!CL61</f>
        <v>5.9690260418206069</v>
      </c>
      <c r="CM61" s="687">
        <v>52</v>
      </c>
      <c r="CN61" s="643">
        <v>3.2118633999999995</v>
      </c>
      <c r="CO61" s="643">
        <v>1.56</v>
      </c>
      <c r="CP61" s="643">
        <v>3.9167552000000003</v>
      </c>
      <c r="CQ61" s="643">
        <v>0</v>
      </c>
      <c r="CR61" s="643">
        <v>16343.860877713749</v>
      </c>
      <c r="CS61" s="643">
        <v>14747.223991093399</v>
      </c>
      <c r="CT61" s="643">
        <v>0</v>
      </c>
      <c r="CU61" s="643">
        <v>0</v>
      </c>
      <c r="CV61" s="643">
        <v>0</v>
      </c>
      <c r="CW61" s="643">
        <v>704123.08993261843</v>
      </c>
      <c r="CX61" s="643">
        <v>0</v>
      </c>
      <c r="CY61" s="643">
        <v>0</v>
      </c>
      <c r="CZ61" s="643">
        <v>0</v>
      </c>
      <c r="DA61" s="643">
        <v>0</v>
      </c>
      <c r="DB61" s="643">
        <v>0</v>
      </c>
      <c r="DC61" s="643">
        <v>3.3625314929222565</v>
      </c>
      <c r="DD61" s="643">
        <v>0.10619829905620856</v>
      </c>
      <c r="DE61" s="643">
        <v>0</v>
      </c>
      <c r="DF61" s="643">
        <v>0</v>
      </c>
      <c r="DG61" s="643">
        <v>0</v>
      </c>
      <c r="DH61" s="643">
        <v>0</v>
      </c>
      <c r="DI61" s="643">
        <v>0</v>
      </c>
      <c r="DJ61" s="643">
        <v>0</v>
      </c>
      <c r="DK61" s="643">
        <v>4.6070276123017416E-2</v>
      </c>
      <c r="DL61" s="643">
        <v>0</v>
      </c>
      <c r="DM61" s="643">
        <v>0</v>
      </c>
      <c r="DN61" s="643">
        <v>0</v>
      </c>
      <c r="DO61" s="643">
        <v>2E-3</v>
      </c>
      <c r="DP61" s="643">
        <v>2E-3</v>
      </c>
      <c r="DQ61" s="643">
        <v>0</v>
      </c>
      <c r="DR61" s="643">
        <v>4.446E-2</v>
      </c>
      <c r="DS61" s="643">
        <v>1.9406123782043589E-5</v>
      </c>
      <c r="DT61" s="643">
        <v>0</v>
      </c>
      <c r="DU61" s="643">
        <v>5.4999999999999997E-3</v>
      </c>
      <c r="DV61" s="643">
        <v>5.4999999999999997E-3</v>
      </c>
      <c r="DW61" s="643">
        <v>0.49399999999999999</v>
      </c>
      <c r="DX61" s="643">
        <v>0.25</v>
      </c>
      <c r="DY61" s="643">
        <v>5.9</v>
      </c>
      <c r="DZ61" s="643">
        <v>-0.15</v>
      </c>
      <c r="EA61" s="643">
        <v>2.25</v>
      </c>
      <c r="EB61" s="643">
        <v>-1.65</v>
      </c>
      <c r="EC61" s="643">
        <v>5.9690260418206069</v>
      </c>
      <c r="ED61" s="780">
        <v>52</v>
      </c>
      <c r="EE61" s="718">
        <v>12.01</v>
      </c>
      <c r="EF61" s="718">
        <v>1.56</v>
      </c>
      <c r="EG61" s="718">
        <v>4.6280000000000001</v>
      </c>
      <c r="EH61" s="718">
        <v>0</v>
      </c>
      <c r="EI61" s="718">
        <v>59556.41782977301</v>
      </c>
      <c r="EJ61" s="718">
        <v>41414.710077945689</v>
      </c>
      <c r="EK61" s="718">
        <v>0</v>
      </c>
      <c r="EL61" s="718">
        <v>0</v>
      </c>
      <c r="EM61" s="718">
        <v>0</v>
      </c>
      <c r="EN61" s="718">
        <v>18177171.581860419</v>
      </c>
      <c r="EO61" s="718">
        <v>0</v>
      </c>
      <c r="EP61" s="718">
        <v>0</v>
      </c>
      <c r="EQ61" s="718">
        <v>0</v>
      </c>
      <c r="ER61" s="718">
        <v>0</v>
      </c>
      <c r="ES61" s="718">
        <v>0</v>
      </c>
      <c r="ET61" s="718">
        <v>10.919338798179574</v>
      </c>
      <c r="EU61" s="718">
        <v>-0.55092960044348493</v>
      </c>
      <c r="EV61" s="718">
        <v>0</v>
      </c>
      <c r="EW61" s="718">
        <v>0</v>
      </c>
      <c r="EX61" s="718">
        <v>0</v>
      </c>
      <c r="EY61" s="718">
        <v>0</v>
      </c>
      <c r="EZ61" s="718">
        <v>0</v>
      </c>
      <c r="FA61" s="718">
        <v>0</v>
      </c>
      <c r="FB61" s="718">
        <v>-0.74571992905727325</v>
      </c>
      <c r="FC61" s="718">
        <v>0</v>
      </c>
      <c r="FD61" s="718">
        <v>0</v>
      </c>
      <c r="FE61" s="718">
        <v>0</v>
      </c>
      <c r="FF61" s="718">
        <v>2E-3</v>
      </c>
      <c r="FG61" s="718">
        <v>2E-3</v>
      </c>
      <c r="FH61" s="718">
        <v>-0.87599999999999989</v>
      </c>
      <c r="FI61" s="718">
        <v>0.13140000000000002</v>
      </c>
      <c r="FJ61" s="718">
        <v>1.6950816049191153E-4</v>
      </c>
      <c r="FK61" s="718">
        <v>0</v>
      </c>
      <c r="FL61" s="718">
        <v>5.4999999999999997E-3</v>
      </c>
      <c r="FM61" s="718">
        <v>5.4999999999999997E-3</v>
      </c>
      <c r="FN61" s="718">
        <v>1.4600000000000002</v>
      </c>
      <c r="FO61" s="718">
        <v>0.85</v>
      </c>
      <c r="FP61" s="718">
        <v>0</v>
      </c>
      <c r="FQ61" s="718">
        <v>0</v>
      </c>
      <c r="FR61" s="718">
        <v>1.4</v>
      </c>
      <c r="FS61" s="718">
        <v>-1.4</v>
      </c>
      <c r="FT61" s="718">
        <v>5.9690260418206069</v>
      </c>
      <c r="FU61" s="782">
        <f t="shared" si="4"/>
        <v>52</v>
      </c>
      <c r="FV61" s="617">
        <f t="shared" si="5"/>
        <v>12.01</v>
      </c>
      <c r="FW61" s="795">
        <f t="shared" si="6"/>
        <v>-1.56</v>
      </c>
      <c r="FX61" s="617">
        <f t="shared" si="7"/>
        <v>4.6280000000000001</v>
      </c>
      <c r="FY61" s="617">
        <f t="shared" si="8"/>
        <v>0</v>
      </c>
      <c r="FZ61" s="617">
        <f t="shared" si="9"/>
        <v>59556.41782977301</v>
      </c>
      <c r="GA61" s="617">
        <f t="shared" si="10"/>
        <v>41414.710077945689</v>
      </c>
      <c r="GB61" s="617">
        <f t="shared" si="11"/>
        <v>0</v>
      </c>
      <c r="GC61" s="617">
        <f t="shared" si="12"/>
        <v>0</v>
      </c>
      <c r="GD61" s="617">
        <f t="shared" si="13"/>
        <v>0</v>
      </c>
      <c r="GE61" s="617">
        <f t="shared" si="14"/>
        <v>18177171.581860419</v>
      </c>
      <c r="GF61" s="617">
        <f t="shared" si="15"/>
        <v>0</v>
      </c>
      <c r="GG61" s="617">
        <f t="shared" si="16"/>
        <v>0</v>
      </c>
      <c r="GH61" s="617">
        <f t="shared" si="17"/>
        <v>0</v>
      </c>
      <c r="GI61" s="617">
        <f t="shared" si="18"/>
        <v>0</v>
      </c>
      <c r="GJ61" s="617">
        <f t="shared" si="19"/>
        <v>0</v>
      </c>
      <c r="GK61" s="617">
        <f t="shared" si="20"/>
        <v>10.919338798179574</v>
      </c>
      <c r="GL61" s="617">
        <f t="shared" si="21"/>
        <v>-0.55092960044348493</v>
      </c>
      <c r="GM61" s="617">
        <f t="shared" si="22"/>
        <v>0</v>
      </c>
      <c r="GN61" s="617">
        <f t="shared" si="23"/>
        <v>0</v>
      </c>
      <c r="GO61" s="617">
        <f t="shared" si="24"/>
        <v>0</v>
      </c>
      <c r="GP61" s="617">
        <f t="shared" si="25"/>
        <v>0</v>
      </c>
      <c r="GQ61" s="617">
        <f t="shared" si="26"/>
        <v>0</v>
      </c>
      <c r="GR61" s="617">
        <f t="shared" si="27"/>
        <v>0</v>
      </c>
      <c r="GS61" s="617">
        <f t="shared" si="28"/>
        <v>-0.74571992905727325</v>
      </c>
      <c r="GT61" s="617">
        <f t="shared" si="29"/>
        <v>0</v>
      </c>
      <c r="GU61" s="617">
        <f t="shared" si="30"/>
        <v>0</v>
      </c>
      <c r="GV61" s="617">
        <f t="shared" si="31"/>
        <v>0</v>
      </c>
      <c r="GW61" s="617">
        <f t="shared" si="32"/>
        <v>2E-3</v>
      </c>
      <c r="GX61" s="617">
        <f t="shared" si="33"/>
        <v>2E-3</v>
      </c>
      <c r="GY61" s="617">
        <f t="shared" si="34"/>
        <v>-0.87599999999999989</v>
      </c>
      <c r="GZ61" s="617">
        <f t="shared" si="35"/>
        <v>0.13140000000000002</v>
      </c>
      <c r="HA61" s="617">
        <f t="shared" si="36"/>
        <v>1.6950816049191153E-4</v>
      </c>
      <c r="HB61" s="617">
        <f t="shared" si="37"/>
        <v>0</v>
      </c>
      <c r="HC61" s="617">
        <f t="shared" si="38"/>
        <v>5.4999999999999997E-3</v>
      </c>
      <c r="HD61" s="617">
        <f t="shared" si="39"/>
        <v>5.4999999999999997E-3</v>
      </c>
      <c r="HE61" s="617">
        <f t="shared" si="40"/>
        <v>1.4600000000000002</v>
      </c>
      <c r="HF61" s="617">
        <f t="shared" si="41"/>
        <v>0.85</v>
      </c>
      <c r="HG61" s="617">
        <f t="shared" si="42"/>
        <v>0</v>
      </c>
      <c r="HH61" s="617">
        <f t="shared" si="43"/>
        <v>0</v>
      </c>
      <c r="HI61" s="617">
        <f t="shared" si="44"/>
        <v>1.4</v>
      </c>
      <c r="HJ61" s="617">
        <f t="shared" si="45"/>
        <v>-1.4</v>
      </c>
      <c r="HK61" s="617">
        <f t="shared" si="46"/>
        <v>5.9690260418206069</v>
      </c>
    </row>
    <row r="62" spans="1:219" x14ac:dyDescent="0.25">
      <c r="A62" s="745" t="s">
        <v>1048</v>
      </c>
      <c r="B62" s="749">
        <v>7180</v>
      </c>
      <c r="C62" s="750">
        <v>1560</v>
      </c>
      <c r="D62" s="751">
        <v>3900</v>
      </c>
      <c r="E62" s="812">
        <f t="shared" si="50"/>
        <v>7.18</v>
      </c>
      <c r="F62" s="670">
        <f t="shared" si="51"/>
        <v>1.56</v>
      </c>
      <c r="G62" s="670">
        <f t="shared" si="52"/>
        <v>3.9</v>
      </c>
      <c r="H62" s="668">
        <v>21.4</v>
      </c>
      <c r="I62" s="668">
        <v>5</v>
      </c>
      <c r="J62" s="670">
        <f t="shared" si="53"/>
        <v>7.18</v>
      </c>
      <c r="K62" s="577"/>
      <c r="L62" s="578"/>
      <c r="M62" s="578"/>
      <c r="N62" s="578"/>
      <c r="O62" s="579"/>
      <c r="P62" s="580"/>
      <c r="AU62" s="594"/>
      <c r="AV62" s="575">
        <f ca="1">'REF - ASWING STRUCT-Imperial'!AV62</f>
        <v>56.999999999999993</v>
      </c>
      <c r="AW62" s="787">
        <f ca="1">'REF - ASWING STRUCT-Imperial'!AW62/3.28084</f>
        <v>7.3546110499999999</v>
      </c>
      <c r="AX62" s="660">
        <f ca="1">'REF - ASWING STRUCT-Imperial'!AX62/3.28084</f>
        <v>4.1800979999999992</v>
      </c>
      <c r="AY62" s="660">
        <f ca="1">'REF - ASWING STRUCT-Imperial'!AY62/3.28084</f>
        <v>2.4898129999999998</v>
      </c>
      <c r="AZ62" s="41">
        <f ca="1">'REF - ASWING STRUCT-Imperial'!AZ62</f>
        <v>0</v>
      </c>
      <c r="BA62" s="41">
        <f ca="1">'REF - ASWING STRUCT-Imperial'!BA62*0.413253134140599</f>
        <v>448395.89078105672</v>
      </c>
      <c r="BB62" s="41">
        <f ca="1">'REF - ASWING STRUCT-Imperial'!BB62*0.413253134140599</f>
        <v>741771.9760222811</v>
      </c>
      <c r="BC62" s="41">
        <f ca="1">'REF - ASWING STRUCT-Imperial'!BC62*0.413253134140599</f>
        <v>0</v>
      </c>
      <c r="BD62" s="41">
        <f ca="1">'REF - ASWING STRUCT-Imperial'!BD62*0.413253134140599</f>
        <v>0</v>
      </c>
      <c r="BE62" s="41">
        <f ca="1">'REF - ASWING STRUCT-Imperial'!BE62*0.413253134140599</f>
        <v>0</v>
      </c>
      <c r="BF62" s="41">
        <f ca="1">'REF - ASWING STRUCT-Imperial'!BF62*0.413253134140599</f>
        <v>11156984.831798652</v>
      </c>
      <c r="BG62" s="41">
        <f ca="1">'REF - ASWING STRUCT-Imperial'!BG62</f>
        <v>0</v>
      </c>
      <c r="BH62" s="41">
        <f ca="1">'REF - ASWING STRUCT-Imperial'!BH62*4.44822</f>
        <v>0</v>
      </c>
      <c r="BI62" s="41">
        <f ca="1">'REF - ASWING STRUCT-Imperial'!BI62*4.44822</f>
        <v>0</v>
      </c>
      <c r="BJ62" s="41">
        <f ca="1">'REF - ASWING STRUCT-Imperial'!BJ62/(2.20462*3.28084)</f>
        <v>0</v>
      </c>
      <c r="BK62" s="41">
        <f ca="1">'REF - ASWING STRUCT-Imperial'!BK62/(2.20462*3.28084)</f>
        <v>0</v>
      </c>
      <c r="BL62" s="41">
        <f ca="1">'REF - ASWING STRUCT-Imperial'!BL62/(2.20462)*3.28084</f>
        <v>17.122631288592864</v>
      </c>
      <c r="BM62" s="41">
        <f ca="1">'REF - ASWING STRUCT-Imperial'!BM62/3.28084</f>
        <v>0.25441993592311657</v>
      </c>
      <c r="BN62" s="41">
        <f ca="1">'REF - ASWING STRUCT-Imperial'!BN62/3.28084</f>
        <v>0</v>
      </c>
      <c r="BO62" s="41">
        <f ca="1">'REF - ASWING STRUCT-Imperial'!BO62/(2.20462*3.28084)</f>
        <v>0</v>
      </c>
      <c r="BP62" s="41">
        <f ca="1">'REF - ASWING STRUCT-Imperial'!BP62/(2.20462*3.28084)</f>
        <v>0</v>
      </c>
      <c r="BQ62" s="41">
        <f ca="1">'REF - ASWING STRUCT-Imperial'!BQ62/(2.20462)*3.28084</f>
        <v>0</v>
      </c>
      <c r="BR62" s="41">
        <f ca="1">'REF - ASWING STRUCT-Imperial'!BR62/3.28084</f>
        <v>0</v>
      </c>
      <c r="BS62" s="41">
        <f ca="1">'REF - ASWING STRUCT-Imperial'!BS62/3.28084</f>
        <v>0</v>
      </c>
      <c r="BT62" s="41">
        <f ca="1">'REF - ASWING STRUCT-Imperial'!BT62/3.28084</f>
        <v>0.11069022438955309</v>
      </c>
      <c r="BU62" s="41">
        <f ca="1">'REF - ASWING STRUCT-Imperial'!BU62/3.28084</f>
        <v>0</v>
      </c>
      <c r="BV62" s="41">
        <f ca="1">'REF - ASWING STRUCT-Imperial'!BV62/3.28084</f>
        <v>0</v>
      </c>
      <c r="BW62" s="41">
        <f ca="1">'REF - ASWING STRUCT-Imperial'!BW62/3.28084</f>
        <v>0</v>
      </c>
      <c r="BX62" s="41">
        <f ca="1">'REF - ASWING STRUCT-Imperial'!BX62</f>
        <v>2E-3</v>
      </c>
      <c r="BY62" s="41">
        <f ca="1">'REF - ASWING STRUCT-Imperial'!BY62</f>
        <v>2E-3</v>
      </c>
      <c r="BZ62" s="41">
        <f ca="1">'REF - ASWING STRUCT-Imperial'!BZ62/3.28084</f>
        <v>0</v>
      </c>
      <c r="CA62" s="41">
        <f ca="1">'REF - ASWING STRUCT-Imperial'!CA62/3.28084</f>
        <v>0.11166975</v>
      </c>
      <c r="CB62" s="41">
        <f ca="1">'REF - ASWING STRUCT-Imperial'!CB62/(3.28084^3)</f>
        <v>1.2242524116516581E-4</v>
      </c>
      <c r="CC62" s="41">
        <f ca="1">'REF - ASWING STRUCT-Imperial'!CC62/3.28084</f>
        <v>0</v>
      </c>
      <c r="CD62" s="41">
        <f>'REF - ASWING STRUCT-Imperial'!CD62</f>
        <v>5.4999999999999997E-3</v>
      </c>
      <c r="CE62" s="41">
        <f>'REF - ASWING STRUCT-Imperial'!CE62</f>
        <v>5.4999999999999997E-3</v>
      </c>
      <c r="CF62" s="41">
        <f ca="1">'REF - ASWING STRUCT-Imperial'!CF62/3.28084</f>
        <v>1.240775</v>
      </c>
      <c r="CG62" s="41">
        <f ca="1">'REF - ASWING STRUCT-Imperial'!CG62</f>
        <v>0.25</v>
      </c>
      <c r="CH62" s="41">
        <f ca="1">'REF - ASWING STRUCT-Imperial'!CH62</f>
        <v>4.45</v>
      </c>
      <c r="CI62" s="41">
        <f ca="1">'REF - ASWING STRUCT-Imperial'!CI62</f>
        <v>-0.15</v>
      </c>
      <c r="CJ62" s="41">
        <f ca="1">'REF - ASWING STRUCT-Imperial'!CJ62</f>
        <v>1.85</v>
      </c>
      <c r="CK62" s="41">
        <f ca="1">'REF - ASWING STRUCT-Imperial'!CK62</f>
        <v>-1.55</v>
      </c>
      <c r="CL62" s="789">
        <f ca="1">'REF - ASWING STRUCT-Imperial'!CL62</f>
        <v>5.9690260418206069</v>
      </c>
      <c r="CM62" s="687">
        <v>57</v>
      </c>
      <c r="CN62" s="643">
        <v>3.2156134000000001</v>
      </c>
      <c r="CO62" s="643">
        <v>1.71</v>
      </c>
      <c r="CP62" s="643">
        <v>3.9167552000000003</v>
      </c>
      <c r="CQ62" s="643">
        <v>0</v>
      </c>
      <c r="CR62" s="643">
        <v>15033.111059001807</v>
      </c>
      <c r="CS62" s="643">
        <v>13865.240455262581</v>
      </c>
      <c r="CT62" s="643">
        <v>0</v>
      </c>
      <c r="CU62" s="643">
        <v>0</v>
      </c>
      <c r="CV62" s="643">
        <v>0</v>
      </c>
      <c r="CW62" s="643">
        <v>641910.20428851165</v>
      </c>
      <c r="CX62" s="643">
        <v>0</v>
      </c>
      <c r="CY62" s="643">
        <v>0</v>
      </c>
      <c r="CZ62" s="643">
        <v>0</v>
      </c>
      <c r="DA62" s="643">
        <v>0</v>
      </c>
      <c r="DB62" s="643">
        <v>0</v>
      </c>
      <c r="DC62" s="643">
        <v>3.2682427790946962</v>
      </c>
      <c r="DD62" s="643">
        <v>0.10271722246778868</v>
      </c>
      <c r="DE62" s="643">
        <v>0</v>
      </c>
      <c r="DF62" s="643">
        <v>0</v>
      </c>
      <c r="DG62" s="643">
        <v>0</v>
      </c>
      <c r="DH62" s="643">
        <v>0</v>
      </c>
      <c r="DI62" s="643">
        <v>0</v>
      </c>
      <c r="DJ62" s="643">
        <v>0</v>
      </c>
      <c r="DK62" s="643">
        <v>4.4941591527334603E-2</v>
      </c>
      <c r="DL62" s="643">
        <v>0</v>
      </c>
      <c r="DM62" s="643">
        <v>0</v>
      </c>
      <c r="DN62" s="643">
        <v>0</v>
      </c>
      <c r="DO62" s="643">
        <v>2E-3</v>
      </c>
      <c r="DP62" s="643">
        <v>2E-3</v>
      </c>
      <c r="DQ62" s="643">
        <v>0</v>
      </c>
      <c r="DR62" s="643">
        <v>4.3109999999999996E-2</v>
      </c>
      <c r="DS62" s="643">
        <v>1.8245506591961277E-5</v>
      </c>
      <c r="DT62" s="643">
        <v>0</v>
      </c>
      <c r="DU62" s="643">
        <v>5.4999999999999997E-3</v>
      </c>
      <c r="DV62" s="643">
        <v>5.4999999999999997E-3</v>
      </c>
      <c r="DW62" s="643">
        <v>0.47899999999999998</v>
      </c>
      <c r="DX62" s="643">
        <v>0.25</v>
      </c>
      <c r="DY62" s="643">
        <v>5.9</v>
      </c>
      <c r="DZ62" s="643">
        <v>-0.15</v>
      </c>
      <c r="EA62" s="643">
        <v>2.25</v>
      </c>
      <c r="EB62" s="643">
        <v>-1.65</v>
      </c>
      <c r="EC62" s="643">
        <v>5.9690260418206069</v>
      </c>
      <c r="ED62" s="780">
        <v>57.000000000000007</v>
      </c>
      <c r="EE62" s="718">
        <v>12.035</v>
      </c>
      <c r="EF62" s="718">
        <v>1.56</v>
      </c>
      <c r="EG62" s="718">
        <v>4.6979999999999995</v>
      </c>
      <c r="EH62" s="718">
        <v>0</v>
      </c>
      <c r="EI62" s="718">
        <v>50632.556030953885</v>
      </c>
      <c r="EJ62" s="718">
        <v>35935.751435620332</v>
      </c>
      <c r="EK62" s="718">
        <v>0</v>
      </c>
      <c r="EL62" s="718">
        <v>0</v>
      </c>
      <c r="EM62" s="718">
        <v>0</v>
      </c>
      <c r="EN62" s="718">
        <v>14692119.919765787</v>
      </c>
      <c r="EO62" s="718">
        <v>0</v>
      </c>
      <c r="EP62" s="718">
        <v>0</v>
      </c>
      <c r="EQ62" s="718">
        <v>0</v>
      </c>
      <c r="ER62" s="718">
        <v>0</v>
      </c>
      <c r="ES62" s="718">
        <v>0</v>
      </c>
      <c r="ET62" s="718">
        <v>10.181546755686005</v>
      </c>
      <c r="EU62" s="718">
        <v>-0.51451327362381771</v>
      </c>
      <c r="EV62" s="718">
        <v>0</v>
      </c>
      <c r="EW62" s="718">
        <v>0</v>
      </c>
      <c r="EX62" s="718">
        <v>0</v>
      </c>
      <c r="EY62" s="718">
        <v>0</v>
      </c>
      <c r="EZ62" s="718">
        <v>0</v>
      </c>
      <c r="FA62" s="718">
        <v>0</v>
      </c>
      <c r="FB62" s="718">
        <v>-0.69462962703705</v>
      </c>
      <c r="FC62" s="718">
        <v>0</v>
      </c>
      <c r="FD62" s="718">
        <v>0</v>
      </c>
      <c r="FE62" s="718">
        <v>0</v>
      </c>
      <c r="FF62" s="718">
        <v>2E-3</v>
      </c>
      <c r="FG62" s="718">
        <v>2E-3</v>
      </c>
      <c r="FH62" s="718">
        <v>-0.81600000000000006</v>
      </c>
      <c r="FI62" s="718">
        <v>0.12239999999999998</v>
      </c>
      <c r="FJ62" s="718">
        <v>1.4708308014910841E-4</v>
      </c>
      <c r="FK62" s="718">
        <v>0</v>
      </c>
      <c r="FL62" s="718">
        <v>5.4999999999999997E-3</v>
      </c>
      <c r="FM62" s="718">
        <v>5.4999999999999997E-3</v>
      </c>
      <c r="FN62" s="718">
        <v>1.3599999999999999</v>
      </c>
      <c r="FO62" s="718">
        <v>0.85</v>
      </c>
      <c r="FP62" s="718">
        <v>0</v>
      </c>
      <c r="FQ62" s="718">
        <v>0</v>
      </c>
      <c r="FR62" s="718">
        <v>1.4</v>
      </c>
      <c r="FS62" s="718">
        <v>-1.4</v>
      </c>
      <c r="FT62" s="718">
        <v>5.9690260418206069</v>
      </c>
      <c r="FU62" s="782">
        <f t="shared" si="4"/>
        <v>57.000000000000007</v>
      </c>
      <c r="FV62" s="617">
        <f t="shared" si="5"/>
        <v>12.035</v>
      </c>
      <c r="FW62" s="795">
        <f t="shared" si="6"/>
        <v>-1.56</v>
      </c>
      <c r="FX62" s="617">
        <f t="shared" si="7"/>
        <v>4.6979999999999995</v>
      </c>
      <c r="FY62" s="617">
        <f t="shared" si="8"/>
        <v>0</v>
      </c>
      <c r="FZ62" s="617">
        <f t="shared" si="9"/>
        <v>50632.556030953885</v>
      </c>
      <c r="GA62" s="617">
        <f t="shared" si="10"/>
        <v>35935.751435620332</v>
      </c>
      <c r="GB62" s="617">
        <f t="shared" si="11"/>
        <v>0</v>
      </c>
      <c r="GC62" s="617">
        <f t="shared" si="12"/>
        <v>0</v>
      </c>
      <c r="GD62" s="617">
        <f t="shared" si="13"/>
        <v>0</v>
      </c>
      <c r="GE62" s="617">
        <f t="shared" si="14"/>
        <v>14692119.919765787</v>
      </c>
      <c r="GF62" s="617">
        <f t="shared" si="15"/>
        <v>0</v>
      </c>
      <c r="GG62" s="617">
        <f t="shared" si="16"/>
        <v>0</v>
      </c>
      <c r="GH62" s="617">
        <f t="shared" si="17"/>
        <v>0</v>
      </c>
      <c r="GI62" s="617">
        <f t="shared" si="18"/>
        <v>0</v>
      </c>
      <c r="GJ62" s="617">
        <f t="shared" si="19"/>
        <v>0</v>
      </c>
      <c r="GK62" s="617">
        <f t="shared" si="20"/>
        <v>10.181546755686005</v>
      </c>
      <c r="GL62" s="617">
        <f t="shared" si="21"/>
        <v>-0.51451327362381771</v>
      </c>
      <c r="GM62" s="617">
        <f t="shared" si="22"/>
        <v>0</v>
      </c>
      <c r="GN62" s="617">
        <f t="shared" si="23"/>
        <v>0</v>
      </c>
      <c r="GO62" s="617">
        <f t="shared" si="24"/>
        <v>0</v>
      </c>
      <c r="GP62" s="617">
        <f t="shared" si="25"/>
        <v>0</v>
      </c>
      <c r="GQ62" s="617">
        <f t="shared" si="26"/>
        <v>0</v>
      </c>
      <c r="GR62" s="617">
        <f t="shared" si="27"/>
        <v>0</v>
      </c>
      <c r="GS62" s="617">
        <f t="shared" si="28"/>
        <v>-0.69462962703705</v>
      </c>
      <c r="GT62" s="617">
        <f t="shared" si="29"/>
        <v>0</v>
      </c>
      <c r="GU62" s="617">
        <f t="shared" si="30"/>
        <v>0</v>
      </c>
      <c r="GV62" s="617">
        <f t="shared" si="31"/>
        <v>0</v>
      </c>
      <c r="GW62" s="617">
        <f t="shared" si="32"/>
        <v>2E-3</v>
      </c>
      <c r="GX62" s="617">
        <f t="shared" si="33"/>
        <v>2E-3</v>
      </c>
      <c r="GY62" s="617">
        <f t="shared" si="34"/>
        <v>-0.81600000000000006</v>
      </c>
      <c r="GZ62" s="617">
        <f t="shared" si="35"/>
        <v>0.12239999999999998</v>
      </c>
      <c r="HA62" s="617">
        <f t="shared" si="36"/>
        <v>1.4708308014910841E-4</v>
      </c>
      <c r="HB62" s="617">
        <f t="shared" si="37"/>
        <v>0</v>
      </c>
      <c r="HC62" s="617">
        <f t="shared" si="38"/>
        <v>5.4999999999999997E-3</v>
      </c>
      <c r="HD62" s="617">
        <f t="shared" si="39"/>
        <v>5.4999999999999997E-3</v>
      </c>
      <c r="HE62" s="617">
        <f t="shared" si="40"/>
        <v>1.3599999999999999</v>
      </c>
      <c r="HF62" s="617">
        <f t="shared" si="41"/>
        <v>0.85</v>
      </c>
      <c r="HG62" s="617">
        <f t="shared" si="42"/>
        <v>0</v>
      </c>
      <c r="HH62" s="617">
        <f t="shared" si="43"/>
        <v>0</v>
      </c>
      <c r="HI62" s="617">
        <f t="shared" si="44"/>
        <v>1.4</v>
      </c>
      <c r="HJ62" s="617">
        <f t="shared" si="45"/>
        <v>-1.4</v>
      </c>
      <c r="HK62" s="617">
        <f t="shared" si="46"/>
        <v>5.9690260418206069</v>
      </c>
    </row>
    <row r="63" spans="1:219" x14ac:dyDescent="0.25">
      <c r="A63" s="745" t="s">
        <v>1049</v>
      </c>
      <c r="B63" s="749">
        <v>7221</v>
      </c>
      <c r="C63" s="750">
        <v>4610</v>
      </c>
      <c r="D63" s="751">
        <v>3700</v>
      </c>
      <c r="E63" s="812">
        <f t="shared" si="50"/>
        <v>7.2210000000000001</v>
      </c>
      <c r="F63" s="670">
        <f t="shared" si="51"/>
        <v>4.6100000000000003</v>
      </c>
      <c r="G63" s="670">
        <f t="shared" si="52"/>
        <v>3.7</v>
      </c>
      <c r="H63" s="668">
        <v>21.4</v>
      </c>
      <c r="I63" s="668">
        <v>9</v>
      </c>
      <c r="J63" s="670">
        <f t="shared" si="53"/>
        <v>7.2210000000000001</v>
      </c>
      <c r="K63" s="662" t="s">
        <v>941</v>
      </c>
      <c r="L63" s="621"/>
      <c r="M63" s="621"/>
      <c r="N63" s="622"/>
      <c r="O63" s="623"/>
      <c r="P63" s="580"/>
      <c r="AU63" s="594"/>
      <c r="AV63" s="575">
        <f ca="1">'REF - ASWING STRUCT-Imperial'!AV63</f>
        <v>61</v>
      </c>
      <c r="AW63" s="787">
        <f ca="1">'REF - ASWING STRUCT-Imperial'!AW63/3.28084</f>
        <v>7.3600360499999988</v>
      </c>
      <c r="AX63" s="660">
        <f ca="1">'REF - ASWING STRUCT-Imperial'!AX63/3.28084</f>
        <v>4.4736979999999997</v>
      </c>
      <c r="AY63" s="660">
        <f ca="1">'REF - ASWING STRUCT-Imperial'!AY63/3.28084</f>
        <v>2.4898129999999998</v>
      </c>
      <c r="AZ63" s="41">
        <f ca="1">'REF - ASWING STRUCT-Imperial'!AZ63</f>
        <v>0</v>
      </c>
      <c r="BA63" s="41">
        <f ca="1">'REF - ASWING STRUCT-Imperial'!BA63*0.413253134140599</f>
        <v>285246.2573773787</v>
      </c>
      <c r="BB63" s="41">
        <f ca="1">'REF - ASWING STRUCT-Imperial'!BB63*0.413253134140599</f>
        <v>456849.99116747186</v>
      </c>
      <c r="BC63" s="41">
        <f ca="1">'REF - ASWING STRUCT-Imperial'!BC63*0.413253134140599</f>
        <v>0</v>
      </c>
      <c r="BD63" s="41">
        <f ca="1">'REF - ASWING STRUCT-Imperial'!BD63*0.413253134140599</f>
        <v>0</v>
      </c>
      <c r="BE63" s="41">
        <f ca="1">'REF - ASWING STRUCT-Imperial'!BE63*0.413253134140599</f>
        <v>0</v>
      </c>
      <c r="BF63" s="41">
        <f ca="1">'REF - ASWING STRUCT-Imperial'!BF63*0.413253134140599</f>
        <v>10581786.984257352</v>
      </c>
      <c r="BG63" s="41">
        <f ca="1">'REF - ASWING STRUCT-Imperial'!BG63</f>
        <v>0</v>
      </c>
      <c r="BH63" s="41">
        <f ca="1">'REF - ASWING STRUCT-Imperial'!BH63*4.44822</f>
        <v>0</v>
      </c>
      <c r="BI63" s="41">
        <f ca="1">'REF - ASWING STRUCT-Imperial'!BI63*4.44822</f>
        <v>0</v>
      </c>
      <c r="BJ63" s="41">
        <f ca="1">'REF - ASWING STRUCT-Imperial'!BJ63/(2.20462*3.28084)</f>
        <v>0</v>
      </c>
      <c r="BK63" s="41">
        <f ca="1">'REF - ASWING STRUCT-Imperial'!BK63/(2.20462*3.28084)</f>
        <v>0</v>
      </c>
      <c r="BL63" s="41">
        <f ca="1">'REF - ASWING STRUCT-Imperial'!BL63/(2.20462)*3.28084</f>
        <v>16.111635733787168</v>
      </c>
      <c r="BM63" s="41">
        <f ca="1">'REF - ASWING STRUCT-Imperial'!BM63/3.28084</f>
        <v>0.26084810440965328</v>
      </c>
      <c r="BN63" s="41">
        <f ca="1">'REF - ASWING STRUCT-Imperial'!BN63/3.28084</f>
        <v>0</v>
      </c>
      <c r="BO63" s="41">
        <f ca="1">'REF - ASWING STRUCT-Imperial'!BO63/(2.20462*3.28084)</f>
        <v>0</v>
      </c>
      <c r="BP63" s="41">
        <f ca="1">'REF - ASWING STRUCT-Imperial'!BP63/(2.20462*3.28084)</f>
        <v>0</v>
      </c>
      <c r="BQ63" s="41">
        <f ca="1">'REF - ASWING STRUCT-Imperial'!BQ63/(2.20462)*3.28084</f>
        <v>0</v>
      </c>
      <c r="BR63" s="41">
        <f ca="1">'REF - ASWING STRUCT-Imperial'!BR63/3.28084</f>
        <v>0</v>
      </c>
      <c r="BS63" s="41">
        <f ca="1">'REF - ASWING STRUCT-Imperial'!BS63/3.28084</f>
        <v>0</v>
      </c>
      <c r="BT63" s="41">
        <f ca="1">'REF - ASWING STRUCT-Imperial'!BT63/3.28084</f>
        <v>0.10874531587314651</v>
      </c>
      <c r="BU63" s="41">
        <f ca="1">'REF - ASWING STRUCT-Imperial'!BU63/3.28084</f>
        <v>0</v>
      </c>
      <c r="BV63" s="41">
        <f ca="1">'REF - ASWING STRUCT-Imperial'!BV63/3.28084</f>
        <v>0</v>
      </c>
      <c r="BW63" s="41">
        <f ca="1">'REF - ASWING STRUCT-Imperial'!BW63/3.28084</f>
        <v>0</v>
      </c>
      <c r="BX63" s="41">
        <f ca="1">'REF - ASWING STRUCT-Imperial'!BX63</f>
        <v>2E-3</v>
      </c>
      <c r="BY63" s="41">
        <f ca="1">'REF - ASWING STRUCT-Imperial'!BY63</f>
        <v>2E-3</v>
      </c>
      <c r="BZ63" s="41">
        <f ca="1">'REF - ASWING STRUCT-Imperial'!BZ63/3.28084</f>
        <v>0</v>
      </c>
      <c r="CA63" s="41">
        <f ca="1">'REF - ASWING STRUCT-Imperial'!CA63/3.28084</f>
        <v>0.10971675000000002</v>
      </c>
      <c r="CB63" s="41">
        <f ca="1">'REF - ASWING STRUCT-Imperial'!CB63/(3.28084^3)</f>
        <v>1.1818048001189281E-4</v>
      </c>
      <c r="CC63" s="41">
        <f ca="1">'REF - ASWING STRUCT-Imperial'!CC63/3.28084</f>
        <v>0</v>
      </c>
      <c r="CD63" s="41">
        <f>'REF - ASWING STRUCT-Imperial'!CD63</f>
        <v>5.4999999999999997E-3</v>
      </c>
      <c r="CE63" s="41">
        <f>'REF - ASWING STRUCT-Imperial'!CE63</f>
        <v>5.4999999999999997E-3</v>
      </c>
      <c r="CF63" s="41">
        <f ca="1">'REF - ASWING STRUCT-Imperial'!CF63/3.28084</f>
        <v>1.2190750000000001</v>
      </c>
      <c r="CG63" s="41">
        <f ca="1">'REF - ASWING STRUCT-Imperial'!CG63</f>
        <v>0.25</v>
      </c>
      <c r="CH63" s="41">
        <f ca="1">'REF - ASWING STRUCT-Imperial'!CH63</f>
        <v>4.45</v>
      </c>
      <c r="CI63" s="41">
        <f ca="1">'REF - ASWING STRUCT-Imperial'!CI63</f>
        <v>-0.15</v>
      </c>
      <c r="CJ63" s="41">
        <f ca="1">'REF - ASWING STRUCT-Imperial'!CJ63</f>
        <v>1.85</v>
      </c>
      <c r="CK63" s="41">
        <f ca="1">'REF - ASWING STRUCT-Imperial'!CK63</f>
        <v>-1.55</v>
      </c>
      <c r="CL63" s="789">
        <f ca="1">'REF - ASWING STRUCT-Imperial'!CL63</f>
        <v>5.9690260418206069</v>
      </c>
      <c r="CM63" s="687">
        <v>61</v>
      </c>
      <c r="CN63" s="643">
        <v>3.2186133999999997</v>
      </c>
      <c r="CO63" s="643">
        <v>1.83</v>
      </c>
      <c r="CP63" s="643">
        <v>3.9167552000000003</v>
      </c>
      <c r="CQ63" s="643">
        <v>0</v>
      </c>
      <c r="CR63" s="643">
        <v>9417.9447543958904</v>
      </c>
      <c r="CS63" s="643">
        <v>8511.6055090659866</v>
      </c>
      <c r="CT63" s="643">
        <v>0</v>
      </c>
      <c r="CU63" s="643">
        <v>0</v>
      </c>
      <c r="CV63" s="643">
        <v>0</v>
      </c>
      <c r="CW63" s="643">
        <v>594864.9505822811</v>
      </c>
      <c r="CX63" s="643">
        <v>0</v>
      </c>
      <c r="CY63" s="643">
        <v>0</v>
      </c>
      <c r="CZ63" s="643">
        <v>0</v>
      </c>
      <c r="DA63" s="643">
        <v>0</v>
      </c>
      <c r="DB63" s="643">
        <v>0</v>
      </c>
      <c r="DC63" s="643">
        <v>3.1026914717892575</v>
      </c>
      <c r="DD63" s="643">
        <v>0.10280453579488021</v>
      </c>
      <c r="DE63" s="643">
        <v>0</v>
      </c>
      <c r="DF63" s="643">
        <v>0</v>
      </c>
      <c r="DG63" s="643">
        <v>0</v>
      </c>
      <c r="DH63" s="643">
        <v>0</v>
      </c>
      <c r="DI63" s="643">
        <v>0</v>
      </c>
      <c r="DJ63" s="643">
        <v>0</v>
      </c>
      <c r="DK63" s="643">
        <v>4.4047630409986598E-2</v>
      </c>
      <c r="DL63" s="643">
        <v>0</v>
      </c>
      <c r="DM63" s="643">
        <v>0</v>
      </c>
      <c r="DN63" s="643">
        <v>0</v>
      </c>
      <c r="DO63" s="643">
        <v>2E-3</v>
      </c>
      <c r="DP63" s="643">
        <v>2E-3</v>
      </c>
      <c r="DQ63" s="643">
        <v>0</v>
      </c>
      <c r="DR63" s="643">
        <v>4.2029999999999998E-2</v>
      </c>
      <c r="DS63" s="643">
        <v>1.7342777825821202E-5</v>
      </c>
      <c r="DT63" s="643">
        <v>0</v>
      </c>
      <c r="DU63" s="643">
        <v>5.4999999999999997E-3</v>
      </c>
      <c r="DV63" s="643">
        <v>5.4999999999999997E-3</v>
      </c>
      <c r="DW63" s="643">
        <v>0.46700000000000003</v>
      </c>
      <c r="DX63" s="643">
        <v>0.25</v>
      </c>
      <c r="DY63" s="643">
        <v>5.9</v>
      </c>
      <c r="DZ63" s="643">
        <v>-0.15</v>
      </c>
      <c r="EA63" s="643">
        <v>2.25</v>
      </c>
      <c r="EB63" s="643">
        <v>-1.65</v>
      </c>
      <c r="EC63" s="643">
        <v>5.9690260418206069</v>
      </c>
      <c r="ED63" s="780">
        <v>61</v>
      </c>
      <c r="EE63" s="718">
        <v>12.055</v>
      </c>
      <c r="EF63" s="718">
        <v>1.56</v>
      </c>
      <c r="EG63" s="718">
        <v>4.7539999999999996</v>
      </c>
      <c r="EH63" s="718">
        <v>0</v>
      </c>
      <c r="EI63" s="718">
        <v>30019.333590683331</v>
      </c>
      <c r="EJ63" s="718">
        <v>21555.01155442364</v>
      </c>
      <c r="EK63" s="718">
        <v>0</v>
      </c>
      <c r="EL63" s="718">
        <v>0</v>
      </c>
      <c r="EM63" s="718">
        <v>0</v>
      </c>
      <c r="EN63" s="718">
        <v>12248915.772717431</v>
      </c>
      <c r="EO63" s="718">
        <v>0</v>
      </c>
      <c r="EP63" s="718">
        <v>0</v>
      </c>
      <c r="EQ63" s="718">
        <v>0</v>
      </c>
      <c r="ER63" s="718">
        <v>0</v>
      </c>
      <c r="ES63" s="718">
        <v>0</v>
      </c>
      <c r="ET63" s="718">
        <v>9.5674458719444164</v>
      </c>
      <c r="EU63" s="718">
        <v>-0.4846463782725845</v>
      </c>
      <c r="EV63" s="718">
        <v>0</v>
      </c>
      <c r="EW63" s="718">
        <v>0</v>
      </c>
      <c r="EX63" s="718">
        <v>0</v>
      </c>
      <c r="EY63" s="718">
        <v>0</v>
      </c>
      <c r="EZ63" s="718">
        <v>0</v>
      </c>
      <c r="FA63" s="718">
        <v>0</v>
      </c>
      <c r="FB63" s="718">
        <v>-0.65379439250002147</v>
      </c>
      <c r="FC63" s="718">
        <v>0</v>
      </c>
      <c r="FD63" s="718">
        <v>0</v>
      </c>
      <c r="FE63" s="718">
        <v>0</v>
      </c>
      <c r="FF63" s="718">
        <v>2E-3</v>
      </c>
      <c r="FG63" s="718">
        <v>2E-3</v>
      </c>
      <c r="FH63" s="718">
        <v>-0.76800000000000002</v>
      </c>
      <c r="FI63" s="718">
        <v>0.1152</v>
      </c>
      <c r="FJ63" s="718">
        <v>1.302881263604559E-4</v>
      </c>
      <c r="FK63" s="718">
        <v>0</v>
      </c>
      <c r="FL63" s="718">
        <v>5.4999999999999997E-3</v>
      </c>
      <c r="FM63" s="718">
        <v>5.4999999999999997E-3</v>
      </c>
      <c r="FN63" s="718">
        <v>1.28</v>
      </c>
      <c r="FO63" s="718">
        <v>0.85</v>
      </c>
      <c r="FP63" s="718">
        <v>0</v>
      </c>
      <c r="FQ63" s="718">
        <v>0</v>
      </c>
      <c r="FR63" s="718">
        <v>1.4</v>
      </c>
      <c r="FS63" s="718">
        <v>-1.4</v>
      </c>
      <c r="FT63" s="718">
        <v>5.9690260418206069</v>
      </c>
      <c r="FU63" s="782">
        <f t="shared" si="4"/>
        <v>61</v>
      </c>
      <c r="FV63" s="617">
        <f t="shared" si="5"/>
        <v>12.055</v>
      </c>
      <c r="FW63" s="795">
        <f t="shared" si="6"/>
        <v>-1.56</v>
      </c>
      <c r="FX63" s="617">
        <f t="shared" si="7"/>
        <v>4.7539999999999996</v>
      </c>
      <c r="FY63" s="617">
        <f t="shared" si="8"/>
        <v>0</v>
      </c>
      <c r="FZ63" s="617">
        <f t="shared" si="9"/>
        <v>30019.333590683331</v>
      </c>
      <c r="GA63" s="617">
        <f t="shared" si="10"/>
        <v>21555.01155442364</v>
      </c>
      <c r="GB63" s="617">
        <f t="shared" si="11"/>
        <v>0</v>
      </c>
      <c r="GC63" s="617">
        <f t="shared" si="12"/>
        <v>0</v>
      </c>
      <c r="GD63" s="617">
        <f t="shared" si="13"/>
        <v>0</v>
      </c>
      <c r="GE63" s="617">
        <f t="shared" si="14"/>
        <v>12248915.772717431</v>
      </c>
      <c r="GF63" s="617">
        <f t="shared" si="15"/>
        <v>0</v>
      </c>
      <c r="GG63" s="617">
        <f t="shared" si="16"/>
        <v>0</v>
      </c>
      <c r="GH63" s="617">
        <f t="shared" si="17"/>
        <v>0</v>
      </c>
      <c r="GI63" s="617">
        <f t="shared" si="18"/>
        <v>0</v>
      </c>
      <c r="GJ63" s="617">
        <f t="shared" si="19"/>
        <v>0</v>
      </c>
      <c r="GK63" s="617">
        <f t="shared" si="20"/>
        <v>9.5674458719444164</v>
      </c>
      <c r="GL63" s="617">
        <f t="shared" si="21"/>
        <v>-0.4846463782725845</v>
      </c>
      <c r="GM63" s="617">
        <f t="shared" si="22"/>
        <v>0</v>
      </c>
      <c r="GN63" s="617">
        <f t="shared" si="23"/>
        <v>0</v>
      </c>
      <c r="GO63" s="617">
        <f t="shared" si="24"/>
        <v>0</v>
      </c>
      <c r="GP63" s="617">
        <f t="shared" si="25"/>
        <v>0</v>
      </c>
      <c r="GQ63" s="617">
        <f t="shared" si="26"/>
        <v>0</v>
      </c>
      <c r="GR63" s="617">
        <f t="shared" si="27"/>
        <v>0</v>
      </c>
      <c r="GS63" s="617">
        <f t="shared" si="28"/>
        <v>-0.65379439250002147</v>
      </c>
      <c r="GT63" s="617">
        <f t="shared" si="29"/>
        <v>0</v>
      </c>
      <c r="GU63" s="617">
        <f t="shared" si="30"/>
        <v>0</v>
      </c>
      <c r="GV63" s="617">
        <f t="shared" si="31"/>
        <v>0</v>
      </c>
      <c r="GW63" s="617">
        <f t="shared" si="32"/>
        <v>2E-3</v>
      </c>
      <c r="GX63" s="617">
        <f t="shared" si="33"/>
        <v>2E-3</v>
      </c>
      <c r="GY63" s="617">
        <f t="shared" si="34"/>
        <v>-0.76800000000000002</v>
      </c>
      <c r="GZ63" s="617">
        <f t="shared" si="35"/>
        <v>0.1152</v>
      </c>
      <c r="HA63" s="617">
        <f t="shared" si="36"/>
        <v>1.302881263604559E-4</v>
      </c>
      <c r="HB63" s="617">
        <f t="shared" si="37"/>
        <v>0</v>
      </c>
      <c r="HC63" s="617">
        <f t="shared" si="38"/>
        <v>5.4999999999999997E-3</v>
      </c>
      <c r="HD63" s="617">
        <f t="shared" si="39"/>
        <v>5.4999999999999997E-3</v>
      </c>
      <c r="HE63" s="617">
        <f t="shared" si="40"/>
        <v>1.28</v>
      </c>
      <c r="HF63" s="617">
        <f t="shared" si="41"/>
        <v>0.85</v>
      </c>
      <c r="HG63" s="617">
        <f t="shared" si="42"/>
        <v>0</v>
      </c>
      <c r="HH63" s="617">
        <f t="shared" si="43"/>
        <v>0</v>
      </c>
      <c r="HI63" s="617">
        <f t="shared" si="44"/>
        <v>1.4</v>
      </c>
      <c r="HJ63" s="617">
        <f t="shared" si="45"/>
        <v>-1.4</v>
      </c>
      <c r="HK63" s="617">
        <f t="shared" si="46"/>
        <v>5.9690260418206069</v>
      </c>
    </row>
    <row r="64" spans="1:219" x14ac:dyDescent="0.25">
      <c r="A64" s="745" t="s">
        <v>1050</v>
      </c>
      <c r="B64" s="749">
        <v>12224</v>
      </c>
      <c r="C64" s="750">
        <v>-4610</v>
      </c>
      <c r="D64" s="751">
        <v>3700</v>
      </c>
      <c r="E64" s="812">
        <f t="shared" si="50"/>
        <v>12.224</v>
      </c>
      <c r="F64" s="670">
        <f t="shared" si="51"/>
        <v>-4.6100000000000003</v>
      </c>
      <c r="G64" s="670">
        <f t="shared" si="52"/>
        <v>3.7</v>
      </c>
      <c r="H64" s="668">
        <v>21.4</v>
      </c>
      <c r="I64" s="668">
        <v>10</v>
      </c>
      <c r="J64" s="670">
        <f t="shared" si="53"/>
        <v>12.224</v>
      </c>
      <c r="K64" s="575"/>
      <c r="O64" s="576"/>
      <c r="P64" s="580"/>
      <c r="AU64" s="594"/>
      <c r="AV64" s="575">
        <f ca="1">'REF - ASWING STRUCT-Imperial'!AV64</f>
        <v>66</v>
      </c>
      <c r="AW64" s="787">
        <f ca="1">'REF - ASWING STRUCT-Imperial'!AW64/3.28084</f>
        <v>7.3668172999999992</v>
      </c>
      <c r="AX64" s="660">
        <f ca="1">'REF - ASWING STRUCT-Imperial'!AX64/3.28084</f>
        <v>4.8406979999999997</v>
      </c>
      <c r="AY64" s="660">
        <f ca="1">'REF - ASWING STRUCT-Imperial'!AY64/3.28084</f>
        <v>2.4898129999999998</v>
      </c>
      <c r="AZ64" s="41">
        <f ca="1">'REF - ASWING STRUCT-Imperial'!AZ64</f>
        <v>0</v>
      </c>
      <c r="BA64" s="41">
        <f ca="1">'REF - ASWING STRUCT-Imperial'!BA64*0.413253134140599</f>
        <v>262991.1830979762</v>
      </c>
      <c r="BB64" s="41">
        <f ca="1">'REF - ASWING STRUCT-Imperial'!BB64*0.413253134140599</f>
        <v>436745.90990411903</v>
      </c>
      <c r="BC64" s="41">
        <f ca="1">'REF - ASWING STRUCT-Imperial'!BC64*0.413253134140599</f>
        <v>0</v>
      </c>
      <c r="BD64" s="41">
        <f ca="1">'REF - ASWING STRUCT-Imperial'!BD64*0.413253134140599</f>
        <v>0</v>
      </c>
      <c r="BE64" s="41">
        <f ca="1">'REF - ASWING STRUCT-Imperial'!BE64*0.413253134140599</f>
        <v>0</v>
      </c>
      <c r="BF64" s="41">
        <f ca="1">'REF - ASWING STRUCT-Imperial'!BF64*0.413253134140599</f>
        <v>9891037.6109525971</v>
      </c>
      <c r="BG64" s="41">
        <f ca="1">'REF - ASWING STRUCT-Imperial'!BG64</f>
        <v>0</v>
      </c>
      <c r="BH64" s="41">
        <f ca="1">'REF - ASWING STRUCT-Imperial'!BH64*4.44822</f>
        <v>0</v>
      </c>
      <c r="BI64" s="41">
        <f ca="1">'REF - ASWING STRUCT-Imperial'!BI64*4.44822</f>
        <v>0</v>
      </c>
      <c r="BJ64" s="41">
        <f ca="1">'REF - ASWING STRUCT-Imperial'!BJ64/(2.20462*3.28084)</f>
        <v>0</v>
      </c>
      <c r="BK64" s="41">
        <f ca="1">'REF - ASWING STRUCT-Imperial'!BK64/(2.20462*3.28084)</f>
        <v>0</v>
      </c>
      <c r="BL64" s="41">
        <f ca="1">'REF - ASWING STRUCT-Imperial'!BL64/(2.20462)*3.28084</f>
        <v>15.781707368728771</v>
      </c>
      <c r="BM64" s="41">
        <f ca="1">'REF - ASWING STRUCT-Imperial'!BM64/3.28084</f>
        <v>0.2545713610976188</v>
      </c>
      <c r="BN64" s="41">
        <f ca="1">'REF - ASWING STRUCT-Imperial'!BN64/3.28084</f>
        <v>0</v>
      </c>
      <c r="BO64" s="41">
        <f ca="1">'REF - ASWING STRUCT-Imperial'!BO64/(2.20462*3.28084)</f>
        <v>0</v>
      </c>
      <c r="BP64" s="41">
        <f ca="1">'REF - ASWING STRUCT-Imperial'!BP64/(2.20462*3.28084)</f>
        <v>0</v>
      </c>
      <c r="BQ64" s="41">
        <f ca="1">'REF - ASWING STRUCT-Imperial'!BQ64/(2.20462)*3.28084</f>
        <v>0</v>
      </c>
      <c r="BR64" s="41">
        <f ca="1">'REF - ASWING STRUCT-Imperial'!BR64/3.28084</f>
        <v>0</v>
      </c>
      <c r="BS64" s="41">
        <f ca="1">'REF - ASWING STRUCT-Imperial'!BS64/3.28084</f>
        <v>0</v>
      </c>
      <c r="BT64" s="41">
        <f ca="1">'REF - ASWING STRUCT-Imperial'!BT64/3.28084</f>
        <v>0.10631413241814067</v>
      </c>
      <c r="BU64" s="41">
        <f ca="1">'REF - ASWING STRUCT-Imperial'!BU64/3.28084</f>
        <v>0</v>
      </c>
      <c r="BV64" s="41">
        <f ca="1">'REF - ASWING STRUCT-Imperial'!BV64/3.28084</f>
        <v>0</v>
      </c>
      <c r="BW64" s="41">
        <f ca="1">'REF - ASWING STRUCT-Imperial'!BW64/3.28084</f>
        <v>0</v>
      </c>
      <c r="BX64" s="41">
        <f ca="1">'REF - ASWING STRUCT-Imperial'!BX64</f>
        <v>2E-3</v>
      </c>
      <c r="BY64" s="41">
        <f ca="1">'REF - ASWING STRUCT-Imperial'!BY64</f>
        <v>2E-3</v>
      </c>
      <c r="BZ64" s="41">
        <f ca="1">'REF - ASWING STRUCT-Imperial'!BZ64/3.28084</f>
        <v>0</v>
      </c>
      <c r="CA64" s="41">
        <f ca="1">'REF - ASWING STRUCT-Imperial'!CA64/3.28084</f>
        <v>0.10727550000000001</v>
      </c>
      <c r="CB64" s="41">
        <f ca="1">'REF - ASWING STRUCT-Imperial'!CB64/(3.28084^3)</f>
        <v>1.1297984518681701E-4</v>
      </c>
      <c r="CC64" s="41">
        <f ca="1">'REF - ASWING STRUCT-Imperial'!CC64/3.28084</f>
        <v>0</v>
      </c>
      <c r="CD64" s="41">
        <f>'REF - ASWING STRUCT-Imperial'!CD64</f>
        <v>5.4999999999999997E-3</v>
      </c>
      <c r="CE64" s="41">
        <f>'REF - ASWING STRUCT-Imperial'!CE64</f>
        <v>5.4999999999999997E-3</v>
      </c>
      <c r="CF64" s="41">
        <f ca="1">'REF - ASWING STRUCT-Imperial'!CF64/3.28084</f>
        <v>1.1919500000000001</v>
      </c>
      <c r="CG64" s="41">
        <f ca="1">'REF - ASWING STRUCT-Imperial'!CG64</f>
        <v>0.25</v>
      </c>
      <c r="CH64" s="41">
        <f ca="1">'REF - ASWING STRUCT-Imperial'!CH64</f>
        <v>4.45</v>
      </c>
      <c r="CI64" s="41">
        <f ca="1">'REF - ASWING STRUCT-Imperial'!CI64</f>
        <v>-0.15</v>
      </c>
      <c r="CJ64" s="41">
        <f ca="1">'REF - ASWING STRUCT-Imperial'!CJ64</f>
        <v>1.85</v>
      </c>
      <c r="CK64" s="41">
        <f ca="1">'REF - ASWING STRUCT-Imperial'!CK64</f>
        <v>-1.55</v>
      </c>
      <c r="CL64" s="789">
        <f ca="1">'REF - ASWING STRUCT-Imperial'!CL64</f>
        <v>5.9690260418206069</v>
      </c>
      <c r="CM64" s="687">
        <v>66.000000000000014</v>
      </c>
      <c r="CN64" s="643">
        <v>3.2223633999999994</v>
      </c>
      <c r="CO64" s="643">
        <v>1.9800000000000002</v>
      </c>
      <c r="CP64" s="643">
        <v>3.9167552000000003</v>
      </c>
      <c r="CQ64" s="643">
        <v>0</v>
      </c>
      <c r="CR64" s="643">
        <v>8625.1264318741323</v>
      </c>
      <c r="CS64" s="643">
        <v>7973.6027581593626</v>
      </c>
      <c r="CT64" s="643">
        <v>0</v>
      </c>
      <c r="CU64" s="643">
        <v>0</v>
      </c>
      <c r="CV64" s="643">
        <v>0</v>
      </c>
      <c r="CW64" s="643">
        <v>539365.35100423137</v>
      </c>
      <c r="CX64" s="643">
        <v>0</v>
      </c>
      <c r="CY64" s="643">
        <v>0</v>
      </c>
      <c r="CZ64" s="643">
        <v>0</v>
      </c>
      <c r="DA64" s="643">
        <v>0</v>
      </c>
      <c r="DB64" s="643">
        <v>0</v>
      </c>
      <c r="DC64" s="643">
        <v>3.0084027579616968</v>
      </c>
      <c r="DD64" s="643">
        <v>9.9313210435585608E-2</v>
      </c>
      <c r="DE64" s="643">
        <v>0</v>
      </c>
      <c r="DF64" s="643">
        <v>0</v>
      </c>
      <c r="DG64" s="643">
        <v>0</v>
      </c>
      <c r="DH64" s="643">
        <v>0</v>
      </c>
      <c r="DI64" s="643">
        <v>0</v>
      </c>
      <c r="DJ64" s="643">
        <v>0</v>
      </c>
      <c r="DK64" s="643">
        <v>4.2941371105843257E-2</v>
      </c>
      <c r="DL64" s="643">
        <v>0</v>
      </c>
      <c r="DM64" s="643">
        <v>0</v>
      </c>
      <c r="DN64" s="643">
        <v>0</v>
      </c>
      <c r="DO64" s="643">
        <v>2E-3</v>
      </c>
      <c r="DP64" s="643">
        <v>2E-3</v>
      </c>
      <c r="DQ64" s="643">
        <v>0</v>
      </c>
      <c r="DR64" s="643">
        <v>4.0680000000000001E-2</v>
      </c>
      <c r="DS64" s="643">
        <v>1.6246573100553335E-5</v>
      </c>
      <c r="DT64" s="643">
        <v>0</v>
      </c>
      <c r="DU64" s="643">
        <v>5.4999999999999997E-3</v>
      </c>
      <c r="DV64" s="643">
        <v>5.4999999999999997E-3</v>
      </c>
      <c r="DW64" s="643">
        <v>0.45199999999999996</v>
      </c>
      <c r="DX64" s="643">
        <v>0.25</v>
      </c>
      <c r="DY64" s="643">
        <v>5.9</v>
      </c>
      <c r="DZ64" s="643">
        <v>-0.15</v>
      </c>
      <c r="EA64" s="643">
        <v>2.25</v>
      </c>
      <c r="EB64" s="643">
        <v>-1.65</v>
      </c>
      <c r="EC64" s="643">
        <v>5.9690260418206069</v>
      </c>
      <c r="ED64" s="780">
        <v>66.000000000000014</v>
      </c>
      <c r="EE64" s="718">
        <v>12.08</v>
      </c>
      <c r="EF64" s="718">
        <v>1.56</v>
      </c>
      <c r="EG64" s="718">
        <v>4.8239999999999998</v>
      </c>
      <c r="EH64" s="718">
        <v>0</v>
      </c>
      <c r="EI64" s="718">
        <v>24841.568471366452</v>
      </c>
      <c r="EJ64" s="718">
        <v>18318.60234886442</v>
      </c>
      <c r="EK64" s="718">
        <v>0</v>
      </c>
      <c r="EL64" s="718">
        <v>0</v>
      </c>
      <c r="EM64" s="718">
        <v>0</v>
      </c>
      <c r="EN64" s="718">
        <v>9596519.7467229161</v>
      </c>
      <c r="EO64" s="718">
        <v>0</v>
      </c>
      <c r="EP64" s="718">
        <v>0</v>
      </c>
      <c r="EQ64" s="718">
        <v>0</v>
      </c>
      <c r="ER64" s="718">
        <v>0</v>
      </c>
      <c r="ES64" s="718">
        <v>0</v>
      </c>
      <c r="ET64" s="718">
        <v>8.8296538294508444</v>
      </c>
      <c r="EU64" s="718">
        <v>-0.44823062659603924</v>
      </c>
      <c r="EV64" s="718">
        <v>0</v>
      </c>
      <c r="EW64" s="718">
        <v>0</v>
      </c>
      <c r="EX64" s="718">
        <v>0</v>
      </c>
      <c r="EY64" s="718">
        <v>0</v>
      </c>
      <c r="EZ64" s="718">
        <v>0</v>
      </c>
      <c r="FA64" s="718">
        <v>0</v>
      </c>
      <c r="FB64" s="718">
        <v>-0.60275694538056557</v>
      </c>
      <c r="FC64" s="718">
        <v>0</v>
      </c>
      <c r="FD64" s="718">
        <v>0</v>
      </c>
      <c r="FE64" s="718">
        <v>0</v>
      </c>
      <c r="FF64" s="718">
        <v>2E-3</v>
      </c>
      <c r="FG64" s="718">
        <v>2E-3</v>
      </c>
      <c r="FH64" s="718">
        <v>-0.70799999999999996</v>
      </c>
      <c r="FI64" s="718">
        <v>0.1062</v>
      </c>
      <c r="FJ64" s="718">
        <v>1.1072582223162764E-4</v>
      </c>
      <c r="FK64" s="718">
        <v>0</v>
      </c>
      <c r="FL64" s="718">
        <v>5.4999999999999997E-3</v>
      </c>
      <c r="FM64" s="718">
        <v>5.4999999999999997E-3</v>
      </c>
      <c r="FN64" s="718">
        <v>1.18</v>
      </c>
      <c r="FO64" s="718">
        <v>0.85</v>
      </c>
      <c r="FP64" s="718">
        <v>0</v>
      </c>
      <c r="FQ64" s="718">
        <v>0</v>
      </c>
      <c r="FR64" s="718">
        <v>1.4</v>
      </c>
      <c r="FS64" s="718">
        <v>-1.4</v>
      </c>
      <c r="FT64" s="718">
        <v>5.9690260418206069</v>
      </c>
      <c r="FU64" s="782">
        <f t="shared" si="4"/>
        <v>66.000000000000014</v>
      </c>
      <c r="FV64" s="617">
        <f t="shared" si="5"/>
        <v>12.08</v>
      </c>
      <c r="FW64" s="795">
        <f t="shared" si="6"/>
        <v>-1.56</v>
      </c>
      <c r="FX64" s="617">
        <f t="shared" si="7"/>
        <v>4.8239999999999998</v>
      </c>
      <c r="FY64" s="617">
        <f t="shared" si="8"/>
        <v>0</v>
      </c>
      <c r="FZ64" s="617">
        <f t="shared" si="9"/>
        <v>24841.568471366452</v>
      </c>
      <c r="GA64" s="617">
        <f t="shared" si="10"/>
        <v>18318.60234886442</v>
      </c>
      <c r="GB64" s="617">
        <f t="shared" si="11"/>
        <v>0</v>
      </c>
      <c r="GC64" s="617">
        <f t="shared" si="12"/>
        <v>0</v>
      </c>
      <c r="GD64" s="617">
        <f t="shared" si="13"/>
        <v>0</v>
      </c>
      <c r="GE64" s="617">
        <f t="shared" si="14"/>
        <v>9596519.7467229161</v>
      </c>
      <c r="GF64" s="617">
        <f t="shared" si="15"/>
        <v>0</v>
      </c>
      <c r="GG64" s="617">
        <f t="shared" si="16"/>
        <v>0</v>
      </c>
      <c r="GH64" s="617">
        <f t="shared" si="17"/>
        <v>0</v>
      </c>
      <c r="GI64" s="617">
        <f t="shared" si="18"/>
        <v>0</v>
      </c>
      <c r="GJ64" s="617">
        <f t="shared" si="19"/>
        <v>0</v>
      </c>
      <c r="GK64" s="617">
        <f t="shared" si="20"/>
        <v>8.8296538294508444</v>
      </c>
      <c r="GL64" s="617">
        <f t="shared" si="21"/>
        <v>-0.44823062659603924</v>
      </c>
      <c r="GM64" s="617">
        <f t="shared" si="22"/>
        <v>0</v>
      </c>
      <c r="GN64" s="617">
        <f t="shared" si="23"/>
        <v>0</v>
      </c>
      <c r="GO64" s="617">
        <f t="shared" si="24"/>
        <v>0</v>
      </c>
      <c r="GP64" s="617">
        <f t="shared" si="25"/>
        <v>0</v>
      </c>
      <c r="GQ64" s="617">
        <f t="shared" si="26"/>
        <v>0</v>
      </c>
      <c r="GR64" s="617">
        <f t="shared" si="27"/>
        <v>0</v>
      </c>
      <c r="GS64" s="617">
        <f t="shared" si="28"/>
        <v>-0.60275694538056557</v>
      </c>
      <c r="GT64" s="617">
        <f t="shared" si="29"/>
        <v>0</v>
      </c>
      <c r="GU64" s="617">
        <f t="shared" si="30"/>
        <v>0</v>
      </c>
      <c r="GV64" s="617">
        <f t="shared" si="31"/>
        <v>0</v>
      </c>
      <c r="GW64" s="617">
        <f t="shared" si="32"/>
        <v>2E-3</v>
      </c>
      <c r="GX64" s="617">
        <f t="shared" si="33"/>
        <v>2E-3</v>
      </c>
      <c r="GY64" s="617">
        <f t="shared" si="34"/>
        <v>-0.70799999999999996</v>
      </c>
      <c r="GZ64" s="617">
        <f t="shared" si="35"/>
        <v>0.1062</v>
      </c>
      <c r="HA64" s="617">
        <f t="shared" si="36"/>
        <v>1.1072582223162764E-4</v>
      </c>
      <c r="HB64" s="617">
        <f t="shared" si="37"/>
        <v>0</v>
      </c>
      <c r="HC64" s="617">
        <f t="shared" si="38"/>
        <v>5.4999999999999997E-3</v>
      </c>
      <c r="HD64" s="617">
        <f t="shared" si="39"/>
        <v>5.4999999999999997E-3</v>
      </c>
      <c r="HE64" s="617">
        <f t="shared" si="40"/>
        <v>1.18</v>
      </c>
      <c r="HF64" s="617">
        <f t="shared" si="41"/>
        <v>0.85</v>
      </c>
      <c r="HG64" s="617">
        <f t="shared" si="42"/>
        <v>0</v>
      </c>
      <c r="HH64" s="617">
        <f t="shared" si="43"/>
        <v>0</v>
      </c>
      <c r="HI64" s="617">
        <f t="shared" si="44"/>
        <v>1.4</v>
      </c>
      <c r="HJ64" s="617">
        <f t="shared" si="45"/>
        <v>-1.4</v>
      </c>
      <c r="HK64" s="617">
        <f t="shared" si="46"/>
        <v>5.9690260418206069</v>
      </c>
    </row>
    <row r="65" spans="1:219" x14ac:dyDescent="0.25">
      <c r="A65" s="745" t="s">
        <v>1051</v>
      </c>
      <c r="B65" s="749">
        <v>12011</v>
      </c>
      <c r="C65" s="750">
        <v>-1560</v>
      </c>
      <c r="D65" s="751">
        <v>3900</v>
      </c>
      <c r="E65" s="812">
        <f t="shared" si="50"/>
        <v>12.010999999999999</v>
      </c>
      <c r="F65" s="670">
        <f t="shared" si="51"/>
        <v>-1.56</v>
      </c>
      <c r="G65" s="670">
        <f t="shared" si="52"/>
        <v>3.9</v>
      </c>
      <c r="H65" s="668">
        <v>21.4</v>
      </c>
      <c r="I65" s="668">
        <v>8</v>
      </c>
      <c r="J65" s="670">
        <f t="shared" si="53"/>
        <v>12.010999999999999</v>
      </c>
      <c r="K65" s="624" t="s">
        <v>942</v>
      </c>
      <c r="L65" s="4" t="s">
        <v>0</v>
      </c>
      <c r="O65" s="576"/>
      <c r="P65" s="580"/>
      <c r="AU65" s="594"/>
      <c r="AV65" s="575">
        <f ca="1">'REF - ASWING STRUCT-Imperial'!AV65</f>
        <v>71</v>
      </c>
      <c r="AW65" s="787">
        <f ca="1">'REF - ASWING STRUCT-Imperial'!AW65/3.28084</f>
        <v>7.3735985499999996</v>
      </c>
      <c r="AX65" s="660">
        <f ca="1">'REF - ASWING STRUCT-Imperial'!AX65/3.28084</f>
        <v>5.2076979999999997</v>
      </c>
      <c r="AY65" s="660">
        <f ca="1">'REF - ASWING STRUCT-Imperial'!AY65/3.28084</f>
        <v>2.4898129999999998</v>
      </c>
      <c r="AZ65" s="41">
        <f ca="1">'REF - ASWING STRUCT-Imperial'!AZ65</f>
        <v>0</v>
      </c>
      <c r="BA65" s="41">
        <f ca="1">'REF - ASWING STRUCT-Imperial'!BA65*0.413253134140599</f>
        <v>143572.14925458113</v>
      </c>
      <c r="BB65" s="41">
        <f ca="1">'REF - ASWING STRUCT-Imperial'!BB65*0.413253134140599</f>
        <v>232521.90971542307</v>
      </c>
      <c r="BC65" s="41">
        <f ca="1">'REF - ASWING STRUCT-Imperial'!BC65*0.413253134140599</f>
        <v>0</v>
      </c>
      <c r="BD65" s="41">
        <f ca="1">'REF - ASWING STRUCT-Imperial'!BD65*0.413253134140599</f>
        <v>0</v>
      </c>
      <c r="BE65" s="41">
        <f ca="1">'REF - ASWING STRUCT-Imperial'!BE65*0.413253134140599</f>
        <v>0</v>
      </c>
      <c r="BF65" s="41">
        <f ca="1">'REF - ASWING STRUCT-Imperial'!BF65*0.413253134140599</f>
        <v>9231022.0560939815</v>
      </c>
      <c r="BG65" s="41">
        <f ca="1">'REF - ASWING STRUCT-Imperial'!BG65</f>
        <v>0</v>
      </c>
      <c r="BH65" s="41">
        <f ca="1">'REF - ASWING STRUCT-Imperial'!BH65*4.44822</f>
        <v>0</v>
      </c>
      <c r="BI65" s="41">
        <f ca="1">'REF - ASWING STRUCT-Imperial'!BI65*4.44822</f>
        <v>0</v>
      </c>
      <c r="BJ65" s="41">
        <f ca="1">'REF - ASWING STRUCT-Imperial'!BJ65/(2.20462*3.28084)</f>
        <v>0</v>
      </c>
      <c r="BK65" s="41">
        <f ca="1">'REF - ASWING STRUCT-Imperial'!BK65/(2.20462*3.28084)</f>
        <v>0</v>
      </c>
      <c r="BL65" s="41">
        <f ca="1">'REF - ASWING STRUCT-Imperial'!BL65/(2.20462)*3.28084</f>
        <v>14.884536283062729</v>
      </c>
      <c r="BM65" s="41">
        <f ca="1">'REF - ASWING STRUCT-Imperial'!BM65/3.28084</f>
        <v>0.2576349109199676</v>
      </c>
      <c r="BN65" s="41">
        <f ca="1">'REF - ASWING STRUCT-Imperial'!BN65/3.28084</f>
        <v>0</v>
      </c>
      <c r="BO65" s="41">
        <f ca="1">'REF - ASWING STRUCT-Imperial'!BO65/(2.20462*3.28084)</f>
        <v>0</v>
      </c>
      <c r="BP65" s="41">
        <f ca="1">'REF - ASWING STRUCT-Imperial'!BP65/(2.20462*3.28084)</f>
        <v>0</v>
      </c>
      <c r="BQ65" s="41">
        <f ca="1">'REF - ASWING STRUCT-Imperial'!BQ65/(2.20462)*3.28084</f>
        <v>0</v>
      </c>
      <c r="BR65" s="41">
        <f ca="1">'REF - ASWING STRUCT-Imperial'!BR65/3.28084</f>
        <v>0</v>
      </c>
      <c r="BS65" s="41">
        <f ca="1">'REF - ASWING STRUCT-Imperial'!BS65/3.28084</f>
        <v>0</v>
      </c>
      <c r="BT65" s="41">
        <f ca="1">'REF - ASWING STRUCT-Imperial'!BT65/3.28084</f>
        <v>0.10388290914102888</v>
      </c>
      <c r="BU65" s="41">
        <f ca="1">'REF - ASWING STRUCT-Imperial'!BU65/3.28084</f>
        <v>0</v>
      </c>
      <c r="BV65" s="41">
        <f ca="1">'REF - ASWING STRUCT-Imperial'!BV65/3.28084</f>
        <v>0</v>
      </c>
      <c r="BW65" s="41">
        <f ca="1">'REF - ASWING STRUCT-Imperial'!BW65/3.28084</f>
        <v>0</v>
      </c>
      <c r="BX65" s="41">
        <f ca="1">'REF - ASWING STRUCT-Imperial'!BX65</f>
        <v>2E-3</v>
      </c>
      <c r="BY65" s="41">
        <f ca="1">'REF - ASWING STRUCT-Imperial'!BY65</f>
        <v>2E-3</v>
      </c>
      <c r="BZ65" s="41">
        <f ca="1">'REF - ASWING STRUCT-Imperial'!BZ65/3.28084</f>
        <v>0</v>
      </c>
      <c r="CA65" s="41">
        <f ca="1">'REF - ASWING STRUCT-Imperial'!CA65/3.28084</f>
        <v>0.10483425000000002</v>
      </c>
      <c r="CB65" s="41">
        <f ca="1">'REF - ASWING STRUCT-Imperial'!CB65/(3.28084^3)</f>
        <v>1.0789622882453622E-4</v>
      </c>
      <c r="CC65" s="41">
        <f ca="1">'REF - ASWING STRUCT-Imperial'!CC65/3.28084</f>
        <v>0</v>
      </c>
      <c r="CD65" s="41">
        <f>'REF - ASWING STRUCT-Imperial'!CD65</f>
        <v>5.4999999999999997E-3</v>
      </c>
      <c r="CE65" s="41">
        <f>'REF - ASWING STRUCT-Imperial'!CE65</f>
        <v>5.4999999999999997E-3</v>
      </c>
      <c r="CF65" s="41">
        <f ca="1">'REF - ASWING STRUCT-Imperial'!CF65/3.28084</f>
        <v>1.1648250000000002</v>
      </c>
      <c r="CG65" s="41">
        <f ca="1">'REF - ASWING STRUCT-Imperial'!CG65</f>
        <v>0.25</v>
      </c>
      <c r="CH65" s="41">
        <f ca="1">'REF - ASWING STRUCT-Imperial'!CH65</f>
        <v>4.4000000000000004</v>
      </c>
      <c r="CI65" s="41">
        <f ca="1">'REF - ASWING STRUCT-Imperial'!CI65</f>
        <v>-0.15</v>
      </c>
      <c r="CJ65" s="41">
        <f ca="1">'REF - ASWING STRUCT-Imperial'!CJ65</f>
        <v>1.85</v>
      </c>
      <c r="CK65" s="41">
        <f ca="1">'REF - ASWING STRUCT-Imperial'!CK65</f>
        <v>-1.55</v>
      </c>
      <c r="CL65" s="789">
        <f ca="1">'REF - ASWING STRUCT-Imperial'!CL65</f>
        <v>5.9690260418206069</v>
      </c>
      <c r="CM65" s="687">
        <v>70.999999999999986</v>
      </c>
      <c r="CN65" s="643">
        <v>3.2261134</v>
      </c>
      <c r="CO65" s="643">
        <v>2.13</v>
      </c>
      <c r="CP65" s="643">
        <v>3.9167552000000003</v>
      </c>
      <c r="CQ65" s="643">
        <v>0</v>
      </c>
      <c r="CR65" s="643">
        <v>4629.0806410981677</v>
      </c>
      <c r="CS65" s="643">
        <v>4209.7207173119823</v>
      </c>
      <c r="CT65" s="643">
        <v>0</v>
      </c>
      <c r="CU65" s="643">
        <v>0</v>
      </c>
      <c r="CV65" s="643">
        <v>0</v>
      </c>
      <c r="CW65" s="643">
        <v>487429.7698685801</v>
      </c>
      <c r="CX65" s="643">
        <v>0</v>
      </c>
      <c r="CY65" s="643">
        <v>0</v>
      </c>
      <c r="CZ65" s="643">
        <v>0</v>
      </c>
      <c r="DA65" s="643">
        <v>0</v>
      </c>
      <c r="DB65" s="643">
        <v>0</v>
      </c>
      <c r="DC65" s="643">
        <v>2.8440087930557194</v>
      </c>
      <c r="DD65" s="643">
        <v>9.8160005368760989E-2</v>
      </c>
      <c r="DE65" s="643">
        <v>0</v>
      </c>
      <c r="DF65" s="643">
        <v>0</v>
      </c>
      <c r="DG65" s="643">
        <v>0</v>
      </c>
      <c r="DH65" s="643">
        <v>0</v>
      </c>
      <c r="DI65" s="643">
        <v>0</v>
      </c>
      <c r="DJ65" s="643">
        <v>0</v>
      </c>
      <c r="DK65" s="643">
        <v>4.1847404588286195E-2</v>
      </c>
      <c r="DL65" s="643">
        <v>0</v>
      </c>
      <c r="DM65" s="643">
        <v>0</v>
      </c>
      <c r="DN65" s="643">
        <v>0</v>
      </c>
      <c r="DO65" s="643">
        <v>2E-3</v>
      </c>
      <c r="DP65" s="643">
        <v>2E-3</v>
      </c>
      <c r="DQ65" s="643">
        <v>0</v>
      </c>
      <c r="DR65" s="643">
        <v>3.9329999999999997E-2</v>
      </c>
      <c r="DS65" s="643">
        <v>1.5186153077960144E-5</v>
      </c>
      <c r="DT65" s="643">
        <v>0</v>
      </c>
      <c r="DU65" s="643">
        <v>5.4999999999999997E-3</v>
      </c>
      <c r="DV65" s="643">
        <v>5.4999999999999997E-3</v>
      </c>
      <c r="DW65" s="643">
        <v>0.437</v>
      </c>
      <c r="DX65" s="643">
        <v>0.25</v>
      </c>
      <c r="DY65" s="643">
        <v>5.9</v>
      </c>
      <c r="DZ65" s="643">
        <v>-0.15</v>
      </c>
      <c r="EA65" s="643">
        <v>2.25</v>
      </c>
      <c r="EB65" s="643">
        <v>-1.65</v>
      </c>
      <c r="EC65" s="643">
        <v>5.9690260418206069</v>
      </c>
      <c r="ED65" s="780">
        <v>70.999999999999986</v>
      </c>
      <c r="EE65" s="718">
        <v>12.104999999999999</v>
      </c>
      <c r="EF65" s="718">
        <v>1.56</v>
      </c>
      <c r="EG65" s="718">
        <v>4.8940000000000001</v>
      </c>
      <c r="EH65" s="718">
        <v>0</v>
      </c>
      <c r="EI65" s="718">
        <v>12181.963374961206</v>
      </c>
      <c r="EJ65" s="718">
        <v>9193.3873383084265</v>
      </c>
      <c r="EK65" s="718">
        <v>0</v>
      </c>
      <c r="EL65" s="718">
        <v>0</v>
      </c>
      <c r="EM65" s="718">
        <v>0</v>
      </c>
      <c r="EN65" s="718">
        <v>7357647.9844481535</v>
      </c>
      <c r="EO65" s="718">
        <v>0</v>
      </c>
      <c r="EP65" s="718">
        <v>0</v>
      </c>
      <c r="EQ65" s="718">
        <v>0</v>
      </c>
      <c r="ER65" s="718">
        <v>0</v>
      </c>
      <c r="ES65" s="718">
        <v>0</v>
      </c>
      <c r="ET65" s="718">
        <v>8.0718056159353928</v>
      </c>
      <c r="EU65" s="718">
        <v>-0.41119712546816184</v>
      </c>
      <c r="EV65" s="718">
        <v>0</v>
      </c>
      <c r="EW65" s="718">
        <v>0</v>
      </c>
      <c r="EX65" s="718">
        <v>0</v>
      </c>
      <c r="EY65" s="718">
        <v>0</v>
      </c>
      <c r="EZ65" s="718">
        <v>0</v>
      </c>
      <c r="FA65" s="718">
        <v>0</v>
      </c>
      <c r="FB65" s="718">
        <v>-0.55171989899440921</v>
      </c>
      <c r="FC65" s="718">
        <v>0</v>
      </c>
      <c r="FD65" s="718">
        <v>0</v>
      </c>
      <c r="FE65" s="718">
        <v>0</v>
      </c>
      <c r="FF65" s="718">
        <v>2E-3</v>
      </c>
      <c r="FG65" s="718">
        <v>2E-3</v>
      </c>
      <c r="FH65" s="718">
        <v>-0.64799999999999991</v>
      </c>
      <c r="FI65" s="718">
        <v>9.7199999999999995E-2</v>
      </c>
      <c r="FJ65" s="718">
        <v>9.275394933278549E-5</v>
      </c>
      <c r="FK65" s="718">
        <v>0</v>
      </c>
      <c r="FL65" s="718">
        <v>5.4999999999999997E-3</v>
      </c>
      <c r="FM65" s="718">
        <v>5.4999999999999997E-3</v>
      </c>
      <c r="FN65" s="718">
        <v>1.08</v>
      </c>
      <c r="FO65" s="718">
        <v>0.85</v>
      </c>
      <c r="FP65" s="718">
        <v>0</v>
      </c>
      <c r="FQ65" s="718">
        <v>0</v>
      </c>
      <c r="FR65" s="718">
        <v>1.4</v>
      </c>
      <c r="FS65" s="718">
        <v>-1.4</v>
      </c>
      <c r="FT65" s="718">
        <v>5.9690260418206069</v>
      </c>
      <c r="FU65" s="782">
        <f t="shared" si="4"/>
        <v>70.999999999999986</v>
      </c>
      <c r="FV65" s="617">
        <f t="shared" si="5"/>
        <v>12.104999999999999</v>
      </c>
      <c r="FW65" s="795">
        <f t="shared" si="6"/>
        <v>-1.56</v>
      </c>
      <c r="FX65" s="617">
        <f t="shared" si="7"/>
        <v>4.8940000000000001</v>
      </c>
      <c r="FY65" s="617">
        <f t="shared" si="8"/>
        <v>0</v>
      </c>
      <c r="FZ65" s="617">
        <f t="shared" si="9"/>
        <v>12181.963374961206</v>
      </c>
      <c r="GA65" s="617">
        <f t="shared" si="10"/>
        <v>9193.3873383084265</v>
      </c>
      <c r="GB65" s="617">
        <f t="shared" si="11"/>
        <v>0</v>
      </c>
      <c r="GC65" s="617">
        <f t="shared" si="12"/>
        <v>0</v>
      </c>
      <c r="GD65" s="617">
        <f t="shared" si="13"/>
        <v>0</v>
      </c>
      <c r="GE65" s="617">
        <f t="shared" si="14"/>
        <v>7357647.9844481535</v>
      </c>
      <c r="GF65" s="617">
        <f t="shared" si="15"/>
        <v>0</v>
      </c>
      <c r="GG65" s="617">
        <f t="shared" si="16"/>
        <v>0</v>
      </c>
      <c r="GH65" s="617">
        <f t="shared" si="17"/>
        <v>0</v>
      </c>
      <c r="GI65" s="617">
        <f t="shared" si="18"/>
        <v>0</v>
      </c>
      <c r="GJ65" s="617">
        <f t="shared" si="19"/>
        <v>0</v>
      </c>
      <c r="GK65" s="617">
        <f t="shared" si="20"/>
        <v>8.0718056159353928</v>
      </c>
      <c r="GL65" s="617">
        <f t="shared" si="21"/>
        <v>-0.41119712546816184</v>
      </c>
      <c r="GM65" s="617">
        <f t="shared" si="22"/>
        <v>0</v>
      </c>
      <c r="GN65" s="617">
        <f t="shared" si="23"/>
        <v>0</v>
      </c>
      <c r="GO65" s="617">
        <f t="shared" si="24"/>
        <v>0</v>
      </c>
      <c r="GP65" s="617">
        <f t="shared" si="25"/>
        <v>0</v>
      </c>
      <c r="GQ65" s="617">
        <f t="shared" si="26"/>
        <v>0</v>
      </c>
      <c r="GR65" s="617">
        <f t="shared" si="27"/>
        <v>0</v>
      </c>
      <c r="GS65" s="617">
        <f t="shared" si="28"/>
        <v>-0.55171989899440921</v>
      </c>
      <c r="GT65" s="617">
        <f t="shared" si="29"/>
        <v>0</v>
      </c>
      <c r="GU65" s="617">
        <f t="shared" si="30"/>
        <v>0</v>
      </c>
      <c r="GV65" s="617">
        <f t="shared" si="31"/>
        <v>0</v>
      </c>
      <c r="GW65" s="617">
        <f t="shared" si="32"/>
        <v>2E-3</v>
      </c>
      <c r="GX65" s="617">
        <f t="shared" si="33"/>
        <v>2E-3</v>
      </c>
      <c r="GY65" s="617">
        <f t="shared" si="34"/>
        <v>-0.64799999999999991</v>
      </c>
      <c r="GZ65" s="617">
        <f t="shared" si="35"/>
        <v>9.7199999999999995E-2</v>
      </c>
      <c r="HA65" s="617">
        <f t="shared" si="36"/>
        <v>9.275394933278549E-5</v>
      </c>
      <c r="HB65" s="617">
        <f t="shared" si="37"/>
        <v>0</v>
      </c>
      <c r="HC65" s="617">
        <f t="shared" si="38"/>
        <v>5.4999999999999997E-3</v>
      </c>
      <c r="HD65" s="617">
        <f t="shared" si="39"/>
        <v>5.4999999999999997E-3</v>
      </c>
      <c r="HE65" s="617">
        <f t="shared" si="40"/>
        <v>1.08</v>
      </c>
      <c r="HF65" s="617">
        <f t="shared" si="41"/>
        <v>0.85</v>
      </c>
      <c r="HG65" s="617">
        <f t="shared" si="42"/>
        <v>0</v>
      </c>
      <c r="HH65" s="617">
        <f t="shared" si="43"/>
        <v>0</v>
      </c>
      <c r="HI65" s="617">
        <f t="shared" si="44"/>
        <v>1.4</v>
      </c>
      <c r="HJ65" s="617">
        <f t="shared" si="45"/>
        <v>-1.4</v>
      </c>
      <c r="HK65" s="617">
        <f t="shared" si="46"/>
        <v>5.9690260418206069</v>
      </c>
    </row>
    <row r="66" spans="1:219" x14ac:dyDescent="0.25">
      <c r="A66" s="745" t="s">
        <v>1052</v>
      </c>
      <c r="B66" s="749">
        <v>12011</v>
      </c>
      <c r="C66" s="750">
        <v>1560</v>
      </c>
      <c r="D66" s="751">
        <v>3900</v>
      </c>
      <c r="E66" s="812">
        <f t="shared" si="50"/>
        <v>12.010999999999999</v>
      </c>
      <c r="F66" s="670">
        <f t="shared" si="51"/>
        <v>1.56</v>
      </c>
      <c r="G66" s="670">
        <f t="shared" si="52"/>
        <v>3.9</v>
      </c>
      <c r="H66" s="668">
        <v>21.4</v>
      </c>
      <c r="I66" s="668">
        <v>7</v>
      </c>
      <c r="J66" s="670">
        <f t="shared" si="53"/>
        <v>12.010999999999999</v>
      </c>
      <c r="K66" s="620">
        <v>1</v>
      </c>
      <c r="L66" t="s">
        <v>944</v>
      </c>
      <c r="O66" s="576"/>
      <c r="P66" s="580"/>
      <c r="AU66" s="594"/>
      <c r="AV66" s="575">
        <f ca="1">'REF - ASWING STRUCT-Imperial'!AV66</f>
        <v>76</v>
      </c>
      <c r="AW66" s="787">
        <f ca="1">'REF - ASWING STRUCT-Imperial'!AW66/3.28084</f>
        <v>7.3803797999999983</v>
      </c>
      <c r="AX66" s="660">
        <f ca="1">'REF - ASWING STRUCT-Imperial'!AX66/3.28084</f>
        <v>5.5746979999999997</v>
      </c>
      <c r="AY66" s="660">
        <f ca="1">'REF - ASWING STRUCT-Imperial'!AY66/3.28084</f>
        <v>2.4898129999999998</v>
      </c>
      <c r="AZ66" s="41">
        <f ca="1">'REF - ASWING STRUCT-Imperial'!AZ66</f>
        <v>0</v>
      </c>
      <c r="BA66" s="41">
        <f ca="1">'REF - ASWING STRUCT-Imperial'!BA66*0.413253134140599</f>
        <v>236004.49229251957</v>
      </c>
      <c r="BB66" s="41">
        <f ca="1">'REF - ASWING STRUCT-Imperial'!BB66*0.413253134140599</f>
        <v>221818.63638549912</v>
      </c>
      <c r="BC66" s="41">
        <f ca="1">'REF - ASWING STRUCT-Imperial'!BC66*0.413253134140599</f>
        <v>0</v>
      </c>
      <c r="BD66" s="41">
        <f ca="1">'REF - ASWING STRUCT-Imperial'!BD66*0.413253134140599</f>
        <v>0</v>
      </c>
      <c r="BE66" s="41">
        <f ca="1">'REF - ASWING STRUCT-Imperial'!BE66*0.413253134140599</f>
        <v>0</v>
      </c>
      <c r="BF66" s="41">
        <f ca="1">'REF - ASWING STRUCT-Imperial'!BF66*0.413253134140599</f>
        <v>8601040.9154905956</v>
      </c>
      <c r="BG66" s="41">
        <f ca="1">'REF - ASWING STRUCT-Imperial'!BG66</f>
        <v>0</v>
      </c>
      <c r="BH66" s="41">
        <f ca="1">'REF - ASWING STRUCT-Imperial'!BH66*4.44822</f>
        <v>0</v>
      </c>
      <c r="BI66" s="41">
        <f ca="1">'REF - ASWING STRUCT-Imperial'!BI66*4.44822</f>
        <v>0</v>
      </c>
      <c r="BJ66" s="41">
        <f ca="1">'REF - ASWING STRUCT-Imperial'!BJ66/(2.20462*3.28084)</f>
        <v>0</v>
      </c>
      <c r="BK66" s="41">
        <f ca="1">'REF - ASWING STRUCT-Imperial'!BK66/(2.20462*3.28084)</f>
        <v>0</v>
      </c>
      <c r="BL66" s="41">
        <f ca="1">'REF - ASWING STRUCT-Imperial'!BL66/(2.20462)*3.28084</f>
        <v>10.525894490062459</v>
      </c>
      <c r="BM66" s="41">
        <f ca="1">'REF - ASWING STRUCT-Imperial'!BM66/3.28084</f>
        <v>0.2470955720388735</v>
      </c>
      <c r="BN66" s="41">
        <f ca="1">'REF - ASWING STRUCT-Imperial'!BN66/3.28084</f>
        <v>0</v>
      </c>
      <c r="BO66" s="41">
        <f ca="1">'REF - ASWING STRUCT-Imperial'!BO66/(2.20462*3.28084)</f>
        <v>0</v>
      </c>
      <c r="BP66" s="41">
        <f ca="1">'REF - ASWING STRUCT-Imperial'!BP66/(2.20462*3.28084)</f>
        <v>0</v>
      </c>
      <c r="BQ66" s="41">
        <f ca="1">'REF - ASWING STRUCT-Imperial'!BQ66/(2.20462)*3.28084</f>
        <v>0</v>
      </c>
      <c r="BR66" s="41">
        <f ca="1">'REF - ASWING STRUCT-Imperial'!BR66/3.28084</f>
        <v>0</v>
      </c>
      <c r="BS66" s="41">
        <f ca="1">'REF - ASWING STRUCT-Imperial'!BS66/3.28084</f>
        <v>0</v>
      </c>
      <c r="BT66" s="41">
        <f ca="1">'REF - ASWING STRUCT-Imperial'!BT66/3.28084</f>
        <v>0.10145165190272838</v>
      </c>
      <c r="BU66" s="41">
        <f ca="1">'REF - ASWING STRUCT-Imperial'!BU66/3.28084</f>
        <v>0</v>
      </c>
      <c r="BV66" s="41">
        <f ca="1">'REF - ASWING STRUCT-Imperial'!BV66/3.28084</f>
        <v>0</v>
      </c>
      <c r="BW66" s="41">
        <f ca="1">'REF - ASWING STRUCT-Imperial'!BW66/3.28084</f>
        <v>0</v>
      </c>
      <c r="BX66" s="41">
        <f ca="1">'REF - ASWING STRUCT-Imperial'!BX66</f>
        <v>2E-3</v>
      </c>
      <c r="BY66" s="41">
        <f ca="1">'REF - ASWING STRUCT-Imperial'!BY66</f>
        <v>2E-3</v>
      </c>
      <c r="BZ66" s="41">
        <f ca="1">'REF - ASWING STRUCT-Imperial'!BZ66/3.28084</f>
        <v>0</v>
      </c>
      <c r="CA66" s="41">
        <f ca="1">'REF - ASWING STRUCT-Imperial'!CA66/3.28084</f>
        <v>0.10239300000000001</v>
      </c>
      <c r="CB66" s="41">
        <f ca="1">'REF - ASWING STRUCT-Imperial'!CB66/(3.28084^3)</f>
        <v>1.0292963092505045E-4</v>
      </c>
      <c r="CC66" s="41">
        <f ca="1">'REF - ASWING STRUCT-Imperial'!CC66/3.28084</f>
        <v>0</v>
      </c>
      <c r="CD66" s="41">
        <f>'REF - ASWING STRUCT-Imperial'!CD66</f>
        <v>5.4999999999999997E-3</v>
      </c>
      <c r="CE66" s="41">
        <f>'REF - ASWING STRUCT-Imperial'!CE66</f>
        <v>5.4999999999999997E-3</v>
      </c>
      <c r="CF66" s="41">
        <f ca="1">'REF - ASWING STRUCT-Imperial'!CF66/3.28084</f>
        <v>1.1376999999999999</v>
      </c>
      <c r="CG66" s="41">
        <f ca="1">'REF - ASWING STRUCT-Imperial'!CG66</f>
        <v>0.25</v>
      </c>
      <c r="CH66" s="41">
        <f ca="1">'REF - ASWING STRUCT-Imperial'!CH66</f>
        <v>4.05</v>
      </c>
      <c r="CI66" s="41">
        <f ca="1">'REF - ASWING STRUCT-Imperial'!CI66</f>
        <v>-0.15</v>
      </c>
      <c r="CJ66" s="41">
        <f ca="1">'REF - ASWING STRUCT-Imperial'!CJ66</f>
        <v>1.85</v>
      </c>
      <c r="CK66" s="41">
        <f ca="1">'REF - ASWING STRUCT-Imperial'!CK66</f>
        <v>-1.55</v>
      </c>
      <c r="CL66" s="789">
        <f ca="1">'REF - ASWING STRUCT-Imperial'!CL66</f>
        <v>5.9690260418206069</v>
      </c>
      <c r="CM66" s="687">
        <v>76.000000000000014</v>
      </c>
      <c r="CN66" s="643">
        <v>3.2298633999999997</v>
      </c>
      <c r="CO66" s="643">
        <v>2.2800000000000002</v>
      </c>
      <c r="CP66" s="643">
        <v>3.9167552000000003</v>
      </c>
      <c r="CQ66" s="643">
        <v>0</v>
      </c>
      <c r="CR66" s="643">
        <v>4215.416447468242</v>
      </c>
      <c r="CS66" s="643">
        <v>3925.6837718257239</v>
      </c>
      <c r="CT66" s="643">
        <v>0</v>
      </c>
      <c r="CU66" s="643">
        <v>0</v>
      </c>
      <c r="CV66" s="643">
        <v>0</v>
      </c>
      <c r="CW66" s="643">
        <v>438939.93222701724</v>
      </c>
      <c r="CX66" s="643">
        <v>0</v>
      </c>
      <c r="CY66" s="643">
        <v>0</v>
      </c>
      <c r="CZ66" s="643">
        <v>0</v>
      </c>
      <c r="DA66" s="643">
        <v>0</v>
      </c>
      <c r="DB66" s="643">
        <v>0</v>
      </c>
      <c r="DC66" s="643">
        <v>2.7497200792281578</v>
      </c>
      <c r="DD66" s="643">
        <v>9.4662702800370743E-2</v>
      </c>
      <c r="DE66" s="643">
        <v>0</v>
      </c>
      <c r="DF66" s="643">
        <v>0</v>
      </c>
      <c r="DG66" s="643">
        <v>0</v>
      </c>
      <c r="DH66" s="643">
        <v>0</v>
      </c>
      <c r="DI66" s="643">
        <v>0</v>
      </c>
      <c r="DJ66" s="643">
        <v>0</v>
      </c>
      <c r="DK66" s="643">
        <v>4.0765459587338487E-2</v>
      </c>
      <c r="DL66" s="643">
        <v>0</v>
      </c>
      <c r="DM66" s="643">
        <v>0</v>
      </c>
      <c r="DN66" s="643">
        <v>0</v>
      </c>
      <c r="DO66" s="643">
        <v>2E-3</v>
      </c>
      <c r="DP66" s="643">
        <v>2E-3</v>
      </c>
      <c r="DQ66" s="643">
        <v>0</v>
      </c>
      <c r="DR66" s="643">
        <v>3.798E-2</v>
      </c>
      <c r="DS66" s="643">
        <v>1.4161517758041641E-5</v>
      </c>
      <c r="DT66" s="643">
        <v>0</v>
      </c>
      <c r="DU66" s="643">
        <v>5.4999999999999997E-3</v>
      </c>
      <c r="DV66" s="643">
        <v>5.4999999999999997E-3</v>
      </c>
      <c r="DW66" s="643">
        <v>0.42199999999999999</v>
      </c>
      <c r="DX66" s="643">
        <v>0.25</v>
      </c>
      <c r="DY66" s="643">
        <v>5.9</v>
      </c>
      <c r="DZ66" s="643">
        <v>-0.15</v>
      </c>
      <c r="EA66" s="643">
        <v>2.25</v>
      </c>
      <c r="EB66" s="643">
        <v>-1.65</v>
      </c>
      <c r="EC66" s="643">
        <v>5.9690260418206069</v>
      </c>
      <c r="ED66" s="780">
        <v>76.000000000000014</v>
      </c>
      <c r="EE66" s="718">
        <v>12.13</v>
      </c>
      <c r="EF66" s="718">
        <v>1.56</v>
      </c>
      <c r="EG66" s="718">
        <v>4.9639999999999995</v>
      </c>
      <c r="EH66" s="718">
        <v>0</v>
      </c>
      <c r="EI66" s="718">
        <v>11407.931024168542</v>
      </c>
      <c r="EJ66" s="718">
        <v>7569.7266801366713</v>
      </c>
      <c r="EK66" s="718">
        <v>0</v>
      </c>
      <c r="EL66" s="718">
        <v>0</v>
      </c>
      <c r="EM66" s="718">
        <v>0</v>
      </c>
      <c r="EN66" s="718">
        <v>5497256.0567643465</v>
      </c>
      <c r="EO66" s="718">
        <v>0</v>
      </c>
      <c r="EP66" s="718">
        <v>0</v>
      </c>
      <c r="EQ66" s="718">
        <v>0</v>
      </c>
      <c r="ER66" s="718">
        <v>0</v>
      </c>
      <c r="ES66" s="718">
        <v>0</v>
      </c>
      <c r="ET66" s="718">
        <v>6.2529274653745022</v>
      </c>
      <c r="EU66" s="718">
        <v>-0.37733753195343211</v>
      </c>
      <c r="EV66" s="718">
        <v>0</v>
      </c>
      <c r="EW66" s="718">
        <v>0</v>
      </c>
      <c r="EX66" s="718">
        <v>0</v>
      </c>
      <c r="EY66" s="718">
        <v>0</v>
      </c>
      <c r="EZ66" s="718">
        <v>0</v>
      </c>
      <c r="FA66" s="718">
        <v>0</v>
      </c>
      <c r="FB66" s="718">
        <v>-0.50067519701124774</v>
      </c>
      <c r="FC66" s="718">
        <v>0</v>
      </c>
      <c r="FD66" s="718">
        <v>0</v>
      </c>
      <c r="FE66" s="718">
        <v>0</v>
      </c>
      <c r="FF66" s="718">
        <v>2E-3</v>
      </c>
      <c r="FG66" s="718">
        <v>2E-3</v>
      </c>
      <c r="FH66" s="718">
        <v>-0.58799999999999997</v>
      </c>
      <c r="FI66" s="718">
        <v>8.8199999999999987E-2</v>
      </c>
      <c r="FJ66" s="718">
        <v>7.6372507663929334E-5</v>
      </c>
      <c r="FK66" s="718">
        <v>0</v>
      </c>
      <c r="FL66" s="718">
        <v>5.4999999999999997E-3</v>
      </c>
      <c r="FM66" s="718">
        <v>5.4999999999999997E-3</v>
      </c>
      <c r="FN66" s="718">
        <v>0.98</v>
      </c>
      <c r="FO66" s="718">
        <v>0.85</v>
      </c>
      <c r="FP66" s="718">
        <v>0</v>
      </c>
      <c r="FQ66" s="718">
        <v>0</v>
      </c>
      <c r="FR66" s="718">
        <v>1.4</v>
      </c>
      <c r="FS66" s="718">
        <v>-1.4</v>
      </c>
      <c r="FT66" s="718">
        <v>5.9690260418206069</v>
      </c>
      <c r="FU66" s="782">
        <f t="shared" si="4"/>
        <v>76.000000000000014</v>
      </c>
      <c r="FV66" s="617">
        <f t="shared" si="5"/>
        <v>12.13</v>
      </c>
      <c r="FW66" s="795">
        <f t="shared" si="6"/>
        <v>-1.56</v>
      </c>
      <c r="FX66" s="617">
        <f t="shared" si="7"/>
        <v>4.9639999999999995</v>
      </c>
      <c r="FY66" s="617">
        <f t="shared" si="8"/>
        <v>0</v>
      </c>
      <c r="FZ66" s="617">
        <f t="shared" si="9"/>
        <v>11407.931024168542</v>
      </c>
      <c r="GA66" s="617">
        <f t="shared" si="10"/>
        <v>7569.7266801366713</v>
      </c>
      <c r="GB66" s="617">
        <f t="shared" si="11"/>
        <v>0</v>
      </c>
      <c r="GC66" s="617">
        <f t="shared" si="12"/>
        <v>0</v>
      </c>
      <c r="GD66" s="617">
        <f t="shared" si="13"/>
        <v>0</v>
      </c>
      <c r="GE66" s="617">
        <f t="shared" si="14"/>
        <v>5497256.0567643465</v>
      </c>
      <c r="GF66" s="617">
        <f t="shared" si="15"/>
        <v>0</v>
      </c>
      <c r="GG66" s="617">
        <f t="shared" si="16"/>
        <v>0</v>
      </c>
      <c r="GH66" s="617">
        <f t="shared" si="17"/>
        <v>0</v>
      </c>
      <c r="GI66" s="617">
        <f t="shared" si="18"/>
        <v>0</v>
      </c>
      <c r="GJ66" s="617">
        <f t="shared" si="19"/>
        <v>0</v>
      </c>
      <c r="GK66" s="617">
        <f t="shared" si="20"/>
        <v>6.2529274653745022</v>
      </c>
      <c r="GL66" s="617">
        <f t="shared" si="21"/>
        <v>-0.37733753195343211</v>
      </c>
      <c r="GM66" s="617">
        <f t="shared" si="22"/>
        <v>0</v>
      </c>
      <c r="GN66" s="617">
        <f t="shared" si="23"/>
        <v>0</v>
      </c>
      <c r="GO66" s="617">
        <f t="shared" si="24"/>
        <v>0</v>
      </c>
      <c r="GP66" s="617">
        <f t="shared" si="25"/>
        <v>0</v>
      </c>
      <c r="GQ66" s="617">
        <f t="shared" si="26"/>
        <v>0</v>
      </c>
      <c r="GR66" s="617">
        <f t="shared" si="27"/>
        <v>0</v>
      </c>
      <c r="GS66" s="617">
        <f t="shared" si="28"/>
        <v>-0.50067519701124774</v>
      </c>
      <c r="GT66" s="617">
        <f t="shared" si="29"/>
        <v>0</v>
      </c>
      <c r="GU66" s="617">
        <f t="shared" si="30"/>
        <v>0</v>
      </c>
      <c r="GV66" s="617">
        <f t="shared" si="31"/>
        <v>0</v>
      </c>
      <c r="GW66" s="617">
        <f t="shared" si="32"/>
        <v>2E-3</v>
      </c>
      <c r="GX66" s="617">
        <f t="shared" si="33"/>
        <v>2E-3</v>
      </c>
      <c r="GY66" s="617">
        <f t="shared" si="34"/>
        <v>-0.58799999999999997</v>
      </c>
      <c r="GZ66" s="617">
        <f t="shared" si="35"/>
        <v>8.8199999999999987E-2</v>
      </c>
      <c r="HA66" s="617">
        <f t="shared" si="36"/>
        <v>7.6372507663929334E-5</v>
      </c>
      <c r="HB66" s="617">
        <f t="shared" si="37"/>
        <v>0</v>
      </c>
      <c r="HC66" s="617">
        <f t="shared" si="38"/>
        <v>5.4999999999999997E-3</v>
      </c>
      <c r="HD66" s="617">
        <f t="shared" si="39"/>
        <v>5.4999999999999997E-3</v>
      </c>
      <c r="HE66" s="617">
        <f t="shared" si="40"/>
        <v>0.98</v>
      </c>
      <c r="HF66" s="617">
        <f t="shared" si="41"/>
        <v>0.85</v>
      </c>
      <c r="HG66" s="617">
        <f t="shared" si="42"/>
        <v>0</v>
      </c>
      <c r="HH66" s="617">
        <f t="shared" si="43"/>
        <v>0</v>
      </c>
      <c r="HI66" s="617">
        <f t="shared" si="44"/>
        <v>1.4</v>
      </c>
      <c r="HJ66" s="617">
        <f t="shared" si="45"/>
        <v>-1.4</v>
      </c>
      <c r="HK66" s="617">
        <f t="shared" si="46"/>
        <v>5.9690260418206069</v>
      </c>
    </row>
    <row r="67" spans="1:219" x14ac:dyDescent="0.25">
      <c r="A67" s="745" t="s">
        <v>1053</v>
      </c>
      <c r="B67" s="749">
        <v>12224</v>
      </c>
      <c r="C67" s="750">
        <v>4610</v>
      </c>
      <c r="D67" s="751">
        <v>3700</v>
      </c>
      <c r="E67" s="812">
        <f t="shared" si="50"/>
        <v>12.224</v>
      </c>
      <c r="F67" s="670">
        <f t="shared" si="51"/>
        <v>4.6100000000000003</v>
      </c>
      <c r="G67" s="670">
        <f t="shared" si="52"/>
        <v>3.7</v>
      </c>
      <c r="H67" s="668">
        <v>21.4</v>
      </c>
      <c r="I67" s="668">
        <v>9</v>
      </c>
      <c r="J67" s="670">
        <f t="shared" si="53"/>
        <v>12.224</v>
      </c>
      <c r="K67" s="620">
        <v>2</v>
      </c>
      <c r="L67" t="s">
        <v>880</v>
      </c>
      <c r="O67" s="576"/>
      <c r="P67" s="580"/>
      <c r="AU67" s="594"/>
      <c r="AV67" s="575">
        <f ca="1">'REF - ASWING STRUCT-Imperial'!AV67</f>
        <v>80.000000000000014</v>
      </c>
      <c r="AW67" s="787">
        <f ca="1">'REF - ASWING STRUCT-Imperial'!AW67/3.28084</f>
        <v>7.3858047999999998</v>
      </c>
      <c r="AX67" s="660">
        <f ca="1">'REF - ASWING STRUCT-Imperial'!AX67/3.28084</f>
        <v>5.8682980000000002</v>
      </c>
      <c r="AY67" s="660">
        <f ca="1">'REF - ASWING STRUCT-Imperial'!AY67/3.28084</f>
        <v>2.4898129999999998</v>
      </c>
      <c r="AZ67" s="41">
        <f ca="1">'REF - ASWING STRUCT-Imperial'!AZ67</f>
        <v>0</v>
      </c>
      <c r="BA67" s="41">
        <f ca="1">'REF - ASWING STRUCT-Imperial'!BA67*0.413253134140599</f>
        <v>102125.89057808305</v>
      </c>
      <c r="BB67" s="41">
        <f ca="1">'REF - ASWING STRUCT-Imperial'!BB67*0.413253134140599</f>
        <v>93307.097994068419</v>
      </c>
      <c r="BC67" s="41">
        <f ca="1">'REF - ASWING STRUCT-Imperial'!BC67*0.413253134140599</f>
        <v>0</v>
      </c>
      <c r="BD67" s="41">
        <f ca="1">'REF - ASWING STRUCT-Imperial'!BD67*0.413253134140599</f>
        <v>0</v>
      </c>
      <c r="BE67" s="41">
        <f ca="1">'REF - ASWING STRUCT-Imperial'!BE67*0.413253134140599</f>
        <v>0</v>
      </c>
      <c r="BF67" s="41">
        <f ca="1">'REF - ASWING STRUCT-Imperial'!BF67*0.413253134140599</f>
        <v>8118210.7816553693</v>
      </c>
      <c r="BG67" s="41">
        <f ca="1">'REF - ASWING STRUCT-Imperial'!BG67</f>
        <v>0</v>
      </c>
      <c r="BH67" s="41">
        <f ca="1">'REF - ASWING STRUCT-Imperial'!BH67*4.44822</f>
        <v>0</v>
      </c>
      <c r="BI67" s="41">
        <f ca="1">'REF - ASWING STRUCT-Imperial'!BI67*4.44822</f>
        <v>0</v>
      </c>
      <c r="BJ67" s="41">
        <f ca="1">'REF - ASWING STRUCT-Imperial'!BJ67/(2.20462*3.28084)</f>
        <v>0</v>
      </c>
      <c r="BK67" s="41">
        <f ca="1">'REF - ASWING STRUCT-Imperial'!BK67/(2.20462*3.28084)</f>
        <v>0</v>
      </c>
      <c r="BL67" s="41">
        <f ca="1">'REF - ASWING STRUCT-Imperial'!BL67/(2.20462)*3.28084</f>
        <v>9.9477393197499033</v>
      </c>
      <c r="BM67" s="41">
        <f ca="1">'REF - ASWING STRUCT-Imperial'!BM67/3.28084</f>
        <v>0.25144171851680786</v>
      </c>
      <c r="BN67" s="41">
        <f ca="1">'REF - ASWING STRUCT-Imperial'!BN67/3.28084</f>
        <v>0</v>
      </c>
      <c r="BO67" s="41">
        <f ca="1">'REF - ASWING STRUCT-Imperial'!BO67/(2.20462*3.28084)</f>
        <v>0</v>
      </c>
      <c r="BP67" s="41">
        <f ca="1">'REF - ASWING STRUCT-Imperial'!BP67/(2.20462*3.28084)</f>
        <v>0</v>
      </c>
      <c r="BQ67" s="41">
        <f ca="1">'REF - ASWING STRUCT-Imperial'!BQ67/(2.20462)*3.28084</f>
        <v>0</v>
      </c>
      <c r="BR67" s="41">
        <f ca="1">'REF - ASWING STRUCT-Imperial'!BR67/3.28084</f>
        <v>0</v>
      </c>
      <c r="BS67" s="41">
        <f ca="1">'REF - ASWING STRUCT-Imperial'!BS67/3.28084</f>
        <v>0</v>
      </c>
      <c r="BT67" s="41">
        <f ca="1">'REF - ASWING STRUCT-Imperial'!BT67/3.28084</f>
        <v>9.9506648878360346E-2</v>
      </c>
      <c r="BU67" s="41">
        <f ca="1">'REF - ASWING STRUCT-Imperial'!BU67/3.28084</f>
        <v>0</v>
      </c>
      <c r="BV67" s="41">
        <f ca="1">'REF - ASWING STRUCT-Imperial'!BV67/3.28084</f>
        <v>0</v>
      </c>
      <c r="BW67" s="41">
        <f ca="1">'REF - ASWING STRUCT-Imperial'!BW67/3.28084</f>
        <v>0</v>
      </c>
      <c r="BX67" s="41">
        <f ca="1">'REF - ASWING STRUCT-Imperial'!BX67</f>
        <v>2E-3</v>
      </c>
      <c r="BY67" s="41">
        <f ca="1">'REF - ASWING STRUCT-Imperial'!BY67</f>
        <v>2E-3</v>
      </c>
      <c r="BZ67" s="41">
        <f ca="1">'REF - ASWING STRUCT-Imperial'!BZ67/3.28084</f>
        <v>0</v>
      </c>
      <c r="CA67" s="41">
        <f ca="1">'REF - ASWING STRUCT-Imperial'!CA67/3.28084</f>
        <v>0.10044</v>
      </c>
      <c r="CB67" s="41">
        <f ca="1">'REF - ASWING STRUCT-Imperial'!CB67/(3.28084^3)</f>
        <v>9.9040605898674265E-5</v>
      </c>
      <c r="CC67" s="41">
        <f ca="1">'REF - ASWING STRUCT-Imperial'!CC67/3.28084</f>
        <v>0</v>
      </c>
      <c r="CD67" s="41">
        <f>'REF - ASWING STRUCT-Imperial'!CD67</f>
        <v>5.4999999999999997E-3</v>
      </c>
      <c r="CE67" s="41">
        <f>'REF - ASWING STRUCT-Imperial'!CE67</f>
        <v>5.4999999999999997E-3</v>
      </c>
      <c r="CF67" s="41">
        <f ca="1">'REF - ASWING STRUCT-Imperial'!CF67/3.28084</f>
        <v>1.1160000000000001</v>
      </c>
      <c r="CG67" s="41">
        <f ca="1">'REF - ASWING STRUCT-Imperial'!CG67</f>
        <v>0.25</v>
      </c>
      <c r="CH67" s="41">
        <f ca="1">'REF - ASWING STRUCT-Imperial'!CH67</f>
        <v>4.05</v>
      </c>
      <c r="CI67" s="41">
        <f ca="1">'REF - ASWING STRUCT-Imperial'!CI67</f>
        <v>-0.15</v>
      </c>
      <c r="CJ67" s="41">
        <f ca="1">'REF - ASWING STRUCT-Imperial'!CJ67</f>
        <v>1.85</v>
      </c>
      <c r="CK67" s="41">
        <f ca="1">'REF - ASWING STRUCT-Imperial'!CK67</f>
        <v>-1.55</v>
      </c>
      <c r="CL67" s="789">
        <f ca="1">'REF - ASWING STRUCT-Imperial'!CL67</f>
        <v>5.9690260418206069</v>
      </c>
      <c r="CM67" s="687">
        <v>80.000000000000014</v>
      </c>
      <c r="CN67" s="643">
        <v>3.2328634000000003</v>
      </c>
      <c r="CO67" s="643">
        <v>2.4000000000000004</v>
      </c>
      <c r="CP67" s="643">
        <v>3.9167552000000003</v>
      </c>
      <c r="CQ67" s="643">
        <v>0</v>
      </c>
      <c r="CR67" s="643">
        <v>1801.666452730228</v>
      </c>
      <c r="CS67" s="643">
        <v>1642.121017381372</v>
      </c>
      <c r="CT67" s="643">
        <v>0</v>
      </c>
      <c r="CU67" s="643">
        <v>0</v>
      </c>
      <c r="CV67" s="643">
        <v>0</v>
      </c>
      <c r="CW67" s="643">
        <v>402549.5166642465</v>
      </c>
      <c r="CX67" s="643">
        <v>0</v>
      </c>
      <c r="CY67" s="643">
        <v>0</v>
      </c>
      <c r="CZ67" s="643">
        <v>0</v>
      </c>
      <c r="DA67" s="643">
        <v>0</v>
      </c>
      <c r="DB67" s="643">
        <v>0</v>
      </c>
      <c r="DC67" s="643">
        <v>2.6247769481628036</v>
      </c>
      <c r="DD67" s="643">
        <v>9.3580451216675797E-2</v>
      </c>
      <c r="DE67" s="643">
        <v>0</v>
      </c>
      <c r="DF67" s="643">
        <v>0</v>
      </c>
      <c r="DG67" s="643">
        <v>0</v>
      </c>
      <c r="DH67" s="643">
        <v>0</v>
      </c>
      <c r="DI67" s="643">
        <v>0</v>
      </c>
      <c r="DJ67" s="643">
        <v>0</v>
      </c>
      <c r="DK67" s="643">
        <v>3.990828739323353E-2</v>
      </c>
      <c r="DL67" s="643">
        <v>0</v>
      </c>
      <c r="DM67" s="643">
        <v>0</v>
      </c>
      <c r="DN67" s="643">
        <v>0</v>
      </c>
      <c r="DO67" s="643">
        <v>2E-3</v>
      </c>
      <c r="DP67" s="643">
        <v>2E-3</v>
      </c>
      <c r="DQ67" s="643">
        <v>0</v>
      </c>
      <c r="DR67" s="643">
        <v>3.6899999999999995E-2</v>
      </c>
      <c r="DS67" s="643">
        <v>1.3367574488032613E-5</v>
      </c>
      <c r="DT67" s="643">
        <v>0</v>
      </c>
      <c r="DU67" s="643">
        <v>5.4999999999999997E-3</v>
      </c>
      <c r="DV67" s="643">
        <v>5.4999999999999997E-3</v>
      </c>
      <c r="DW67" s="643">
        <v>0.41</v>
      </c>
      <c r="DX67" s="643">
        <v>0.25</v>
      </c>
      <c r="DY67" s="643">
        <v>5.9</v>
      </c>
      <c r="DZ67" s="643">
        <v>-0.15</v>
      </c>
      <c r="EA67" s="643">
        <v>2.25</v>
      </c>
      <c r="EB67" s="643">
        <v>-1.65</v>
      </c>
      <c r="EC67" s="643">
        <v>5.9690260418206069</v>
      </c>
      <c r="ED67" s="780">
        <v>80</v>
      </c>
      <c r="EE67" s="718">
        <v>12.15</v>
      </c>
      <c r="EF67" s="718">
        <v>1.56</v>
      </c>
      <c r="EG67" s="718">
        <v>5.0200000000000005</v>
      </c>
      <c r="EH67" s="718">
        <v>0</v>
      </c>
      <c r="EI67" s="718">
        <v>4544.9686925557835</v>
      </c>
      <c r="EJ67" s="718">
        <v>3045.3467967596994</v>
      </c>
      <c r="EK67" s="718">
        <v>0</v>
      </c>
      <c r="EL67" s="718">
        <v>0</v>
      </c>
      <c r="EM67" s="718">
        <v>0</v>
      </c>
      <c r="EN67" s="718">
        <v>4257898.1391482372</v>
      </c>
      <c r="EO67" s="718">
        <v>0</v>
      </c>
      <c r="EP67" s="718">
        <v>0</v>
      </c>
      <c r="EQ67" s="718">
        <v>0</v>
      </c>
      <c r="ER67" s="718">
        <v>0</v>
      </c>
      <c r="ES67" s="718">
        <v>0</v>
      </c>
      <c r="ET67" s="718">
        <v>5.7343996407870623</v>
      </c>
      <c r="EU67" s="718">
        <v>-0.34744849501187375</v>
      </c>
      <c r="EV67" s="718">
        <v>0</v>
      </c>
      <c r="EW67" s="718">
        <v>0</v>
      </c>
      <c r="EX67" s="718">
        <v>0</v>
      </c>
      <c r="EY67" s="718">
        <v>0</v>
      </c>
      <c r="EZ67" s="718">
        <v>0</v>
      </c>
      <c r="FA67" s="718">
        <v>0</v>
      </c>
      <c r="FB67" s="718">
        <v>-0.45981303673731477</v>
      </c>
      <c r="FC67" s="718">
        <v>0</v>
      </c>
      <c r="FD67" s="718">
        <v>0</v>
      </c>
      <c r="FE67" s="718">
        <v>0</v>
      </c>
      <c r="FF67" s="718">
        <v>2E-3</v>
      </c>
      <c r="FG67" s="718">
        <v>2E-3</v>
      </c>
      <c r="FH67" s="718">
        <v>-0.53999999999999992</v>
      </c>
      <c r="FI67" s="718">
        <v>8.0999999999999989E-2</v>
      </c>
      <c r="FJ67" s="718">
        <v>6.4412464814434358E-5</v>
      </c>
      <c r="FK67" s="718">
        <v>0</v>
      </c>
      <c r="FL67" s="718">
        <v>5.4999999999999997E-3</v>
      </c>
      <c r="FM67" s="718">
        <v>5.4999999999999997E-3</v>
      </c>
      <c r="FN67" s="718">
        <v>0.9</v>
      </c>
      <c r="FO67" s="718">
        <v>0.85</v>
      </c>
      <c r="FP67" s="718">
        <v>0</v>
      </c>
      <c r="FQ67" s="718">
        <v>0</v>
      </c>
      <c r="FR67" s="718">
        <v>1.4</v>
      </c>
      <c r="FS67" s="718">
        <v>-1.4</v>
      </c>
      <c r="FT67" s="718">
        <v>5.9690260418206069</v>
      </c>
      <c r="FU67" s="782">
        <f t="shared" si="4"/>
        <v>80</v>
      </c>
      <c r="FV67" s="617">
        <f t="shared" si="5"/>
        <v>12.15</v>
      </c>
      <c r="FW67" s="795">
        <f t="shared" si="6"/>
        <v>-1.56</v>
      </c>
      <c r="FX67" s="617">
        <f t="shared" si="7"/>
        <v>5.0200000000000005</v>
      </c>
      <c r="FY67" s="617">
        <f t="shared" si="8"/>
        <v>0</v>
      </c>
      <c r="FZ67" s="617">
        <f t="shared" si="9"/>
        <v>4544.9686925557835</v>
      </c>
      <c r="GA67" s="617">
        <f t="shared" si="10"/>
        <v>3045.3467967596994</v>
      </c>
      <c r="GB67" s="617">
        <f t="shared" si="11"/>
        <v>0</v>
      </c>
      <c r="GC67" s="617">
        <f t="shared" si="12"/>
        <v>0</v>
      </c>
      <c r="GD67" s="617">
        <f t="shared" si="13"/>
        <v>0</v>
      </c>
      <c r="GE67" s="617">
        <f t="shared" si="14"/>
        <v>4257898.1391482372</v>
      </c>
      <c r="GF67" s="617">
        <f t="shared" si="15"/>
        <v>0</v>
      </c>
      <c r="GG67" s="617">
        <f t="shared" si="16"/>
        <v>0</v>
      </c>
      <c r="GH67" s="617">
        <f t="shared" si="17"/>
        <v>0</v>
      </c>
      <c r="GI67" s="617">
        <f t="shared" si="18"/>
        <v>0</v>
      </c>
      <c r="GJ67" s="617">
        <f t="shared" si="19"/>
        <v>0</v>
      </c>
      <c r="GK67" s="617">
        <f t="shared" si="20"/>
        <v>5.7343996407870623</v>
      </c>
      <c r="GL67" s="617">
        <f t="shared" si="21"/>
        <v>-0.34744849501187375</v>
      </c>
      <c r="GM67" s="617">
        <f t="shared" si="22"/>
        <v>0</v>
      </c>
      <c r="GN67" s="617">
        <f t="shared" si="23"/>
        <v>0</v>
      </c>
      <c r="GO67" s="617">
        <f t="shared" si="24"/>
        <v>0</v>
      </c>
      <c r="GP67" s="617">
        <f t="shared" si="25"/>
        <v>0</v>
      </c>
      <c r="GQ67" s="617">
        <f t="shared" si="26"/>
        <v>0</v>
      </c>
      <c r="GR67" s="617">
        <f t="shared" si="27"/>
        <v>0</v>
      </c>
      <c r="GS67" s="617">
        <f t="shared" si="28"/>
        <v>-0.45981303673731477</v>
      </c>
      <c r="GT67" s="617">
        <f t="shared" si="29"/>
        <v>0</v>
      </c>
      <c r="GU67" s="617">
        <f t="shared" si="30"/>
        <v>0</v>
      </c>
      <c r="GV67" s="617">
        <f t="shared" si="31"/>
        <v>0</v>
      </c>
      <c r="GW67" s="617">
        <f t="shared" si="32"/>
        <v>2E-3</v>
      </c>
      <c r="GX67" s="617">
        <f t="shared" si="33"/>
        <v>2E-3</v>
      </c>
      <c r="GY67" s="617">
        <f t="shared" si="34"/>
        <v>-0.53999999999999992</v>
      </c>
      <c r="GZ67" s="617">
        <f t="shared" si="35"/>
        <v>8.0999999999999989E-2</v>
      </c>
      <c r="HA67" s="617">
        <f t="shared" si="36"/>
        <v>6.4412464814434358E-5</v>
      </c>
      <c r="HB67" s="617">
        <f t="shared" si="37"/>
        <v>0</v>
      </c>
      <c r="HC67" s="617">
        <f t="shared" si="38"/>
        <v>5.4999999999999997E-3</v>
      </c>
      <c r="HD67" s="617">
        <f t="shared" si="39"/>
        <v>5.4999999999999997E-3</v>
      </c>
      <c r="HE67" s="617">
        <f t="shared" si="40"/>
        <v>0.9</v>
      </c>
      <c r="HF67" s="617">
        <f t="shared" si="41"/>
        <v>0.85</v>
      </c>
      <c r="HG67" s="617">
        <f t="shared" si="42"/>
        <v>0</v>
      </c>
      <c r="HH67" s="617">
        <f t="shared" si="43"/>
        <v>0</v>
      </c>
      <c r="HI67" s="617">
        <f t="shared" si="44"/>
        <v>1.4</v>
      </c>
      <c r="HJ67" s="617">
        <f t="shared" si="45"/>
        <v>-1.4</v>
      </c>
      <c r="HK67" s="617">
        <f t="shared" si="46"/>
        <v>5.9690260418206069</v>
      </c>
    </row>
    <row r="68" spans="1:219" x14ac:dyDescent="0.25">
      <c r="A68" s="745" t="s">
        <v>1054</v>
      </c>
      <c r="B68" s="749">
        <v>13791</v>
      </c>
      <c r="C68" s="750">
        <v>-1560</v>
      </c>
      <c r="D68" s="751">
        <v>3900</v>
      </c>
      <c r="E68" s="812">
        <f t="shared" si="50"/>
        <v>13.791</v>
      </c>
      <c r="F68" s="670">
        <f t="shared" si="51"/>
        <v>-1.56</v>
      </c>
      <c r="G68" s="670">
        <f t="shared" si="52"/>
        <v>3.9</v>
      </c>
      <c r="H68" s="668">
        <v>27.5</v>
      </c>
      <c r="I68" s="668">
        <v>8</v>
      </c>
      <c r="J68" s="670">
        <f t="shared" si="53"/>
        <v>13.791</v>
      </c>
      <c r="K68" s="620">
        <v>3</v>
      </c>
      <c r="L68" t="s">
        <v>945</v>
      </c>
      <c r="O68" s="576"/>
      <c r="P68" s="580"/>
      <c r="AU68" s="594"/>
      <c r="AV68" s="575">
        <f ca="1">'REF - ASWING STRUCT-Imperial'!AV68</f>
        <v>85</v>
      </c>
      <c r="AW68" s="787">
        <f ca="1">'REF - ASWING STRUCT-Imperial'!AW68/3.28084</f>
        <v>7.3925860499999994</v>
      </c>
      <c r="AX68" s="660">
        <f ca="1">'REF - ASWING STRUCT-Imperial'!AX68/3.28084</f>
        <v>6.2352979999999993</v>
      </c>
      <c r="AY68" s="660">
        <f ca="1">'REF - ASWING STRUCT-Imperial'!AY68/3.28084</f>
        <v>2.4898129999999998</v>
      </c>
      <c r="AZ68" s="41">
        <f ca="1">'REF - ASWING STRUCT-Imperial'!AZ68</f>
        <v>0</v>
      </c>
      <c r="BA68" s="41">
        <f ca="1">'REF - ASWING STRUCT-Imperial'!BA68*0.413253134140599</f>
        <v>95662.130623426216</v>
      </c>
      <c r="BB68" s="41">
        <f ca="1">'REF - ASWING STRUCT-Imperial'!BB68*0.413253134140599</f>
        <v>88826.458390114189</v>
      </c>
      <c r="BC68" s="41">
        <f ca="1">'REF - ASWING STRUCT-Imperial'!BC68*0.413253134140599</f>
        <v>0</v>
      </c>
      <c r="BD68" s="41">
        <f ca="1">'REF - ASWING STRUCT-Imperial'!BD68*0.413253134140599</f>
        <v>0</v>
      </c>
      <c r="BE68" s="41">
        <f ca="1">'REF - ASWING STRUCT-Imperial'!BE68*0.413253134140599</f>
        <v>0</v>
      </c>
      <c r="BF68" s="41">
        <f ca="1">'REF - ASWING STRUCT-Imperial'!BF68*0.413253134140599</f>
        <v>7540529.0881503094</v>
      </c>
      <c r="BG68" s="41">
        <f ca="1">'REF - ASWING STRUCT-Imperial'!BG68</f>
        <v>0</v>
      </c>
      <c r="BH68" s="41">
        <f ca="1">'REF - ASWING STRUCT-Imperial'!BH68*4.44822</f>
        <v>0</v>
      </c>
      <c r="BI68" s="41">
        <f ca="1">'REF - ASWING STRUCT-Imperial'!BI68*4.44822</f>
        <v>0</v>
      </c>
      <c r="BJ68" s="41">
        <f ca="1">'REF - ASWING STRUCT-Imperial'!BJ68/(2.20462*3.28084)</f>
        <v>0</v>
      </c>
      <c r="BK68" s="41">
        <f ca="1">'REF - ASWING STRUCT-Imperial'!BK68/(2.20462*3.28084)</f>
        <v>0</v>
      </c>
      <c r="BL68" s="41">
        <f ca="1">'REF - ASWING STRUCT-Imperial'!BL68/(2.20462)*3.28084</f>
        <v>9.7136349234159116</v>
      </c>
      <c r="BM68" s="41">
        <f ca="1">'REF - ASWING STRUCT-Imperial'!BM68/3.28084</f>
        <v>0.24512053266594969</v>
      </c>
      <c r="BN68" s="41">
        <f ca="1">'REF - ASWING STRUCT-Imperial'!BN68/3.28084</f>
        <v>0</v>
      </c>
      <c r="BO68" s="41">
        <f ca="1">'REF - ASWING STRUCT-Imperial'!BO68/(2.20462*3.28084)</f>
        <v>0</v>
      </c>
      <c r="BP68" s="41">
        <f ca="1">'REF - ASWING STRUCT-Imperial'!BP68/(2.20462*3.28084)</f>
        <v>0</v>
      </c>
      <c r="BQ68" s="41">
        <f ca="1">'REF - ASWING STRUCT-Imperial'!BQ68/(2.20462)*3.28084</f>
        <v>0</v>
      </c>
      <c r="BR68" s="41">
        <f ca="1">'REF - ASWING STRUCT-Imperial'!BR68/3.28084</f>
        <v>0</v>
      </c>
      <c r="BS68" s="41">
        <f ca="1">'REF - ASWING STRUCT-Imperial'!BS68/3.28084</f>
        <v>0</v>
      </c>
      <c r="BT68" s="41">
        <f ca="1">'REF - ASWING STRUCT-Imperial'!BT68/3.28084</f>
        <v>9.7075493895829659E-2</v>
      </c>
      <c r="BU68" s="41">
        <f ca="1">'REF - ASWING STRUCT-Imperial'!BU68/3.28084</f>
        <v>0</v>
      </c>
      <c r="BV68" s="41">
        <f ca="1">'REF - ASWING STRUCT-Imperial'!BV68/3.28084</f>
        <v>0</v>
      </c>
      <c r="BW68" s="41">
        <f ca="1">'REF - ASWING STRUCT-Imperial'!BW68/3.28084</f>
        <v>0</v>
      </c>
      <c r="BX68" s="41">
        <f ca="1">'REF - ASWING STRUCT-Imperial'!BX68</f>
        <v>2E-3</v>
      </c>
      <c r="BY68" s="41">
        <f ca="1">'REF - ASWING STRUCT-Imperial'!BY68</f>
        <v>2E-3</v>
      </c>
      <c r="BZ68" s="41">
        <f ca="1">'REF - ASWING STRUCT-Imperial'!BZ68/3.28084</f>
        <v>0</v>
      </c>
      <c r="CA68" s="41">
        <f ca="1">'REF - ASWING STRUCT-Imperial'!CA68/3.28084</f>
        <v>9.7998749999999996E-2</v>
      </c>
      <c r="CB68" s="41">
        <f ca="1">'REF - ASWING STRUCT-Imperial'!CB68/(3.28084^3)</f>
        <v>9.4284641232219565E-5</v>
      </c>
      <c r="CC68" s="41">
        <f ca="1">'REF - ASWING STRUCT-Imperial'!CC68/3.28084</f>
        <v>0</v>
      </c>
      <c r="CD68" s="41">
        <f>'REF - ASWING STRUCT-Imperial'!CD68</f>
        <v>5.4999999999999997E-3</v>
      </c>
      <c r="CE68" s="41">
        <f>'REF - ASWING STRUCT-Imperial'!CE68</f>
        <v>5.4999999999999997E-3</v>
      </c>
      <c r="CF68" s="41">
        <f ca="1">'REF - ASWING STRUCT-Imperial'!CF68/3.28084</f>
        <v>1.088875</v>
      </c>
      <c r="CG68" s="41">
        <f ca="1">'REF - ASWING STRUCT-Imperial'!CG68</f>
        <v>0.25</v>
      </c>
      <c r="CH68" s="41">
        <f ca="1">'REF - ASWING STRUCT-Imperial'!CH68</f>
        <v>3.35</v>
      </c>
      <c r="CI68" s="41">
        <f ca="1">'REF - ASWING STRUCT-Imperial'!CI68</f>
        <v>-0.15</v>
      </c>
      <c r="CJ68" s="41">
        <f ca="1">'REF - ASWING STRUCT-Imperial'!CJ68</f>
        <v>1.85</v>
      </c>
      <c r="CK68" s="41">
        <f ca="1">'REF - ASWING STRUCT-Imperial'!CK68</f>
        <v>-1.55</v>
      </c>
      <c r="CL68" s="789">
        <f ca="1">'REF - ASWING STRUCT-Imperial'!CL68</f>
        <v>5.9690260418206069</v>
      </c>
      <c r="CM68" s="687">
        <v>85</v>
      </c>
      <c r="CN68" s="643">
        <v>3.2366134</v>
      </c>
      <c r="CO68" s="643">
        <v>2.5499999999999998</v>
      </c>
      <c r="CP68" s="643">
        <v>3.9167552000000003</v>
      </c>
      <c r="CQ68" s="643">
        <v>0</v>
      </c>
      <c r="CR68" s="643">
        <v>1631.7078927616783</v>
      </c>
      <c r="CS68" s="643">
        <v>1524.1637818972549</v>
      </c>
      <c r="CT68" s="643">
        <v>0</v>
      </c>
      <c r="CU68" s="643">
        <v>0</v>
      </c>
      <c r="CV68" s="643">
        <v>0</v>
      </c>
      <c r="CW68" s="643">
        <v>359963.96444230247</v>
      </c>
      <c r="CX68" s="643">
        <v>0</v>
      </c>
      <c r="CY68" s="643">
        <v>0</v>
      </c>
      <c r="CZ68" s="643">
        <v>0</v>
      </c>
      <c r="DA68" s="643">
        <v>0</v>
      </c>
      <c r="DB68" s="643">
        <v>0</v>
      </c>
      <c r="DC68" s="643">
        <v>2.5304882343352424</v>
      </c>
      <c r="DD68" s="643">
        <v>9.0080346444813886E-2</v>
      </c>
      <c r="DE68" s="643">
        <v>0</v>
      </c>
      <c r="DF68" s="643">
        <v>0</v>
      </c>
      <c r="DG68" s="643">
        <v>0</v>
      </c>
      <c r="DH68" s="643">
        <v>0</v>
      </c>
      <c r="DI68" s="643">
        <v>0</v>
      </c>
      <c r="DJ68" s="643">
        <v>0</v>
      </c>
      <c r="DK68" s="643">
        <v>3.8846836190996888E-2</v>
      </c>
      <c r="DL68" s="643">
        <v>0</v>
      </c>
      <c r="DM68" s="643">
        <v>0</v>
      </c>
      <c r="DN68" s="643">
        <v>0</v>
      </c>
      <c r="DO68" s="643">
        <v>2E-3</v>
      </c>
      <c r="DP68" s="643">
        <v>2E-3</v>
      </c>
      <c r="DQ68" s="643">
        <v>0</v>
      </c>
      <c r="DR68" s="643">
        <v>3.5549999999999998E-2</v>
      </c>
      <c r="DS68" s="643">
        <v>1.2407351632928544E-5</v>
      </c>
      <c r="DT68" s="643">
        <v>0</v>
      </c>
      <c r="DU68" s="643">
        <v>5.4999999999999997E-3</v>
      </c>
      <c r="DV68" s="643">
        <v>5.4999999999999997E-3</v>
      </c>
      <c r="DW68" s="643">
        <v>0.39500000000000002</v>
      </c>
      <c r="DX68" s="643">
        <v>0.25</v>
      </c>
      <c r="DY68" s="643">
        <v>5.9</v>
      </c>
      <c r="DZ68" s="643">
        <v>-0.15</v>
      </c>
      <c r="EA68" s="643">
        <v>2.25</v>
      </c>
      <c r="EB68" s="643">
        <v>-1.65</v>
      </c>
      <c r="EC68" s="643">
        <v>5.9690260418206069</v>
      </c>
      <c r="ED68" s="780">
        <v>85</v>
      </c>
      <c r="EE68" s="718">
        <v>12.174999999999999</v>
      </c>
      <c r="EF68" s="718">
        <v>1.56</v>
      </c>
      <c r="EG68" s="718">
        <v>5.09</v>
      </c>
      <c r="EH68" s="718">
        <v>0</v>
      </c>
      <c r="EI68" s="718">
        <v>3488.7911017669667</v>
      </c>
      <c r="EJ68" s="718">
        <v>2406.1999381805035</v>
      </c>
      <c r="EK68" s="718">
        <v>0</v>
      </c>
      <c r="EL68" s="718">
        <v>0</v>
      </c>
      <c r="EM68" s="718">
        <v>0</v>
      </c>
      <c r="EN68" s="718">
        <v>2990457.9523235904</v>
      </c>
      <c r="EO68" s="718">
        <v>0</v>
      </c>
      <c r="EP68" s="718">
        <v>0</v>
      </c>
      <c r="EQ68" s="718">
        <v>0</v>
      </c>
      <c r="ER68" s="718">
        <v>0</v>
      </c>
      <c r="ES68" s="718">
        <v>0</v>
      </c>
      <c r="ET68" s="718">
        <v>5.1058082152699882</v>
      </c>
      <c r="EU68" s="718">
        <v>-0.31078792457398813</v>
      </c>
      <c r="EV68" s="718">
        <v>0</v>
      </c>
      <c r="EW68" s="718">
        <v>0</v>
      </c>
      <c r="EX68" s="718">
        <v>0</v>
      </c>
      <c r="EY68" s="718">
        <v>0</v>
      </c>
      <c r="EZ68" s="718">
        <v>0</v>
      </c>
      <c r="FA68" s="718">
        <v>0</v>
      </c>
      <c r="FB68" s="718">
        <v>-0.40864756340672465</v>
      </c>
      <c r="FC68" s="718">
        <v>0</v>
      </c>
      <c r="FD68" s="718">
        <v>0</v>
      </c>
      <c r="FE68" s="718">
        <v>0</v>
      </c>
      <c r="FF68" s="718">
        <v>2E-3</v>
      </c>
      <c r="FG68" s="718">
        <v>2E-3</v>
      </c>
      <c r="FH68" s="718">
        <v>-0.48</v>
      </c>
      <c r="FI68" s="718">
        <v>7.1999999999999995E-2</v>
      </c>
      <c r="FJ68" s="718">
        <v>5.089379935955308E-5</v>
      </c>
      <c r="FK68" s="718">
        <v>0</v>
      </c>
      <c r="FL68" s="718">
        <v>5.4999999999999997E-3</v>
      </c>
      <c r="FM68" s="718">
        <v>5.4999999999999997E-3</v>
      </c>
      <c r="FN68" s="718">
        <v>0.79999999999999993</v>
      </c>
      <c r="FO68" s="718">
        <v>0.85</v>
      </c>
      <c r="FP68" s="718">
        <v>0</v>
      </c>
      <c r="FQ68" s="718">
        <v>0</v>
      </c>
      <c r="FR68" s="718">
        <v>1.4</v>
      </c>
      <c r="FS68" s="718">
        <v>-1.4</v>
      </c>
      <c r="FT68" s="718">
        <v>5.9690260418206069</v>
      </c>
      <c r="FU68" s="782">
        <f t="shared" si="4"/>
        <v>85</v>
      </c>
      <c r="FV68" s="617">
        <f t="shared" si="5"/>
        <v>12.174999999999999</v>
      </c>
      <c r="FW68" s="795">
        <f t="shared" si="6"/>
        <v>-1.56</v>
      </c>
      <c r="FX68" s="617">
        <f t="shared" si="7"/>
        <v>5.09</v>
      </c>
      <c r="FY68" s="617">
        <f t="shared" si="8"/>
        <v>0</v>
      </c>
      <c r="FZ68" s="617">
        <f t="shared" si="9"/>
        <v>3488.7911017669667</v>
      </c>
      <c r="GA68" s="617">
        <f t="shared" si="10"/>
        <v>2406.1999381805035</v>
      </c>
      <c r="GB68" s="617">
        <f t="shared" si="11"/>
        <v>0</v>
      </c>
      <c r="GC68" s="617">
        <f t="shared" si="12"/>
        <v>0</v>
      </c>
      <c r="GD68" s="617">
        <f t="shared" si="13"/>
        <v>0</v>
      </c>
      <c r="GE68" s="617">
        <f t="shared" si="14"/>
        <v>2990457.9523235904</v>
      </c>
      <c r="GF68" s="617">
        <f t="shared" si="15"/>
        <v>0</v>
      </c>
      <c r="GG68" s="617">
        <f t="shared" si="16"/>
        <v>0</v>
      </c>
      <c r="GH68" s="617">
        <f t="shared" si="17"/>
        <v>0</v>
      </c>
      <c r="GI68" s="617">
        <f t="shared" si="18"/>
        <v>0</v>
      </c>
      <c r="GJ68" s="617">
        <f t="shared" si="19"/>
        <v>0</v>
      </c>
      <c r="GK68" s="617">
        <f t="shared" si="20"/>
        <v>5.1058082152699882</v>
      </c>
      <c r="GL68" s="617">
        <f t="shared" si="21"/>
        <v>-0.31078792457398813</v>
      </c>
      <c r="GM68" s="617">
        <f t="shared" si="22"/>
        <v>0</v>
      </c>
      <c r="GN68" s="617">
        <f t="shared" si="23"/>
        <v>0</v>
      </c>
      <c r="GO68" s="617">
        <f t="shared" si="24"/>
        <v>0</v>
      </c>
      <c r="GP68" s="617">
        <f t="shared" si="25"/>
        <v>0</v>
      </c>
      <c r="GQ68" s="617">
        <f t="shared" si="26"/>
        <v>0</v>
      </c>
      <c r="GR68" s="617">
        <f t="shared" si="27"/>
        <v>0</v>
      </c>
      <c r="GS68" s="617">
        <f t="shared" si="28"/>
        <v>-0.40864756340672465</v>
      </c>
      <c r="GT68" s="617">
        <f t="shared" si="29"/>
        <v>0</v>
      </c>
      <c r="GU68" s="617">
        <f t="shared" si="30"/>
        <v>0</v>
      </c>
      <c r="GV68" s="617">
        <f t="shared" si="31"/>
        <v>0</v>
      </c>
      <c r="GW68" s="617">
        <f t="shared" si="32"/>
        <v>2E-3</v>
      </c>
      <c r="GX68" s="617">
        <f t="shared" si="33"/>
        <v>2E-3</v>
      </c>
      <c r="GY68" s="617">
        <f t="shared" si="34"/>
        <v>-0.48</v>
      </c>
      <c r="GZ68" s="617">
        <f t="shared" si="35"/>
        <v>7.1999999999999995E-2</v>
      </c>
      <c r="HA68" s="617">
        <f t="shared" si="36"/>
        <v>5.089379935955308E-5</v>
      </c>
      <c r="HB68" s="617">
        <f t="shared" si="37"/>
        <v>0</v>
      </c>
      <c r="HC68" s="617">
        <f t="shared" si="38"/>
        <v>5.4999999999999997E-3</v>
      </c>
      <c r="HD68" s="617">
        <f t="shared" si="39"/>
        <v>5.4999999999999997E-3</v>
      </c>
      <c r="HE68" s="617">
        <f t="shared" si="40"/>
        <v>0.79999999999999993</v>
      </c>
      <c r="HF68" s="617">
        <f t="shared" si="41"/>
        <v>0.85</v>
      </c>
      <c r="HG68" s="617">
        <f t="shared" si="42"/>
        <v>0</v>
      </c>
      <c r="HH68" s="617">
        <f t="shared" si="43"/>
        <v>0</v>
      </c>
      <c r="HI68" s="617">
        <f t="shared" si="44"/>
        <v>1.4</v>
      </c>
      <c r="HJ68" s="617">
        <f t="shared" si="45"/>
        <v>-1.4</v>
      </c>
      <c r="HK68" s="617">
        <f t="shared" si="46"/>
        <v>5.9690260418206069</v>
      </c>
    </row>
    <row r="69" spans="1:219" x14ac:dyDescent="0.25">
      <c r="A69" s="745" t="s">
        <v>1055</v>
      </c>
      <c r="B69" s="749">
        <v>13791</v>
      </c>
      <c r="C69" s="750">
        <v>1560</v>
      </c>
      <c r="D69" s="751">
        <v>3900</v>
      </c>
      <c r="E69" s="812">
        <f t="shared" si="50"/>
        <v>13.791</v>
      </c>
      <c r="F69" s="670">
        <f t="shared" si="51"/>
        <v>1.56</v>
      </c>
      <c r="G69" s="670">
        <f t="shared" si="52"/>
        <v>3.9</v>
      </c>
      <c r="H69" s="668">
        <v>27.5</v>
      </c>
      <c r="I69" s="668">
        <v>7</v>
      </c>
      <c r="J69" s="670">
        <f t="shared" si="53"/>
        <v>13.791</v>
      </c>
      <c r="K69" s="620">
        <v>4</v>
      </c>
      <c r="L69" t="s">
        <v>946</v>
      </c>
      <c r="O69" s="576"/>
      <c r="P69" s="580"/>
      <c r="AU69" s="594"/>
      <c r="AV69" s="575">
        <f ca="1">'REF - ASWING STRUCT-Imperial'!AV69</f>
        <v>90.000000000000014</v>
      </c>
      <c r="AW69" s="787">
        <f ca="1">'REF - ASWING STRUCT-Imperial'!AW69/3.28084</f>
        <v>7.3993672999999989</v>
      </c>
      <c r="AX69" s="660">
        <f ca="1">'REF - ASWING STRUCT-Imperial'!AX69/3.28084</f>
        <v>6.6022980000000002</v>
      </c>
      <c r="AY69" s="660">
        <f ca="1">'REF - ASWING STRUCT-Imperial'!AY69/3.28084</f>
        <v>2.4898129999999998</v>
      </c>
      <c r="AZ69" s="41">
        <f ca="1">'REF - ASWING STRUCT-Imperial'!AZ69</f>
        <v>0</v>
      </c>
      <c r="BA69" s="41">
        <f ca="1">'REF - ASWING STRUCT-Imperial'!BA69*0.413253134140599</f>
        <v>22863.577509197206</v>
      </c>
      <c r="BB69" s="41">
        <f ca="1">'REF - ASWING STRUCT-Imperial'!BB69*0.413253134140599</f>
        <v>20720.90676213901</v>
      </c>
      <c r="BC69" s="41">
        <f ca="1">'REF - ASWING STRUCT-Imperial'!BC69*0.413253134140599</f>
        <v>0</v>
      </c>
      <c r="BD69" s="41">
        <f ca="1">'REF - ASWING STRUCT-Imperial'!BD69*0.413253134140599</f>
        <v>0</v>
      </c>
      <c r="BE69" s="41">
        <f ca="1">'REF - ASWING STRUCT-Imperial'!BE69*0.413253134140599</f>
        <v>0</v>
      </c>
      <c r="BF69" s="41">
        <f ca="1">'REF - ASWING STRUCT-Imperial'!BF69*0.413253134140599</f>
        <v>6990923.4771659495</v>
      </c>
      <c r="BG69" s="41">
        <f ca="1">'REF - ASWING STRUCT-Imperial'!BG69</f>
        <v>0</v>
      </c>
      <c r="BH69" s="41">
        <f ca="1">'REF - ASWING STRUCT-Imperial'!BH69*4.44822</f>
        <v>0</v>
      </c>
      <c r="BI69" s="41">
        <f ca="1">'REF - ASWING STRUCT-Imperial'!BI69*4.44822</f>
        <v>0</v>
      </c>
      <c r="BJ69" s="41">
        <f ca="1">'REF - ASWING STRUCT-Imperial'!BJ69/(2.20462*3.28084)</f>
        <v>0</v>
      </c>
      <c r="BK69" s="41">
        <f ca="1">'REF - ASWING STRUCT-Imperial'!BK69/(2.20462*3.28084)</f>
        <v>0</v>
      </c>
      <c r="BL69" s="41">
        <f ca="1">'REF - ASWING STRUCT-Imperial'!BL69/(2.20462)*3.28084</f>
        <v>9.2571758195455871</v>
      </c>
      <c r="BM69" s="41">
        <f ca="1">'REF - ASWING STRUCT-Imperial'!BM69/3.28084</f>
        <v>0.24446109377970304</v>
      </c>
      <c r="BN69" s="41">
        <f ca="1">'REF - ASWING STRUCT-Imperial'!BN69/3.28084</f>
        <v>0</v>
      </c>
      <c r="BO69" s="41">
        <f ca="1">'REF - ASWING STRUCT-Imperial'!BO69/(2.20462*3.28084)</f>
        <v>0</v>
      </c>
      <c r="BP69" s="41">
        <f ca="1">'REF - ASWING STRUCT-Imperial'!BP69/(2.20462*3.28084)</f>
        <v>0</v>
      </c>
      <c r="BQ69" s="41">
        <f ca="1">'REF - ASWING STRUCT-Imperial'!BQ69/(2.20462)*3.28084</f>
        <v>0</v>
      </c>
      <c r="BR69" s="41">
        <f ca="1">'REF - ASWING STRUCT-Imperial'!BR69/3.28084</f>
        <v>0</v>
      </c>
      <c r="BS69" s="41">
        <f ca="1">'REF - ASWING STRUCT-Imperial'!BS69/3.28084</f>
        <v>0</v>
      </c>
      <c r="BT69" s="41">
        <f ca="1">'REF - ASWING STRUCT-Imperial'!BT69/3.28084</f>
        <v>9.4644652761860973E-2</v>
      </c>
      <c r="BU69" s="41">
        <f ca="1">'REF - ASWING STRUCT-Imperial'!BU69/3.28084</f>
        <v>0</v>
      </c>
      <c r="BV69" s="41">
        <f ca="1">'REF - ASWING STRUCT-Imperial'!BV69/3.28084</f>
        <v>0</v>
      </c>
      <c r="BW69" s="41">
        <f ca="1">'REF - ASWING STRUCT-Imperial'!BW69/3.28084</f>
        <v>0</v>
      </c>
      <c r="BX69" s="41">
        <f ca="1">'REF - ASWING STRUCT-Imperial'!BX69</f>
        <v>2E-3</v>
      </c>
      <c r="BY69" s="41">
        <f ca="1">'REF - ASWING STRUCT-Imperial'!BY69</f>
        <v>2E-3</v>
      </c>
      <c r="BZ69" s="41">
        <f ca="1">'REF - ASWING STRUCT-Imperial'!BZ69/3.28084</f>
        <v>0</v>
      </c>
      <c r="CA69" s="41">
        <f ca="1">'REF - ASWING STRUCT-Imperial'!CA69/3.28084</f>
        <v>9.5557500000000004E-2</v>
      </c>
      <c r="CB69" s="41">
        <f ca="1">'REF - ASWING STRUCT-Imperial'!CB69/(3.28084^3)</f>
        <v>8.9645695028559905E-5</v>
      </c>
      <c r="CC69" s="41">
        <f ca="1">'REF - ASWING STRUCT-Imperial'!CC69/3.28084</f>
        <v>0</v>
      </c>
      <c r="CD69" s="41">
        <f>'REF - ASWING STRUCT-Imperial'!CD69</f>
        <v>5.4999999999999997E-3</v>
      </c>
      <c r="CE69" s="41">
        <f>'REF - ASWING STRUCT-Imperial'!CE69</f>
        <v>5.4999999999999997E-3</v>
      </c>
      <c r="CF69" s="41">
        <f ca="1">'REF - ASWING STRUCT-Imperial'!CF69/3.28084</f>
        <v>1.0617500000000002</v>
      </c>
      <c r="CG69" s="41">
        <f ca="1">'REF - ASWING STRUCT-Imperial'!CG69</f>
        <v>0.25</v>
      </c>
      <c r="CH69" s="41">
        <f ca="1">'REF - ASWING STRUCT-Imperial'!CH69</f>
        <v>3.1</v>
      </c>
      <c r="CI69" s="41">
        <f ca="1">'REF - ASWING STRUCT-Imperial'!CI69</f>
        <v>-0.15</v>
      </c>
      <c r="CJ69" s="41">
        <f ca="1">'REF - ASWING STRUCT-Imperial'!CJ69</f>
        <v>1.85</v>
      </c>
      <c r="CK69" s="41">
        <f ca="1">'REF - ASWING STRUCT-Imperial'!CK69</f>
        <v>-1.55</v>
      </c>
      <c r="CL69" s="789">
        <f ca="1">'REF - ASWING STRUCT-Imperial'!CL69</f>
        <v>5.9690260418206069</v>
      </c>
      <c r="CM69" s="687">
        <v>90</v>
      </c>
      <c r="CN69" s="643">
        <v>3.2403633999999997</v>
      </c>
      <c r="CO69" s="643">
        <v>2.7</v>
      </c>
      <c r="CP69" s="643">
        <v>3.9167552000000003</v>
      </c>
      <c r="CQ69" s="643">
        <v>0</v>
      </c>
      <c r="CR69" s="643">
        <v>381.33965201845706</v>
      </c>
      <c r="CS69" s="643">
        <v>350.43669572913103</v>
      </c>
      <c r="CT69" s="643">
        <v>0</v>
      </c>
      <c r="CU69" s="643">
        <v>0</v>
      </c>
      <c r="CV69" s="643">
        <v>0</v>
      </c>
      <c r="CW69" s="643">
        <v>320492.98585917975</v>
      </c>
      <c r="CX69" s="643">
        <v>0</v>
      </c>
      <c r="CY69" s="643">
        <v>0</v>
      </c>
      <c r="CZ69" s="643">
        <v>0</v>
      </c>
      <c r="DA69" s="643">
        <v>0</v>
      </c>
      <c r="DB69" s="643">
        <v>0</v>
      </c>
      <c r="DC69" s="643">
        <v>2.4073548300015428</v>
      </c>
      <c r="DD69" s="643">
        <v>8.7607570286932029E-2</v>
      </c>
      <c r="DE69" s="643">
        <v>0</v>
      </c>
      <c r="DF69" s="643">
        <v>0</v>
      </c>
      <c r="DG69" s="643">
        <v>0</v>
      </c>
      <c r="DH69" s="643">
        <v>0</v>
      </c>
      <c r="DI69" s="643">
        <v>0</v>
      </c>
      <c r="DJ69" s="643">
        <v>0</v>
      </c>
      <c r="DK69" s="643">
        <v>3.779583630831955E-2</v>
      </c>
      <c r="DL69" s="643">
        <v>0</v>
      </c>
      <c r="DM69" s="643">
        <v>0</v>
      </c>
      <c r="DN69" s="643">
        <v>0</v>
      </c>
      <c r="DO69" s="643">
        <v>2E-3</v>
      </c>
      <c r="DP69" s="643">
        <v>2E-3</v>
      </c>
      <c r="DQ69" s="643">
        <v>0</v>
      </c>
      <c r="DR69" s="643">
        <v>3.4200000000000001E-2</v>
      </c>
      <c r="DS69" s="643">
        <v>1.1482913480499162E-5</v>
      </c>
      <c r="DT69" s="643">
        <v>0</v>
      </c>
      <c r="DU69" s="643">
        <v>5.4999999999999997E-3</v>
      </c>
      <c r="DV69" s="643">
        <v>5.4999999999999997E-3</v>
      </c>
      <c r="DW69" s="643">
        <v>0.38</v>
      </c>
      <c r="DX69" s="643">
        <v>0.25</v>
      </c>
      <c r="DY69" s="643">
        <v>5.9</v>
      </c>
      <c r="DZ69" s="643">
        <v>-0.15</v>
      </c>
      <c r="EA69" s="643">
        <v>2.25</v>
      </c>
      <c r="EB69" s="643">
        <v>-1.65</v>
      </c>
      <c r="EC69" s="643">
        <v>5.9690260418206069</v>
      </c>
      <c r="ED69" s="780">
        <v>90.000000000000028</v>
      </c>
      <c r="EE69" s="718">
        <v>12.2</v>
      </c>
      <c r="EF69" s="718">
        <v>1.56</v>
      </c>
      <c r="EG69" s="718">
        <v>5.1599999999999993</v>
      </c>
      <c r="EH69" s="718">
        <v>0</v>
      </c>
      <c r="EI69" s="718">
        <v>706.92717955156161</v>
      </c>
      <c r="EJ69" s="718">
        <v>499.65508949018118</v>
      </c>
      <c r="EK69" s="718">
        <v>0</v>
      </c>
      <c r="EL69" s="718">
        <v>0</v>
      </c>
      <c r="EM69" s="718">
        <v>0</v>
      </c>
      <c r="EN69" s="718">
        <v>2003373.1985292805</v>
      </c>
      <c r="EO69" s="718">
        <v>0</v>
      </c>
      <c r="EP69" s="718">
        <v>0</v>
      </c>
      <c r="EQ69" s="718">
        <v>0</v>
      </c>
      <c r="ER69" s="718">
        <v>0</v>
      </c>
      <c r="ES69" s="718">
        <v>0</v>
      </c>
      <c r="ET69" s="718">
        <v>4.4668400448847674</v>
      </c>
      <c r="EU69" s="718">
        <v>-0.27375584109211887</v>
      </c>
      <c r="EV69" s="718">
        <v>0</v>
      </c>
      <c r="EW69" s="718">
        <v>0</v>
      </c>
      <c r="EX69" s="718">
        <v>0</v>
      </c>
      <c r="EY69" s="718">
        <v>0</v>
      </c>
      <c r="EZ69" s="718">
        <v>0</v>
      </c>
      <c r="FA69" s="718">
        <v>0</v>
      </c>
      <c r="FB69" s="718">
        <v>-0.3572900830363091</v>
      </c>
      <c r="FC69" s="718">
        <v>0</v>
      </c>
      <c r="FD69" s="718">
        <v>0</v>
      </c>
      <c r="FE69" s="718">
        <v>0</v>
      </c>
      <c r="FF69" s="718">
        <v>2E-3</v>
      </c>
      <c r="FG69" s="718">
        <v>2E-3</v>
      </c>
      <c r="FH69" s="718">
        <v>-0.42</v>
      </c>
      <c r="FI69" s="718">
        <v>6.2999999999999987E-2</v>
      </c>
      <c r="FJ69" s="718">
        <v>3.8965565134657824E-5</v>
      </c>
      <c r="FK69" s="718">
        <v>0</v>
      </c>
      <c r="FL69" s="718">
        <v>5.4999999999999997E-3</v>
      </c>
      <c r="FM69" s="718">
        <v>5.4999999999999997E-3</v>
      </c>
      <c r="FN69" s="718">
        <v>0.7</v>
      </c>
      <c r="FO69" s="718">
        <v>0.85</v>
      </c>
      <c r="FP69" s="718">
        <v>0</v>
      </c>
      <c r="FQ69" s="718">
        <v>0</v>
      </c>
      <c r="FR69" s="718">
        <v>1.4</v>
      </c>
      <c r="FS69" s="718">
        <v>-1.4</v>
      </c>
      <c r="FT69" s="718">
        <v>5.9690260418206069</v>
      </c>
      <c r="FU69" s="782">
        <f t="shared" si="4"/>
        <v>90.000000000000028</v>
      </c>
      <c r="FV69" s="617">
        <f t="shared" si="5"/>
        <v>12.2</v>
      </c>
      <c r="FW69" s="795">
        <f t="shared" si="6"/>
        <v>-1.56</v>
      </c>
      <c r="FX69" s="617">
        <f t="shared" si="7"/>
        <v>5.1599999999999993</v>
      </c>
      <c r="FY69" s="617">
        <f t="shared" si="8"/>
        <v>0</v>
      </c>
      <c r="FZ69" s="617">
        <f t="shared" si="9"/>
        <v>706.92717955156161</v>
      </c>
      <c r="GA69" s="617">
        <f t="shared" si="10"/>
        <v>499.65508949018118</v>
      </c>
      <c r="GB69" s="617">
        <f t="shared" si="11"/>
        <v>0</v>
      </c>
      <c r="GC69" s="617">
        <f t="shared" si="12"/>
        <v>0</v>
      </c>
      <c r="GD69" s="617">
        <f t="shared" si="13"/>
        <v>0</v>
      </c>
      <c r="GE69" s="617">
        <f t="shared" si="14"/>
        <v>2003373.1985292805</v>
      </c>
      <c r="GF69" s="617">
        <f t="shared" si="15"/>
        <v>0</v>
      </c>
      <c r="GG69" s="617">
        <f t="shared" si="16"/>
        <v>0</v>
      </c>
      <c r="GH69" s="617">
        <f t="shared" si="17"/>
        <v>0</v>
      </c>
      <c r="GI69" s="617">
        <f t="shared" si="18"/>
        <v>0</v>
      </c>
      <c r="GJ69" s="617">
        <f t="shared" si="19"/>
        <v>0</v>
      </c>
      <c r="GK69" s="617">
        <f t="shared" si="20"/>
        <v>4.4668400448847674</v>
      </c>
      <c r="GL69" s="617">
        <f t="shared" si="21"/>
        <v>-0.27375584109211887</v>
      </c>
      <c r="GM69" s="617">
        <f t="shared" si="22"/>
        <v>0</v>
      </c>
      <c r="GN69" s="617">
        <f t="shared" si="23"/>
        <v>0</v>
      </c>
      <c r="GO69" s="617">
        <f t="shared" si="24"/>
        <v>0</v>
      </c>
      <c r="GP69" s="617">
        <f t="shared" si="25"/>
        <v>0</v>
      </c>
      <c r="GQ69" s="617">
        <f t="shared" si="26"/>
        <v>0</v>
      </c>
      <c r="GR69" s="617">
        <f t="shared" si="27"/>
        <v>0</v>
      </c>
      <c r="GS69" s="617">
        <f t="shared" si="28"/>
        <v>-0.3572900830363091</v>
      </c>
      <c r="GT69" s="617">
        <f t="shared" si="29"/>
        <v>0</v>
      </c>
      <c r="GU69" s="617">
        <f t="shared" si="30"/>
        <v>0</v>
      </c>
      <c r="GV69" s="617">
        <f t="shared" si="31"/>
        <v>0</v>
      </c>
      <c r="GW69" s="617">
        <f t="shared" si="32"/>
        <v>2E-3</v>
      </c>
      <c r="GX69" s="617">
        <f t="shared" si="33"/>
        <v>2E-3</v>
      </c>
      <c r="GY69" s="617">
        <f t="shared" si="34"/>
        <v>-0.42</v>
      </c>
      <c r="GZ69" s="617">
        <f t="shared" si="35"/>
        <v>6.2999999999999987E-2</v>
      </c>
      <c r="HA69" s="617">
        <f t="shared" si="36"/>
        <v>3.8965565134657824E-5</v>
      </c>
      <c r="HB69" s="617">
        <f t="shared" si="37"/>
        <v>0</v>
      </c>
      <c r="HC69" s="617">
        <f t="shared" si="38"/>
        <v>5.4999999999999997E-3</v>
      </c>
      <c r="HD69" s="617">
        <f t="shared" si="39"/>
        <v>5.4999999999999997E-3</v>
      </c>
      <c r="HE69" s="617">
        <f t="shared" si="40"/>
        <v>0.7</v>
      </c>
      <c r="HF69" s="617">
        <f t="shared" si="41"/>
        <v>0.85</v>
      </c>
      <c r="HG69" s="617">
        <f t="shared" si="42"/>
        <v>0</v>
      </c>
      <c r="HH69" s="617">
        <f t="shared" si="43"/>
        <v>0</v>
      </c>
      <c r="HI69" s="617">
        <f t="shared" si="44"/>
        <v>1.4</v>
      </c>
      <c r="HJ69" s="617">
        <f t="shared" si="45"/>
        <v>-1.4</v>
      </c>
      <c r="HK69" s="617">
        <f t="shared" si="46"/>
        <v>5.9690260418206069</v>
      </c>
    </row>
    <row r="70" spans="1:219" x14ac:dyDescent="0.25">
      <c r="A70" s="752" t="s">
        <v>1043</v>
      </c>
      <c r="B70" s="753">
        <v>8075.4385964912281</v>
      </c>
      <c r="C70" s="754">
        <v>23.923444976076553</v>
      </c>
      <c r="D70" s="755">
        <v>3098.8835725677832</v>
      </c>
      <c r="E70" s="812">
        <f t="shared" si="50"/>
        <v>8.0754385964912281</v>
      </c>
      <c r="F70" s="670">
        <f t="shared" si="51"/>
        <v>2.3923444976076551E-2</v>
      </c>
      <c r="G70" s="670">
        <f t="shared" si="52"/>
        <v>3.0988835725677832</v>
      </c>
      <c r="H70" s="668">
        <v>125.4</v>
      </c>
      <c r="I70" s="668">
        <v>1</v>
      </c>
      <c r="J70" s="2">
        <v>0</v>
      </c>
      <c r="K70" s="620">
        <v>5</v>
      </c>
      <c r="L70" t="s">
        <v>943</v>
      </c>
      <c r="O70" s="576"/>
      <c r="P70" s="580"/>
      <c r="AU70" s="594"/>
      <c r="AV70" s="575">
        <f ca="1">'REF - ASWING STRUCT-Imperial'!AV70</f>
        <v>95</v>
      </c>
      <c r="AW70" s="787">
        <f ca="1">'REF - ASWING STRUCT-Imperial'!AW70/3.28084</f>
        <v>7.4061485499999984</v>
      </c>
      <c r="AX70" s="660">
        <f ca="1">'REF - ASWING STRUCT-Imperial'!AX70/3.28084</f>
        <v>6.9692979999999993</v>
      </c>
      <c r="AY70" s="660">
        <f ca="1">'REF - ASWING STRUCT-Imperial'!AY70/3.28084</f>
        <v>2.4898129999999998</v>
      </c>
      <c r="AZ70" s="41">
        <f ca="1">'REF - ASWING STRUCT-Imperial'!AZ70</f>
        <v>0</v>
      </c>
      <c r="BA70" s="41">
        <f ca="1">'REF - ASWING STRUCT-Imperial'!BA70*0.413253134140599</f>
        <v>21366.175202354472</v>
      </c>
      <c r="BB70" s="41">
        <f ca="1">'REF - ASWING STRUCT-Imperial'!BB70*0.413253134140599</f>
        <v>19675.698254650328</v>
      </c>
      <c r="BC70" s="41">
        <f ca="1">'REF - ASWING STRUCT-Imperial'!BC70*0.413253134140599</f>
        <v>0</v>
      </c>
      <c r="BD70" s="41">
        <f ca="1">'REF - ASWING STRUCT-Imperial'!BD70*0.413253134140599</f>
        <v>0</v>
      </c>
      <c r="BE70" s="41">
        <f ca="1">'REF - ASWING STRUCT-Imperial'!BE70*0.413253134140599</f>
        <v>0</v>
      </c>
      <c r="BF70" s="41">
        <f ca="1">'REF - ASWING STRUCT-Imperial'!BF70*0.413253134140599</f>
        <v>6468694.5445113592</v>
      </c>
      <c r="BG70" s="41">
        <f ca="1">'REF - ASWING STRUCT-Imperial'!BG70</f>
        <v>0</v>
      </c>
      <c r="BH70" s="41">
        <f ca="1">'REF - ASWING STRUCT-Imperial'!BH70*4.44822</f>
        <v>0</v>
      </c>
      <c r="BI70" s="41">
        <f ca="1">'REF - ASWING STRUCT-Imperial'!BI70*4.44822</f>
        <v>0</v>
      </c>
      <c r="BJ70" s="41">
        <f ca="1">'REF - ASWING STRUCT-Imperial'!BJ70/(2.20462*3.28084)</f>
        <v>0</v>
      </c>
      <c r="BK70" s="41">
        <f ca="1">'REF - ASWING STRUCT-Imperial'!BK70/(2.20462*3.28084)</f>
        <v>0</v>
      </c>
      <c r="BL70" s="41">
        <f ca="1">'REF - ASWING STRUCT-Imperial'!BL70/(2.20462)*3.28084</f>
        <v>9.0230714232115972</v>
      </c>
      <c r="BM70" s="41">
        <f ca="1">'REF - ASWING STRUCT-Imperial'!BM70/3.28084</f>
        <v>0.23813445212260678</v>
      </c>
      <c r="BN70" s="41">
        <f ca="1">'REF - ASWING STRUCT-Imperial'!BN70/3.28084</f>
        <v>0</v>
      </c>
      <c r="BO70" s="41">
        <f ca="1">'REF - ASWING STRUCT-Imperial'!BO70/(2.20462*3.28084)</f>
        <v>0</v>
      </c>
      <c r="BP70" s="41">
        <f ca="1">'REF - ASWING STRUCT-Imperial'!BP70/(2.20462*3.28084)</f>
        <v>0</v>
      </c>
      <c r="BQ70" s="41">
        <f ca="1">'REF - ASWING STRUCT-Imperial'!BQ70/(2.20462)*3.28084</f>
        <v>0</v>
      </c>
      <c r="BR70" s="41">
        <f ca="1">'REF - ASWING STRUCT-Imperial'!BR70/3.28084</f>
        <v>0</v>
      </c>
      <c r="BS70" s="41">
        <f ca="1">'REF - ASWING STRUCT-Imperial'!BS70/3.28084</f>
        <v>0</v>
      </c>
      <c r="BT70" s="41">
        <f ca="1">'REF - ASWING STRUCT-Imperial'!BT70/3.28084</f>
        <v>9.2214475818569785E-2</v>
      </c>
      <c r="BU70" s="41">
        <f ca="1">'REF - ASWING STRUCT-Imperial'!BU70/3.28084</f>
        <v>0</v>
      </c>
      <c r="BV70" s="41">
        <f ca="1">'REF - ASWING STRUCT-Imperial'!BV70/3.28084</f>
        <v>0</v>
      </c>
      <c r="BW70" s="41">
        <f ca="1">'REF - ASWING STRUCT-Imperial'!BW70/3.28084</f>
        <v>0</v>
      </c>
      <c r="BX70" s="41">
        <f ca="1">'REF - ASWING STRUCT-Imperial'!BX70</f>
        <v>2E-3</v>
      </c>
      <c r="BY70" s="41">
        <f ca="1">'REF - ASWING STRUCT-Imperial'!BY70</f>
        <v>2E-3</v>
      </c>
      <c r="BZ70" s="41">
        <f ca="1">'REF - ASWING STRUCT-Imperial'!BZ70/3.28084</f>
        <v>0</v>
      </c>
      <c r="CA70" s="41">
        <f ca="1">'REF - ASWING STRUCT-Imperial'!CA70/3.28084</f>
        <v>9.3116249999999998E-2</v>
      </c>
      <c r="CB70" s="41">
        <f ca="1">'REF - ASWING STRUCT-Imperial'!CB70/(3.28084^3)</f>
        <v>8.5123767287695218E-5</v>
      </c>
      <c r="CC70" s="41">
        <f ca="1">'REF - ASWING STRUCT-Imperial'!CC70/3.28084</f>
        <v>0</v>
      </c>
      <c r="CD70" s="41">
        <f>'REF - ASWING STRUCT-Imperial'!CD70</f>
        <v>5.4999999999999997E-3</v>
      </c>
      <c r="CE70" s="41">
        <f>'REF - ASWING STRUCT-Imperial'!CE70</f>
        <v>5.4999999999999997E-3</v>
      </c>
      <c r="CF70" s="41">
        <f ca="1">'REF - ASWING STRUCT-Imperial'!CF70/3.28084</f>
        <v>1.0346250000000001</v>
      </c>
      <c r="CG70" s="41">
        <f ca="1">'REF - ASWING STRUCT-Imperial'!CG70</f>
        <v>0.25</v>
      </c>
      <c r="CH70" s="41">
        <f ca="1">'REF - ASWING STRUCT-Imperial'!CH70</f>
        <v>2.85</v>
      </c>
      <c r="CI70" s="41">
        <f ca="1">'REF - ASWING STRUCT-Imperial'!CI70</f>
        <v>-0.15</v>
      </c>
      <c r="CJ70" s="41">
        <f ca="1">'REF - ASWING STRUCT-Imperial'!CJ70</f>
        <v>1.85</v>
      </c>
      <c r="CK70" s="41">
        <f ca="1">'REF - ASWING STRUCT-Imperial'!CK70</f>
        <v>-1.55</v>
      </c>
      <c r="CL70" s="789">
        <f ca="1">'REF - ASWING STRUCT-Imperial'!CL70</f>
        <v>5.9690260418206069</v>
      </c>
      <c r="CM70" s="687">
        <v>95</v>
      </c>
      <c r="CN70" s="643">
        <v>3.2441133999999998</v>
      </c>
      <c r="CO70" s="643">
        <v>2.85</v>
      </c>
      <c r="CP70" s="643">
        <v>3.9167552000000003</v>
      </c>
      <c r="CQ70" s="643">
        <v>0</v>
      </c>
      <c r="CR70" s="643">
        <v>342.84047704506742</v>
      </c>
      <c r="CS70" s="643">
        <v>323.31668136089667</v>
      </c>
      <c r="CT70" s="643">
        <v>0</v>
      </c>
      <c r="CU70" s="643">
        <v>0</v>
      </c>
      <c r="CV70" s="643">
        <v>0</v>
      </c>
      <c r="CW70" s="643">
        <v>284018.30596656894</v>
      </c>
      <c r="CX70" s="643">
        <v>0</v>
      </c>
      <c r="CY70" s="643">
        <v>0</v>
      </c>
      <c r="CZ70" s="643">
        <v>0</v>
      </c>
      <c r="DA70" s="643">
        <v>0</v>
      </c>
      <c r="DB70" s="643">
        <v>0</v>
      </c>
      <c r="DC70" s="643">
        <v>2.3130661161739825</v>
      </c>
      <c r="DD70" s="643">
        <v>8.4106634381841544E-2</v>
      </c>
      <c r="DE70" s="643">
        <v>0</v>
      </c>
      <c r="DF70" s="643">
        <v>0</v>
      </c>
      <c r="DG70" s="643">
        <v>0</v>
      </c>
      <c r="DH70" s="643">
        <v>0</v>
      </c>
      <c r="DI70" s="643">
        <v>0</v>
      </c>
      <c r="DJ70" s="643">
        <v>0</v>
      </c>
      <c r="DK70" s="643">
        <v>3.6754373501045004E-2</v>
      </c>
      <c r="DL70" s="643">
        <v>0</v>
      </c>
      <c r="DM70" s="643">
        <v>0</v>
      </c>
      <c r="DN70" s="643">
        <v>0</v>
      </c>
      <c r="DO70" s="643">
        <v>2E-3</v>
      </c>
      <c r="DP70" s="643">
        <v>2E-3</v>
      </c>
      <c r="DQ70" s="643">
        <v>0</v>
      </c>
      <c r="DR70" s="643">
        <v>3.2849999999999997E-2</v>
      </c>
      <c r="DS70" s="643">
        <v>1.0594260030744467E-5</v>
      </c>
      <c r="DT70" s="643">
        <v>0</v>
      </c>
      <c r="DU70" s="643">
        <v>5.4999999999999997E-3</v>
      </c>
      <c r="DV70" s="643">
        <v>5.4999999999999997E-3</v>
      </c>
      <c r="DW70" s="643">
        <v>0.36499999999999994</v>
      </c>
      <c r="DX70" s="643">
        <v>0.25</v>
      </c>
      <c r="DY70" s="643">
        <v>5.9</v>
      </c>
      <c r="DZ70" s="643">
        <v>-0.15</v>
      </c>
      <c r="EA70" s="643">
        <v>2.25</v>
      </c>
      <c r="EB70" s="643">
        <v>-1.65</v>
      </c>
      <c r="EC70" s="643">
        <v>5.9690260418206069</v>
      </c>
      <c r="ED70" s="780">
        <v>95.000000000000014</v>
      </c>
      <c r="EE70" s="718">
        <v>12.225</v>
      </c>
      <c r="EF70" s="718">
        <v>1.56</v>
      </c>
      <c r="EG70" s="718">
        <v>5.2299999999999995</v>
      </c>
      <c r="EH70" s="718">
        <v>0</v>
      </c>
      <c r="EI70" s="718">
        <v>494.97569239840874</v>
      </c>
      <c r="EJ70" s="718">
        <v>367.09353513564326</v>
      </c>
      <c r="EK70" s="718">
        <v>0</v>
      </c>
      <c r="EL70" s="718">
        <v>0</v>
      </c>
      <c r="EM70" s="718">
        <v>0</v>
      </c>
      <c r="EN70" s="718">
        <v>1261599.4486365139</v>
      </c>
      <c r="EO70" s="718">
        <v>0</v>
      </c>
      <c r="EP70" s="718">
        <v>0</v>
      </c>
      <c r="EQ70" s="718">
        <v>0</v>
      </c>
      <c r="ER70" s="718">
        <v>0</v>
      </c>
      <c r="ES70" s="718">
        <v>0</v>
      </c>
      <c r="ET70" s="718">
        <v>3.8382486193676946</v>
      </c>
      <c r="EU70" s="718">
        <v>-0.23709578568017065</v>
      </c>
      <c r="EV70" s="718">
        <v>0</v>
      </c>
      <c r="EW70" s="718">
        <v>0</v>
      </c>
      <c r="EX70" s="718">
        <v>0</v>
      </c>
      <c r="EY70" s="718">
        <v>0</v>
      </c>
      <c r="EZ70" s="718">
        <v>0</v>
      </c>
      <c r="FA70" s="718">
        <v>0</v>
      </c>
      <c r="FB70" s="718">
        <v>-0.30561083905387793</v>
      </c>
      <c r="FC70" s="718">
        <v>0</v>
      </c>
      <c r="FD70" s="718">
        <v>0</v>
      </c>
      <c r="FE70" s="718">
        <v>0</v>
      </c>
      <c r="FF70" s="718">
        <v>2E-3</v>
      </c>
      <c r="FG70" s="718">
        <v>2E-3</v>
      </c>
      <c r="FH70" s="718">
        <v>-0.36</v>
      </c>
      <c r="FI70" s="718">
        <v>5.3999999999999999E-2</v>
      </c>
      <c r="FJ70" s="718">
        <v>2.8627762139748598E-5</v>
      </c>
      <c r="FK70" s="718">
        <v>0</v>
      </c>
      <c r="FL70" s="718">
        <v>5.4999999999999997E-3</v>
      </c>
      <c r="FM70" s="718">
        <v>5.4999999999999997E-3</v>
      </c>
      <c r="FN70" s="718">
        <v>0.6</v>
      </c>
      <c r="FO70" s="718">
        <v>0.85</v>
      </c>
      <c r="FP70" s="718">
        <v>0</v>
      </c>
      <c r="FQ70" s="718">
        <v>0</v>
      </c>
      <c r="FR70" s="718">
        <v>1.4</v>
      </c>
      <c r="FS70" s="718">
        <v>-1.4</v>
      </c>
      <c r="FT70" s="718">
        <v>5.9690260418206069</v>
      </c>
      <c r="FU70" s="782">
        <f t="shared" si="4"/>
        <v>95.000000000000014</v>
      </c>
      <c r="FV70" s="617">
        <f t="shared" si="5"/>
        <v>12.225</v>
      </c>
      <c r="FW70" s="795">
        <f t="shared" si="6"/>
        <v>-1.56</v>
      </c>
      <c r="FX70" s="617">
        <f t="shared" si="7"/>
        <v>5.2299999999999995</v>
      </c>
      <c r="FY70" s="617">
        <f t="shared" si="8"/>
        <v>0</v>
      </c>
      <c r="FZ70" s="617">
        <f t="shared" si="9"/>
        <v>494.97569239840874</v>
      </c>
      <c r="GA70" s="617">
        <f t="shared" si="10"/>
        <v>367.09353513564326</v>
      </c>
      <c r="GB70" s="617">
        <f t="shared" si="11"/>
        <v>0</v>
      </c>
      <c r="GC70" s="617">
        <f t="shared" si="12"/>
        <v>0</v>
      </c>
      <c r="GD70" s="617">
        <f t="shared" si="13"/>
        <v>0</v>
      </c>
      <c r="GE70" s="617">
        <f t="shared" si="14"/>
        <v>1261599.4486365139</v>
      </c>
      <c r="GF70" s="617">
        <f t="shared" si="15"/>
        <v>0</v>
      </c>
      <c r="GG70" s="617">
        <f t="shared" si="16"/>
        <v>0</v>
      </c>
      <c r="GH70" s="617">
        <f t="shared" si="17"/>
        <v>0</v>
      </c>
      <c r="GI70" s="617">
        <f t="shared" si="18"/>
        <v>0</v>
      </c>
      <c r="GJ70" s="617">
        <f t="shared" si="19"/>
        <v>0</v>
      </c>
      <c r="GK70" s="617">
        <f t="shared" si="20"/>
        <v>3.8382486193676946</v>
      </c>
      <c r="GL70" s="617">
        <f t="shared" si="21"/>
        <v>-0.23709578568017065</v>
      </c>
      <c r="GM70" s="617">
        <f t="shared" si="22"/>
        <v>0</v>
      </c>
      <c r="GN70" s="617">
        <f t="shared" si="23"/>
        <v>0</v>
      </c>
      <c r="GO70" s="617">
        <f t="shared" si="24"/>
        <v>0</v>
      </c>
      <c r="GP70" s="617">
        <f t="shared" si="25"/>
        <v>0</v>
      </c>
      <c r="GQ70" s="617">
        <f t="shared" si="26"/>
        <v>0</v>
      </c>
      <c r="GR70" s="617">
        <f t="shared" si="27"/>
        <v>0</v>
      </c>
      <c r="GS70" s="617">
        <f t="shared" si="28"/>
        <v>-0.30561083905387793</v>
      </c>
      <c r="GT70" s="617">
        <f t="shared" si="29"/>
        <v>0</v>
      </c>
      <c r="GU70" s="617">
        <f t="shared" si="30"/>
        <v>0</v>
      </c>
      <c r="GV70" s="617">
        <f t="shared" si="31"/>
        <v>0</v>
      </c>
      <c r="GW70" s="617">
        <f t="shared" si="32"/>
        <v>2E-3</v>
      </c>
      <c r="GX70" s="617">
        <f t="shared" si="33"/>
        <v>2E-3</v>
      </c>
      <c r="GY70" s="617">
        <f t="shared" si="34"/>
        <v>-0.36</v>
      </c>
      <c r="GZ70" s="617">
        <f t="shared" si="35"/>
        <v>5.3999999999999999E-2</v>
      </c>
      <c r="HA70" s="617">
        <f t="shared" si="36"/>
        <v>2.8627762139748598E-5</v>
      </c>
      <c r="HB70" s="617">
        <f t="shared" si="37"/>
        <v>0</v>
      </c>
      <c r="HC70" s="617">
        <f t="shared" si="38"/>
        <v>5.4999999999999997E-3</v>
      </c>
      <c r="HD70" s="617">
        <f t="shared" si="39"/>
        <v>5.4999999999999997E-3</v>
      </c>
      <c r="HE70" s="617">
        <f t="shared" si="40"/>
        <v>0.6</v>
      </c>
      <c r="HF70" s="617">
        <f t="shared" si="41"/>
        <v>0.85</v>
      </c>
      <c r="HG70" s="617">
        <f t="shared" si="42"/>
        <v>0</v>
      </c>
      <c r="HH70" s="617">
        <f t="shared" si="43"/>
        <v>0</v>
      </c>
      <c r="HI70" s="617">
        <f t="shared" si="44"/>
        <v>1.4</v>
      </c>
      <c r="HJ70" s="617">
        <f t="shared" si="45"/>
        <v>-1.4</v>
      </c>
      <c r="HK70" s="617">
        <f t="shared" si="46"/>
        <v>5.9690260418206069</v>
      </c>
    </row>
    <row r="71" spans="1:219" ht="15.75" thickBot="1" x14ac:dyDescent="0.3">
      <c r="A71" s="752" t="s">
        <v>1056</v>
      </c>
      <c r="B71" s="753">
        <v>6825.0303528286386</v>
      </c>
      <c r="C71" s="754">
        <v>-147.16522976171498</v>
      </c>
      <c r="D71" s="755">
        <v>2588.5959210703818</v>
      </c>
      <c r="E71" s="812">
        <f t="shared" si="50"/>
        <v>6.8250303528286382</v>
      </c>
      <c r="F71" s="670">
        <f t="shared" si="51"/>
        <v>-0.14716522976171498</v>
      </c>
      <c r="G71" s="670">
        <f t="shared" si="52"/>
        <v>2.5885959210703819</v>
      </c>
      <c r="H71" s="668">
        <v>32.616399999999999</v>
      </c>
      <c r="I71" s="668">
        <v>1</v>
      </c>
      <c r="J71" s="2">
        <v>0</v>
      </c>
      <c r="K71" s="620">
        <v>6</v>
      </c>
      <c r="L71" t="s">
        <v>957</v>
      </c>
      <c r="P71" s="580"/>
      <c r="AU71" s="594"/>
      <c r="AV71" s="575">
        <f ca="1">'REF - ASWING STRUCT-Imperial'!AV71</f>
        <v>100</v>
      </c>
      <c r="AW71" s="790">
        <f ca="1">'REF - ASWING STRUCT-Imperial'!AW71/3.28084</f>
        <v>7.4129297999999988</v>
      </c>
      <c r="AX71" s="791">
        <f ca="1">'REF - ASWING STRUCT-Imperial'!AX71/3.28084</f>
        <v>7.3362980000000002</v>
      </c>
      <c r="AY71" s="791">
        <f ca="1">'REF - ASWING STRUCT-Imperial'!AY71/3.28084</f>
        <v>2.4898129999999998</v>
      </c>
      <c r="AZ71" s="792">
        <f ca="1">'REF - ASWING STRUCT-Imperial'!AZ71</f>
        <v>0</v>
      </c>
      <c r="BA71" s="792">
        <f ca="1">'REF - ASWING STRUCT-Imperial'!BA71*0.413253134140599</f>
        <v>19919.482121483794</v>
      </c>
      <c r="BB71" s="792">
        <f ca="1">'REF - ASWING STRUCT-Imperial'!BB71*0.413253134140599</f>
        <v>18657.537656782428</v>
      </c>
      <c r="BC71" s="792">
        <f ca="1">'REF - ASWING STRUCT-Imperial'!BC71*0.413253134140599</f>
        <v>0</v>
      </c>
      <c r="BD71" s="792">
        <f ca="1">'REF - ASWING STRUCT-Imperial'!BD71*0.413253134140599</f>
        <v>0</v>
      </c>
      <c r="BE71" s="792">
        <f ca="1">'REF - ASWING STRUCT-Imperial'!BE71*0.413253134140599</f>
        <v>0</v>
      </c>
      <c r="BF71" s="792">
        <f ca="1">'REF - ASWING STRUCT-Imperial'!BF71*0.413253134140599</f>
        <v>5973142.8859956609</v>
      </c>
      <c r="BG71" s="792">
        <f ca="1">'REF - ASWING STRUCT-Imperial'!BG71</f>
        <v>0</v>
      </c>
      <c r="BH71" s="792">
        <f ca="1">'REF - ASWING STRUCT-Imperial'!BH71*4.44822</f>
        <v>0</v>
      </c>
      <c r="BI71" s="792">
        <f ca="1">'REF - ASWING STRUCT-Imperial'!BI71*4.44822</f>
        <v>0</v>
      </c>
      <c r="BJ71" s="792">
        <f ca="1">'REF - ASWING STRUCT-Imperial'!BJ71/(2.20462*3.28084)</f>
        <v>0</v>
      </c>
      <c r="BK71" s="792">
        <f ca="1">'REF - ASWING STRUCT-Imperial'!BK71/(2.20462*3.28084)</f>
        <v>0</v>
      </c>
      <c r="BL71" s="792">
        <f ca="1">'REF - ASWING STRUCT-Imperial'!BL71/(2.20462)*3.28084</f>
        <v>8.7889670268776072</v>
      </c>
      <c r="BM71" s="792">
        <f ca="1">'REF - ASWING STRUCT-Imperial'!BM71/3.28084</f>
        <v>0.2318078365248458</v>
      </c>
      <c r="BN71" s="792">
        <f ca="1">'REF - ASWING STRUCT-Imperial'!BN71/3.28084</f>
        <v>0</v>
      </c>
      <c r="BO71" s="792">
        <f ca="1">'REF - ASWING STRUCT-Imperial'!BO71/(2.20462*3.28084)</f>
        <v>0</v>
      </c>
      <c r="BP71" s="792">
        <f ca="1">'REF - ASWING STRUCT-Imperial'!BP71/(2.20462*3.28084)</f>
        <v>0</v>
      </c>
      <c r="BQ71" s="792">
        <f ca="1">'REF - ASWING STRUCT-Imperial'!BQ71/(2.20462)*3.28084</f>
        <v>0</v>
      </c>
      <c r="BR71" s="792">
        <f ca="1">'REF - ASWING STRUCT-Imperial'!BR71/3.28084</f>
        <v>0</v>
      </c>
      <c r="BS71" s="792">
        <f ca="1">'REF - ASWING STRUCT-Imperial'!BS71/3.28084</f>
        <v>0</v>
      </c>
      <c r="BT71" s="792">
        <f ca="1">'REF - ASWING STRUCT-Imperial'!BT71/3.28084</f>
        <v>8.9785474667730125E-2</v>
      </c>
      <c r="BU71" s="792">
        <f ca="1">'REF - ASWING STRUCT-Imperial'!BU71/3.28084</f>
        <v>0</v>
      </c>
      <c r="BV71" s="792">
        <f ca="1">'REF - ASWING STRUCT-Imperial'!BV71/3.28084</f>
        <v>0</v>
      </c>
      <c r="BW71" s="792">
        <f ca="1">'REF - ASWING STRUCT-Imperial'!BW71/3.28084</f>
        <v>0</v>
      </c>
      <c r="BX71" s="792">
        <f ca="1">'REF - ASWING STRUCT-Imperial'!BX71</f>
        <v>2E-3</v>
      </c>
      <c r="BY71" s="792">
        <f ca="1">'REF - ASWING STRUCT-Imperial'!BY71</f>
        <v>2E-3</v>
      </c>
      <c r="BZ71" s="792">
        <f ca="1">'REF - ASWING STRUCT-Imperial'!BZ71/3.28084</f>
        <v>0</v>
      </c>
      <c r="CA71" s="792">
        <f ca="1">'REF - ASWING STRUCT-Imperial'!CA71/3.28084</f>
        <v>9.0675000000000006E-2</v>
      </c>
      <c r="CB71" s="792">
        <f ca="1">'REF - ASWING STRUCT-Imperial'!CB71/(3.28084^3)</f>
        <v>8.0718858009625583E-5</v>
      </c>
      <c r="CC71" s="792">
        <f ca="1">'REF - ASWING STRUCT-Imperial'!CC71/3.28084</f>
        <v>0</v>
      </c>
      <c r="CD71" s="792">
        <f>'REF - ASWING STRUCT-Imperial'!CD71</f>
        <v>5.4999999999999997E-3</v>
      </c>
      <c r="CE71" s="792">
        <f>'REF - ASWING STRUCT-Imperial'!CE71</f>
        <v>5.4999999999999997E-3</v>
      </c>
      <c r="CF71" s="792">
        <f ca="1">'REF - ASWING STRUCT-Imperial'!CF71/3.28084</f>
        <v>1.0075000000000001</v>
      </c>
      <c r="CG71" s="792">
        <f ca="1">'REF - ASWING STRUCT-Imperial'!CG71</f>
        <v>0.25</v>
      </c>
      <c r="CH71" s="792">
        <f ca="1">'REF - ASWING STRUCT-Imperial'!CH71</f>
        <v>2.85</v>
      </c>
      <c r="CI71" s="792">
        <f ca="1">'REF - ASWING STRUCT-Imperial'!CI71</f>
        <v>-0.15</v>
      </c>
      <c r="CJ71" s="792">
        <f ca="1">'REF - ASWING STRUCT-Imperial'!CJ71</f>
        <v>1.85</v>
      </c>
      <c r="CK71" s="792">
        <f ca="1">'REF - ASWING STRUCT-Imperial'!CK71</f>
        <v>-1.55</v>
      </c>
      <c r="CL71" s="793">
        <f ca="1">'REF - ASWING STRUCT-Imperial'!CL71</f>
        <v>5.9690260418206069</v>
      </c>
      <c r="CM71" s="688">
        <v>100</v>
      </c>
      <c r="CN71" s="643">
        <v>3.2478633999999995</v>
      </c>
      <c r="CO71" s="643">
        <v>3</v>
      </c>
      <c r="CP71" s="643">
        <v>3.9167552000000003</v>
      </c>
      <c r="CQ71" s="643">
        <v>0</v>
      </c>
      <c r="CR71" s="643">
        <v>306.38945991493068</v>
      </c>
      <c r="CS71" s="643">
        <v>297.28874810816171</v>
      </c>
      <c r="CT71" s="643">
        <v>0</v>
      </c>
      <c r="CU71" s="643">
        <v>0</v>
      </c>
      <c r="CV71" s="643">
        <v>0</v>
      </c>
      <c r="CW71" s="643">
        <v>250421.64981616006</v>
      </c>
      <c r="CX71" s="643">
        <v>0</v>
      </c>
      <c r="CY71" s="643">
        <v>0</v>
      </c>
      <c r="CZ71" s="643">
        <v>0</v>
      </c>
      <c r="DA71" s="643">
        <v>0</v>
      </c>
      <c r="DB71" s="643">
        <v>0</v>
      </c>
      <c r="DC71" s="643">
        <v>2.2187774023464217</v>
      </c>
      <c r="DD71" s="643">
        <v>8.060570758064467E-2</v>
      </c>
      <c r="DE71" s="643">
        <v>0</v>
      </c>
      <c r="DF71" s="643">
        <v>0</v>
      </c>
      <c r="DG71" s="643">
        <v>0</v>
      </c>
      <c r="DH71" s="643">
        <v>0</v>
      </c>
      <c r="DI71" s="643">
        <v>0</v>
      </c>
      <c r="DJ71" s="643">
        <v>0</v>
      </c>
      <c r="DK71" s="643">
        <v>3.5721307422871551E-2</v>
      </c>
      <c r="DL71" s="643">
        <v>0</v>
      </c>
      <c r="DM71" s="643">
        <v>0</v>
      </c>
      <c r="DN71" s="643">
        <v>0</v>
      </c>
      <c r="DO71" s="643">
        <v>2E-3</v>
      </c>
      <c r="DP71" s="643">
        <v>2E-3</v>
      </c>
      <c r="DQ71" s="643">
        <v>0</v>
      </c>
      <c r="DR71" s="643">
        <v>3.1499999999999993E-2</v>
      </c>
      <c r="DS71" s="643">
        <v>9.7413912836644561E-6</v>
      </c>
      <c r="DT71" s="643">
        <v>0</v>
      </c>
      <c r="DU71" s="643">
        <v>5.4999999999999997E-3</v>
      </c>
      <c r="DV71" s="643">
        <v>5.4999999999999997E-3</v>
      </c>
      <c r="DW71" s="643">
        <v>0.35</v>
      </c>
      <c r="DX71" s="643">
        <v>0.25</v>
      </c>
      <c r="DY71" s="643">
        <v>5.9</v>
      </c>
      <c r="DZ71" s="643">
        <v>-0.15</v>
      </c>
      <c r="EA71" s="643">
        <v>2.25</v>
      </c>
      <c r="EB71" s="643">
        <v>-1.65</v>
      </c>
      <c r="EC71" s="643">
        <v>5.9690260418206069</v>
      </c>
      <c r="ED71" s="780">
        <v>100</v>
      </c>
      <c r="EE71" s="718">
        <v>12.25</v>
      </c>
      <c r="EF71" s="718">
        <v>1.56</v>
      </c>
      <c r="EG71" s="718">
        <v>5.3000000000000007</v>
      </c>
      <c r="EH71" s="718">
        <v>0</v>
      </c>
      <c r="EI71" s="718">
        <v>320.69632595723044</v>
      </c>
      <c r="EJ71" s="718">
        <v>254.92606606641903</v>
      </c>
      <c r="EK71" s="718">
        <v>0</v>
      </c>
      <c r="EL71" s="718">
        <v>0</v>
      </c>
      <c r="EM71" s="718">
        <v>0</v>
      </c>
      <c r="EN71" s="718">
        <v>730092.27351650142</v>
      </c>
      <c r="EO71" s="718">
        <v>0</v>
      </c>
      <c r="EP71" s="718">
        <v>0</v>
      </c>
      <c r="EQ71" s="718">
        <v>0</v>
      </c>
      <c r="ER71" s="718">
        <v>0</v>
      </c>
      <c r="ES71" s="718">
        <v>0</v>
      </c>
      <c r="ET71" s="718">
        <v>3.2096571938506235</v>
      </c>
      <c r="EU71" s="718">
        <v>-0.20043559622723547</v>
      </c>
      <c r="EV71" s="718">
        <v>0</v>
      </c>
      <c r="EW71" s="718">
        <v>0</v>
      </c>
      <c r="EX71" s="718">
        <v>0</v>
      </c>
      <c r="EY71" s="718">
        <v>0</v>
      </c>
      <c r="EZ71" s="718">
        <v>0</v>
      </c>
      <c r="FA71" s="718">
        <v>0</v>
      </c>
      <c r="FB71" s="718">
        <v>0.17152523872333406</v>
      </c>
      <c r="FC71" s="718">
        <v>0</v>
      </c>
      <c r="FD71" s="718">
        <v>0</v>
      </c>
      <c r="FE71" s="718">
        <v>0</v>
      </c>
      <c r="FF71" s="718">
        <v>2E-3</v>
      </c>
      <c r="FG71" s="718">
        <v>2E-3</v>
      </c>
      <c r="FH71" s="718">
        <v>0.125</v>
      </c>
      <c r="FI71" s="718">
        <v>4.4999999999999998E-2</v>
      </c>
      <c r="FJ71" s="718">
        <v>1.9880390374825421E-5</v>
      </c>
      <c r="FK71" s="718">
        <v>0</v>
      </c>
      <c r="FL71" s="718">
        <v>5.4999999999999997E-3</v>
      </c>
      <c r="FM71" s="718">
        <v>5.4999999999999997E-3</v>
      </c>
      <c r="FN71" s="718">
        <v>0.5</v>
      </c>
      <c r="FO71" s="718">
        <v>0</v>
      </c>
      <c r="FP71" s="718">
        <v>0</v>
      </c>
      <c r="FQ71" s="718">
        <v>0</v>
      </c>
      <c r="FR71" s="718">
        <v>0</v>
      </c>
      <c r="FS71" s="718">
        <v>0</v>
      </c>
      <c r="FT71" s="718">
        <v>0</v>
      </c>
      <c r="FU71" s="782">
        <f t="shared" si="4"/>
        <v>100</v>
      </c>
      <c r="FV71" s="617">
        <f t="shared" si="5"/>
        <v>12.25</v>
      </c>
      <c r="FW71" s="795">
        <f t="shared" si="6"/>
        <v>-1.56</v>
      </c>
      <c r="FX71" s="617">
        <f t="shared" si="7"/>
        <v>5.3000000000000007</v>
      </c>
      <c r="FY71" s="617">
        <f t="shared" si="8"/>
        <v>0</v>
      </c>
      <c r="FZ71" s="617">
        <f t="shared" si="9"/>
        <v>320.69632595723044</v>
      </c>
      <c r="GA71" s="617">
        <f t="shared" si="10"/>
        <v>254.92606606641903</v>
      </c>
      <c r="GB71" s="617">
        <f t="shared" si="11"/>
        <v>0</v>
      </c>
      <c r="GC71" s="617">
        <f t="shared" si="12"/>
        <v>0</v>
      </c>
      <c r="GD71" s="617">
        <f t="shared" si="13"/>
        <v>0</v>
      </c>
      <c r="GE71" s="617">
        <f t="shared" si="14"/>
        <v>730092.27351650142</v>
      </c>
      <c r="GF71" s="617">
        <f t="shared" si="15"/>
        <v>0</v>
      </c>
      <c r="GG71" s="617">
        <f t="shared" si="16"/>
        <v>0</v>
      </c>
      <c r="GH71" s="617">
        <f t="shared" si="17"/>
        <v>0</v>
      </c>
      <c r="GI71" s="617">
        <f t="shared" si="18"/>
        <v>0</v>
      </c>
      <c r="GJ71" s="617">
        <f t="shared" si="19"/>
        <v>0</v>
      </c>
      <c r="GK71" s="617">
        <f t="shared" si="20"/>
        <v>3.2096571938506235</v>
      </c>
      <c r="GL71" s="617">
        <f t="shared" si="21"/>
        <v>-0.20043559622723547</v>
      </c>
      <c r="GM71" s="617">
        <f t="shared" si="22"/>
        <v>0</v>
      </c>
      <c r="GN71" s="617">
        <f t="shared" si="23"/>
        <v>0</v>
      </c>
      <c r="GO71" s="617">
        <f t="shared" si="24"/>
        <v>0</v>
      </c>
      <c r="GP71" s="617">
        <f t="shared" si="25"/>
        <v>0</v>
      </c>
      <c r="GQ71" s="617">
        <f t="shared" si="26"/>
        <v>0</v>
      </c>
      <c r="GR71" s="617">
        <f t="shared" si="27"/>
        <v>0</v>
      </c>
      <c r="GS71" s="617">
        <f t="shared" si="28"/>
        <v>0.17152523872333406</v>
      </c>
      <c r="GT71" s="617">
        <f t="shared" si="29"/>
        <v>0</v>
      </c>
      <c r="GU71" s="617">
        <f t="shared" si="30"/>
        <v>0</v>
      </c>
      <c r="GV71" s="617">
        <f t="shared" si="31"/>
        <v>0</v>
      </c>
      <c r="GW71" s="617">
        <f t="shared" si="32"/>
        <v>2E-3</v>
      </c>
      <c r="GX71" s="617">
        <f t="shared" si="33"/>
        <v>2E-3</v>
      </c>
      <c r="GY71" s="617">
        <f t="shared" si="34"/>
        <v>0.125</v>
      </c>
      <c r="GZ71" s="617">
        <f t="shared" si="35"/>
        <v>4.4999999999999998E-2</v>
      </c>
      <c r="HA71" s="617">
        <f t="shared" si="36"/>
        <v>1.9880390374825421E-5</v>
      </c>
      <c r="HB71" s="617">
        <f t="shared" si="37"/>
        <v>0</v>
      </c>
      <c r="HC71" s="617">
        <f t="shared" si="38"/>
        <v>5.4999999999999997E-3</v>
      </c>
      <c r="HD71" s="617">
        <f t="shared" si="39"/>
        <v>5.4999999999999997E-3</v>
      </c>
      <c r="HE71" s="617">
        <f t="shared" si="40"/>
        <v>0.5</v>
      </c>
      <c r="HF71" s="617">
        <f t="shared" si="41"/>
        <v>0</v>
      </c>
      <c r="HG71" s="617">
        <f t="shared" si="42"/>
        <v>0</v>
      </c>
      <c r="HH71" s="617">
        <f t="shared" si="43"/>
        <v>0</v>
      </c>
      <c r="HI71" s="617">
        <f t="shared" si="44"/>
        <v>0</v>
      </c>
      <c r="HJ71" s="617">
        <f t="shared" si="45"/>
        <v>0</v>
      </c>
      <c r="HK71" s="617">
        <f t="shared" si="46"/>
        <v>0</v>
      </c>
    </row>
    <row r="72" spans="1:219" ht="15.75" customHeight="1" x14ac:dyDescent="0.25">
      <c r="A72" s="752" t="s">
        <v>1057</v>
      </c>
      <c r="B72" s="753">
        <v>6561.9223659889103</v>
      </c>
      <c r="C72" s="756">
        <v>48.798521256931615</v>
      </c>
      <c r="D72" s="755">
        <v>2481.3308687615531</v>
      </c>
      <c r="E72" s="812">
        <f t="shared" si="50"/>
        <v>6.5619223659889103</v>
      </c>
      <c r="F72" s="670">
        <f t="shared" si="51"/>
        <v>4.8798521256931612E-2</v>
      </c>
      <c r="G72" s="670">
        <f t="shared" si="52"/>
        <v>2.4813308687615532</v>
      </c>
      <c r="H72" s="668">
        <v>54.099999999999994</v>
      </c>
      <c r="I72" s="668">
        <v>1</v>
      </c>
      <c r="J72" s="2">
        <v>0</v>
      </c>
      <c r="K72" s="620">
        <v>7</v>
      </c>
      <c r="L72" t="s">
        <v>958</v>
      </c>
      <c r="P72" s="580"/>
      <c r="AU72" s="594"/>
      <c r="AW72" s="207"/>
      <c r="AX72" s="207"/>
      <c r="BT72"/>
      <c r="CI72"/>
    </row>
    <row r="73" spans="1:219" x14ac:dyDescent="0.25">
      <c r="A73" s="752" t="s">
        <v>1058</v>
      </c>
      <c r="B73" s="753">
        <v>7738.6553076517748</v>
      </c>
      <c r="C73" s="756">
        <v>-7.9712912568827772</v>
      </c>
      <c r="D73" s="755">
        <v>2611.3540638891541</v>
      </c>
      <c r="E73" s="812">
        <f t="shared" si="50"/>
        <v>7.7386553076517748</v>
      </c>
      <c r="F73" s="670">
        <f t="shared" si="51"/>
        <v>-7.9712912568827773E-3</v>
      </c>
      <c r="G73" s="670">
        <f t="shared" si="52"/>
        <v>2.6113540638891539</v>
      </c>
      <c r="H73" s="668">
        <v>56.554200000000002</v>
      </c>
      <c r="I73" s="668">
        <v>1</v>
      </c>
      <c r="J73" s="2">
        <v>0</v>
      </c>
      <c r="K73" s="620">
        <v>8</v>
      </c>
      <c r="L73" t="s">
        <v>959</v>
      </c>
      <c r="P73" s="580"/>
      <c r="AU73" s="594"/>
      <c r="AW73" s="207"/>
      <c r="AX73" s="207"/>
      <c r="BT73"/>
      <c r="CI73"/>
    </row>
    <row r="74" spans="1:219" x14ac:dyDescent="0.25">
      <c r="A74" s="752" t="s">
        <v>1059</v>
      </c>
      <c r="B74" s="753">
        <v>8165.2941176470586</v>
      </c>
      <c r="C74" s="756">
        <v>-132.35294117647058</v>
      </c>
      <c r="D74" s="755">
        <v>3316.1764705882351</v>
      </c>
      <c r="E74" s="812">
        <f t="shared" si="50"/>
        <v>8.1652941176470577</v>
      </c>
      <c r="F74" s="670">
        <f t="shared" si="51"/>
        <v>-0.13235294117647059</v>
      </c>
      <c r="G74" s="670">
        <f t="shared" si="52"/>
        <v>3.3161764705882351</v>
      </c>
      <c r="H74" s="668">
        <v>68</v>
      </c>
      <c r="I74" s="668">
        <v>1</v>
      </c>
      <c r="J74" s="2">
        <v>0</v>
      </c>
      <c r="K74" s="620">
        <v>9</v>
      </c>
      <c r="L74" t="s">
        <v>960</v>
      </c>
      <c r="P74" s="580"/>
      <c r="AU74" s="594"/>
      <c r="AW74" s="207"/>
      <c r="AX74" s="207"/>
      <c r="BT74"/>
      <c r="CI74"/>
    </row>
    <row r="75" spans="1:219" x14ac:dyDescent="0.25">
      <c r="A75" s="752" t="s">
        <v>1060</v>
      </c>
      <c r="B75" s="753">
        <v>8000</v>
      </c>
      <c r="C75" s="756">
        <v>0</v>
      </c>
      <c r="D75" s="755">
        <v>2806.4935064935066</v>
      </c>
      <c r="E75" s="812">
        <f t="shared" si="50"/>
        <v>8</v>
      </c>
      <c r="F75" s="670">
        <f t="shared" si="51"/>
        <v>0</v>
      </c>
      <c r="G75" s="670">
        <f t="shared" si="52"/>
        <v>2.8064935064935068</v>
      </c>
      <c r="H75" s="668">
        <v>385</v>
      </c>
      <c r="I75" s="668">
        <v>1</v>
      </c>
      <c r="J75" s="2">
        <v>0</v>
      </c>
      <c r="K75" s="620">
        <v>10</v>
      </c>
      <c r="L75" t="s">
        <v>961</v>
      </c>
      <c r="P75" s="580"/>
      <c r="AU75" s="594"/>
      <c r="AW75" s="207"/>
      <c r="AX75" s="207"/>
      <c r="BT75"/>
      <c r="CI75"/>
    </row>
    <row r="76" spans="1:219" ht="15" customHeight="1" x14ac:dyDescent="0.25">
      <c r="K76" s="575"/>
      <c r="P76" s="580"/>
      <c r="AU76" s="594"/>
      <c r="AW76" s="207"/>
      <c r="AX76" s="207"/>
      <c r="BT76"/>
      <c r="CI76"/>
    </row>
    <row r="77" spans="1:219" ht="30" x14ac:dyDescent="0.25">
      <c r="A77" s="701" t="s">
        <v>1067</v>
      </c>
      <c r="B77" s="702" t="s">
        <v>1068</v>
      </c>
      <c r="C77" s="702" t="s">
        <v>1069</v>
      </c>
      <c r="D77" s="703" t="s">
        <v>1070</v>
      </c>
      <c r="G77" s="136" t="s">
        <v>1020</v>
      </c>
      <c r="H77" s="660">
        <f>SUM(H52:H75)</f>
        <v>1827.6705999999999</v>
      </c>
      <c r="P77" s="580"/>
      <c r="AU77" s="594"/>
      <c r="AW77" s="207"/>
      <c r="AX77" s="207"/>
      <c r="BT77"/>
      <c r="CI77"/>
    </row>
    <row r="78" spans="1:219" x14ac:dyDescent="0.25">
      <c r="A78" s="704" t="s">
        <v>1071</v>
      </c>
      <c r="B78" s="705">
        <v>0</v>
      </c>
      <c r="C78" s="705">
        <v>0</v>
      </c>
      <c r="D78" s="706">
        <v>0</v>
      </c>
      <c r="P78" s="580"/>
      <c r="AU78" s="594"/>
      <c r="AW78" s="207"/>
      <c r="AX78" s="207"/>
      <c r="BT78"/>
      <c r="CI78"/>
    </row>
    <row r="79" spans="1:219" x14ac:dyDescent="0.25">
      <c r="A79" s="707" t="s">
        <v>1072</v>
      </c>
      <c r="B79" s="708">
        <f>8000</f>
        <v>8000</v>
      </c>
      <c r="C79" s="708">
        <v>0</v>
      </c>
      <c r="D79" s="709">
        <v>4200</v>
      </c>
      <c r="I79" s="5"/>
      <c r="P79" s="580"/>
      <c r="AU79" s="594"/>
      <c r="AW79" s="207"/>
      <c r="AX79" s="207"/>
      <c r="BT79"/>
      <c r="CI79"/>
    </row>
    <row r="80" spans="1:219" ht="31.5" customHeight="1" x14ac:dyDescent="0.25">
      <c r="F80" s="136"/>
      <c r="P80" s="580"/>
      <c r="AU80" s="594"/>
      <c r="AW80" s="207"/>
      <c r="BT80"/>
      <c r="CI80"/>
    </row>
    <row r="81" spans="5:87" x14ac:dyDescent="0.25">
      <c r="P81" s="580"/>
      <c r="AU81" s="594"/>
      <c r="AW81" s="207"/>
      <c r="BT81"/>
      <c r="CI81"/>
    </row>
    <row r="82" spans="5:87" x14ac:dyDescent="0.25">
      <c r="P82" s="580"/>
      <c r="AU82" s="594"/>
      <c r="AW82" s="207"/>
      <c r="BT82"/>
      <c r="CI82"/>
    </row>
    <row r="83" spans="5:87" x14ac:dyDescent="0.25">
      <c r="P83" s="580"/>
      <c r="AU83" s="594"/>
      <c r="AW83" s="207"/>
      <c r="BT83"/>
      <c r="CI83"/>
    </row>
    <row r="84" spans="5:87" x14ac:dyDescent="0.25">
      <c r="G84" s="817"/>
      <c r="H84" s="817"/>
      <c r="I84" s="118"/>
      <c r="J84" s="817"/>
      <c r="P84" s="580"/>
      <c r="AU84" s="594"/>
      <c r="AW84" s="207"/>
      <c r="BT84"/>
      <c r="CI84"/>
    </row>
    <row r="85" spans="5:87" x14ac:dyDescent="0.25">
      <c r="E85" s="815"/>
      <c r="F85" s="815"/>
      <c r="G85" s="817"/>
      <c r="H85" s="818"/>
      <c r="I85" s="118"/>
      <c r="J85" s="817"/>
      <c r="P85" s="580"/>
      <c r="AU85" s="594"/>
      <c r="AW85" s="207"/>
      <c r="BT85"/>
      <c r="CI85"/>
    </row>
    <row r="86" spans="5:87" x14ac:dyDescent="0.25">
      <c r="H86" s="816"/>
      <c r="P86" s="580"/>
      <c r="AU86" s="594"/>
      <c r="BT86"/>
      <c r="CI86"/>
    </row>
    <row r="87" spans="5:87" x14ac:dyDescent="0.25">
      <c r="F87" s="816"/>
      <c r="H87" s="816"/>
      <c r="J87" s="817"/>
      <c r="P87" s="580"/>
      <c r="AU87" s="594"/>
      <c r="BT87"/>
      <c r="CI87"/>
    </row>
    <row r="88" spans="5:87" x14ac:dyDescent="0.25">
      <c r="P88" s="580"/>
      <c r="AU88" s="594"/>
      <c r="BT88"/>
      <c r="CI88"/>
    </row>
    <row r="89" spans="5:87" x14ac:dyDescent="0.25">
      <c r="P89" s="580"/>
      <c r="AU89" s="594"/>
      <c r="BT89"/>
      <c r="CI89"/>
    </row>
    <row r="90" spans="5:87" x14ac:dyDescent="0.25">
      <c r="H90" s="816"/>
      <c r="P90" s="580"/>
      <c r="AU90" s="594"/>
      <c r="BT90"/>
      <c r="CI90"/>
    </row>
    <row r="91" spans="5:87" x14ac:dyDescent="0.25">
      <c r="P91" s="580"/>
      <c r="AU91" s="594"/>
      <c r="BT91"/>
      <c r="CI91"/>
    </row>
    <row r="92" spans="5:87" x14ac:dyDescent="0.25">
      <c r="P92" s="580"/>
      <c r="AU92" s="594"/>
      <c r="BT92"/>
      <c r="CI92"/>
    </row>
    <row r="93" spans="5:87" x14ac:dyDescent="0.25">
      <c r="H93" s="816"/>
      <c r="P93" s="580"/>
      <c r="AU93" s="594"/>
      <c r="BT93"/>
      <c r="CI93"/>
    </row>
    <row r="94" spans="5:87" x14ac:dyDescent="0.25">
      <c r="P94" s="580"/>
      <c r="AU94" s="594"/>
      <c r="BT94"/>
      <c r="CI94"/>
    </row>
    <row r="95" spans="5:87" x14ac:dyDescent="0.25">
      <c r="P95" s="580"/>
      <c r="AU95" s="594"/>
      <c r="BT95"/>
      <c r="CI95"/>
    </row>
    <row r="96" spans="5:87" x14ac:dyDescent="0.25">
      <c r="P96" s="580"/>
      <c r="AU96" s="594"/>
      <c r="BT96"/>
      <c r="CI96"/>
    </row>
    <row r="97" spans="16:87" x14ac:dyDescent="0.25">
      <c r="P97" s="580"/>
      <c r="AU97" s="594"/>
      <c r="BT97"/>
      <c r="CI97"/>
    </row>
    <row r="98" spans="16:87" x14ac:dyDescent="0.25">
      <c r="P98" s="580"/>
      <c r="AU98" s="594"/>
      <c r="BT98"/>
      <c r="CI98"/>
    </row>
    <row r="99" spans="16:87" x14ac:dyDescent="0.25">
      <c r="P99" s="580"/>
      <c r="AU99" s="594"/>
      <c r="BT99"/>
      <c r="CI99"/>
    </row>
    <row r="100" spans="16:87" x14ac:dyDescent="0.25">
      <c r="P100" s="580"/>
      <c r="AU100" s="594"/>
      <c r="BT100"/>
      <c r="CI100"/>
    </row>
    <row r="120" spans="7:7" x14ac:dyDescent="0.25">
      <c r="G120" s="207"/>
    </row>
  </sheetData>
  <mergeCells count="2">
    <mergeCell ref="I49:I50"/>
    <mergeCell ref="A50:A51"/>
  </mergeCells>
  <pageMargins left="0.7" right="0.7" top="0.75" bottom="0.75" header="0.3" footer="0.3"/>
  <pageSetup orientation="portrait" r:id="rId1"/>
  <ignoredErrors>
    <ignoredError sqref="FW55" formula="1"/>
  </ignoredError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80F7D-AA85-4D65-86C1-4AA5F4605FDB}">
  <dimension ref="A1:AR365"/>
  <sheetViews>
    <sheetView topLeftCell="Q97" zoomScale="85" zoomScaleNormal="85" workbookViewId="0">
      <selection activeCell="AN72" sqref="AN72"/>
    </sheetView>
  </sheetViews>
  <sheetFormatPr defaultRowHeight="15" x14ac:dyDescent="0.25"/>
  <cols>
    <col min="1" max="1" width="20.42578125" customWidth="1"/>
    <col min="2" max="2" width="11.7109375" customWidth="1"/>
    <col min="7" max="7" width="16.7109375" bestFit="1" customWidth="1"/>
    <col min="8" max="8" width="8.7109375" bestFit="1" customWidth="1"/>
    <col min="14" max="14" width="16.140625" customWidth="1"/>
    <col min="19" max="19" width="17.28515625" bestFit="1" customWidth="1"/>
    <col min="32" max="32" width="23.42578125" bestFit="1" customWidth="1"/>
    <col min="33" max="34" width="23.28515625" customWidth="1"/>
    <col min="39" max="39" width="10.28515625" customWidth="1"/>
  </cols>
  <sheetData>
    <row r="1" spans="1:14" x14ac:dyDescent="0.25">
      <c r="A1" s="4" t="s">
        <v>129</v>
      </c>
      <c r="B1" s="4"/>
      <c r="C1" s="4"/>
      <c r="D1" s="4"/>
    </row>
    <row r="2" spans="1:14" x14ac:dyDescent="0.25">
      <c r="A2" t="s">
        <v>1108</v>
      </c>
      <c r="B2" s="4"/>
      <c r="C2" s="4"/>
      <c r="D2" s="4"/>
      <c r="L2" s="4"/>
      <c r="N2" s="4"/>
    </row>
    <row r="3" spans="1:14" x14ac:dyDescent="0.25">
      <c r="A3" t="s">
        <v>1109</v>
      </c>
    </row>
    <row r="5" spans="1:14" x14ac:dyDescent="0.25">
      <c r="A5" s="4" t="s">
        <v>795</v>
      </c>
      <c r="K5" s="4"/>
    </row>
    <row r="6" spans="1:14" x14ac:dyDescent="0.25">
      <c r="A6" s="41" t="s">
        <v>152</v>
      </c>
      <c r="B6" t="s">
        <v>797</v>
      </c>
      <c r="C6" t="s">
        <v>798</v>
      </c>
      <c r="D6" t="s">
        <v>799</v>
      </c>
      <c r="E6" t="s">
        <v>804</v>
      </c>
    </row>
    <row r="7" spans="1:14" x14ac:dyDescent="0.25">
      <c r="A7" s="572" t="s">
        <v>796</v>
      </c>
      <c r="B7" s="573">
        <v>0</v>
      </c>
      <c r="C7" s="573">
        <v>0</v>
      </c>
      <c r="D7" s="573">
        <v>0</v>
      </c>
      <c r="E7" s="574">
        <v>0</v>
      </c>
    </row>
    <row r="8" spans="1:14" x14ac:dyDescent="0.25">
      <c r="A8" s="577" t="s">
        <v>800</v>
      </c>
      <c r="B8" s="595">
        <f>'Inputs-Imperial'!I67</f>
        <v>0.44496392500000004</v>
      </c>
      <c r="C8" s="595">
        <f>'Inputs-Imperial'!J67</f>
        <v>24.081365599999998</v>
      </c>
      <c r="D8" s="578">
        <v>0</v>
      </c>
      <c r="E8" s="579">
        <v>0</v>
      </c>
      <c r="G8" t="s">
        <v>855</v>
      </c>
      <c r="K8" s="4"/>
    </row>
    <row r="9" spans="1:14" x14ac:dyDescent="0.25">
      <c r="A9" s="572" t="s">
        <v>801</v>
      </c>
      <c r="B9" s="602">
        <f>'Inputs-Imperial'!I66</f>
        <v>5.0853020000000004</v>
      </c>
      <c r="C9" s="602">
        <f>'Inputs-Imperial'!J66</f>
        <v>0</v>
      </c>
      <c r="D9" s="573">
        <v>0</v>
      </c>
      <c r="E9" s="574">
        <v>0</v>
      </c>
    </row>
    <row r="10" spans="1:14" x14ac:dyDescent="0.25">
      <c r="A10" s="577" t="s">
        <v>802</v>
      </c>
      <c r="B10" s="595">
        <f>'Inputs-Imperial'!I68</f>
        <v>3.7504102250000004</v>
      </c>
      <c r="C10" s="595">
        <f>'Inputs-Imperial'!J68</f>
        <v>24.081365599999998</v>
      </c>
      <c r="D10" s="578">
        <v>0</v>
      </c>
      <c r="E10" s="579">
        <v>0</v>
      </c>
    </row>
    <row r="11" spans="1:14" x14ac:dyDescent="0.25">
      <c r="A11" s="4" t="s">
        <v>807</v>
      </c>
      <c r="N11" s="144"/>
    </row>
    <row r="12" spans="1:14" x14ac:dyDescent="0.25">
      <c r="A12" s="562" t="s">
        <v>808</v>
      </c>
      <c r="B12" s="768">
        <f>'Inputs-Imperial'!E12</f>
        <v>0.25</v>
      </c>
      <c r="C12" s="562" t="s">
        <v>803</v>
      </c>
      <c r="N12" s="144"/>
    </row>
    <row r="13" spans="1:14" x14ac:dyDescent="0.25">
      <c r="A13" s="562" t="s">
        <v>809</v>
      </c>
      <c r="B13" s="768">
        <f>'Inputs-Imperial'!E11</f>
        <v>0.18</v>
      </c>
      <c r="C13" s="562" t="s">
        <v>803</v>
      </c>
      <c r="N13" s="144"/>
    </row>
    <row r="14" spans="1:14" x14ac:dyDescent="0.25">
      <c r="A14" s="4"/>
    </row>
    <row r="34" spans="1:44" x14ac:dyDescent="0.25">
      <c r="A34" s="562" t="s">
        <v>811</v>
      </c>
      <c r="B34" s="777">
        <f>'REF - ASWING STRUCT-Imperial'!F41</f>
        <v>10</v>
      </c>
    </row>
    <row r="35" spans="1:44" x14ac:dyDescent="0.25">
      <c r="A35" s="562" t="s">
        <v>812</v>
      </c>
      <c r="B35" s="777">
        <f>'REF - ASWING STRUCT-Imperial'!F42</f>
        <v>0.01</v>
      </c>
    </row>
    <row r="36" spans="1:44" x14ac:dyDescent="0.25">
      <c r="A36" s="562" t="s">
        <v>703</v>
      </c>
      <c r="B36" s="777">
        <f>'REF - ASWING STRUCT-Imperial'!F43</f>
        <v>2E-3</v>
      </c>
      <c r="C36" t="s">
        <v>857</v>
      </c>
    </row>
    <row r="37" spans="1:44" x14ac:dyDescent="0.25">
      <c r="A37" s="562" t="s">
        <v>706</v>
      </c>
      <c r="B37" s="777">
        <f>'REF - ASWING STRUCT-Imperial'!F44</f>
        <v>2E-3</v>
      </c>
      <c r="C37" t="s">
        <v>856</v>
      </c>
    </row>
    <row r="42" spans="1:44" ht="15.75" thickBot="1" x14ac:dyDescent="0.3"/>
    <row r="43" spans="1:44" x14ac:dyDescent="0.25">
      <c r="S43" s="4" t="s">
        <v>805</v>
      </c>
      <c r="AF43" s="4" t="s">
        <v>806</v>
      </c>
      <c r="AG43" s="4" t="s">
        <v>810</v>
      </c>
      <c r="AH43" s="4"/>
      <c r="AJ43" s="4"/>
      <c r="AK43" s="4"/>
      <c r="AM43" s="771" t="s">
        <v>1133</v>
      </c>
      <c r="AN43" s="490"/>
      <c r="AO43" s="772"/>
      <c r="AP43" s="490"/>
      <c r="AQ43" s="490"/>
      <c r="AR43" s="773"/>
    </row>
    <row r="44" spans="1:44" ht="15.75" thickBot="1" x14ac:dyDescent="0.3">
      <c r="A44" s="562" t="s">
        <v>176</v>
      </c>
      <c r="B44" s="141" t="s">
        <v>616</v>
      </c>
      <c r="C44" s="562" t="s">
        <v>646</v>
      </c>
      <c r="D44" s="562" t="s">
        <v>648</v>
      </c>
      <c r="E44" s="562" t="s">
        <v>650</v>
      </c>
      <c r="F44" s="601" t="s">
        <v>652</v>
      </c>
      <c r="G44" s="562" t="s">
        <v>655</v>
      </c>
      <c r="H44" s="562" t="s">
        <v>659</v>
      </c>
      <c r="I44" s="562" t="s">
        <v>661</v>
      </c>
      <c r="J44" s="562" t="s">
        <v>663</v>
      </c>
      <c r="K44" s="562" t="s">
        <v>665</v>
      </c>
      <c r="L44" s="562" t="s">
        <v>667</v>
      </c>
      <c r="M44" s="562" t="s">
        <v>608</v>
      </c>
      <c r="N44" s="562" t="s">
        <v>670</v>
      </c>
      <c r="O44" s="562" t="s">
        <v>672</v>
      </c>
      <c r="P44" s="562" t="s">
        <v>674</v>
      </c>
      <c r="Q44" s="562" t="s">
        <v>676</v>
      </c>
      <c r="R44" s="562" t="s">
        <v>678</v>
      </c>
      <c r="S44" s="562" t="s">
        <v>681</v>
      </c>
      <c r="T44" s="562" t="s">
        <v>683</v>
      </c>
      <c r="U44" s="562" t="s">
        <v>685</v>
      </c>
      <c r="V44" s="562" t="s">
        <v>687</v>
      </c>
      <c r="W44" s="562" t="s">
        <v>689</v>
      </c>
      <c r="X44" s="562" t="s">
        <v>691</v>
      </c>
      <c r="Y44" s="562" t="s">
        <v>693</v>
      </c>
      <c r="Z44" s="562" t="s">
        <v>695</v>
      </c>
      <c r="AA44" s="562" t="s">
        <v>697</v>
      </c>
      <c r="AB44" s="562" t="s">
        <v>699</v>
      </c>
      <c r="AC44" s="562" t="s">
        <v>701</v>
      </c>
      <c r="AD44" s="562" t="s">
        <v>703</v>
      </c>
      <c r="AE44" s="562" t="s">
        <v>706</v>
      </c>
      <c r="AF44" s="562" t="s">
        <v>708</v>
      </c>
      <c r="AG44" s="562" t="s">
        <v>710</v>
      </c>
      <c r="AH44" s="562" t="s">
        <v>712</v>
      </c>
      <c r="AI44" s="562" t="s">
        <v>716</v>
      </c>
      <c r="AJ44" s="562" t="s">
        <v>718</v>
      </c>
      <c r="AK44" s="562" t="s">
        <v>720</v>
      </c>
      <c r="AL44" s="770" t="s">
        <v>722</v>
      </c>
      <c r="AM44" s="774" t="s">
        <v>725</v>
      </c>
      <c r="AN44" s="775" t="s">
        <v>727</v>
      </c>
      <c r="AO44" s="775" t="s">
        <v>729</v>
      </c>
      <c r="AP44" s="775" t="s">
        <v>731</v>
      </c>
      <c r="AQ44" s="775" t="s">
        <v>733</v>
      </c>
      <c r="AR44" s="776" t="s">
        <v>735</v>
      </c>
    </row>
    <row r="45" spans="1:44" x14ac:dyDescent="0.25">
      <c r="A45">
        <f>Loads!A20</f>
        <v>0</v>
      </c>
      <c r="B45">
        <v>0</v>
      </c>
      <c r="C45">
        <f t="shared" ref="C45:C76" si="0">B45/$B$145*($B$8-$B$7)</f>
        <v>0</v>
      </c>
      <c r="D45">
        <f>Loads!B20</f>
        <v>0</v>
      </c>
      <c r="E45">
        <f t="shared" ref="E45:E76" si="1">D45/$D$145*($D$8-$D$7)</f>
        <v>0</v>
      </c>
      <c r="F45">
        <f t="shared" ref="F45:F76" si="2">($E$8-$E$7)*A45/$A$145</f>
        <v>0</v>
      </c>
      <c r="G45" s="560">
        <f>Stiffness!AQ44/144</f>
        <v>4958462.9313949831</v>
      </c>
      <c r="H45" s="560">
        <f>Stiffness!AV44/144</f>
        <v>10858242.996662872</v>
      </c>
      <c r="I45">
        <v>0</v>
      </c>
      <c r="J45">
        <v>0</v>
      </c>
      <c r="K45">
        <v>0</v>
      </c>
      <c r="L45" s="560">
        <f>Stiffness!BC44/144</f>
        <v>63157935.28988985</v>
      </c>
      <c r="M45">
        <v>0</v>
      </c>
      <c r="N45">
        <v>0</v>
      </c>
      <c r="O45">
        <v>0</v>
      </c>
      <c r="P45">
        <v>0</v>
      </c>
      <c r="Q45">
        <v>0</v>
      </c>
      <c r="R45">
        <f>R46*2-R47</f>
        <v>22.376096985788866</v>
      </c>
      <c r="S45">
        <f ca="1">S46*2-S47</f>
        <v>0.85828718620853528</v>
      </c>
      <c r="T45" s="2">
        <v>0</v>
      </c>
      <c r="U45">
        <v>0</v>
      </c>
      <c r="V45">
        <v>0</v>
      </c>
      <c r="W45">
        <v>0</v>
      </c>
      <c r="X45">
        <v>0</v>
      </c>
      <c r="Y45">
        <v>0</v>
      </c>
      <c r="Z45">
        <f ca="1">Stiffness!CV44-AL45*AM45</f>
        <v>0.45322402370813686</v>
      </c>
      <c r="AA45">
        <v>0</v>
      </c>
      <c r="AB45">
        <v>0</v>
      </c>
      <c r="AC45" s="207">
        <v>0</v>
      </c>
      <c r="AD45">
        <f t="shared" ref="AD45:AD76" si="3">$B$36</f>
        <v>2E-3</v>
      </c>
      <c r="AE45">
        <f t="shared" ref="AE45:AE76" si="4">$B$37</f>
        <v>2E-3</v>
      </c>
      <c r="AF45">
        <f t="shared" ref="AF45:AF76" ca="1" si="5">AL45*$B$12-AL45*AM45</f>
        <v>0</v>
      </c>
      <c r="AG45">
        <f t="shared" ref="AG45:AG76" si="6">AL45*$B$13/2</f>
        <v>0.45767718000000002</v>
      </c>
      <c r="AH45" s="565">
        <f>Sizing!AD60*(Sizing!CO60+Sizing!CP60) / (12^3)</f>
        <v>8.0962646411440881E-3</v>
      </c>
      <c r="AI45">
        <f>$C$24</f>
        <v>0</v>
      </c>
      <c r="AJ45">
        <f t="shared" ref="AJ45:AJ76" si="7">$B$18</f>
        <v>0</v>
      </c>
      <c r="AK45">
        <f t="shared" ref="AK45:AK76" si="8">$B$19</f>
        <v>0</v>
      </c>
      <c r="AL45" s="207">
        <f>Loads!C20</f>
        <v>5.0853020000000004</v>
      </c>
      <c r="AM45">
        <f ca="1">OFFSET('ASWING AERO'!$F$24,((ROW('ASWING AERO'!$A24)-ROW('ASWING AERO'!$A$24))*16/100),0)</f>
        <v>0.25</v>
      </c>
      <c r="AN45" s="207">
        <f ca="1">OFFSET('ASWING AERO'!$J$24,((ROW('ASWING AERO'!$A24)-ROW('ASWING AERO'!$A$24))*16/100),0)</f>
        <v>7.85</v>
      </c>
      <c r="AO45" s="207">
        <f ca="1">OFFSET('ASWING AERO'!$N$24,((ROW('ASWING AERO'!$A24)-ROW('ASWING AERO'!$A$24))*16/100),0)</f>
        <v>-0.15</v>
      </c>
      <c r="AP45" s="207">
        <f ca="1">OFFSET('ASWING AERO'!$O$24,((ROW('ASWING AERO'!$A24)-ROW('ASWING AERO'!$A$24))*16/100),0)</f>
        <v>1.85</v>
      </c>
      <c r="AQ45" s="207">
        <f ca="1">OFFSET('ASWING AERO'!$P$24,((ROW('ASWING AERO'!$A24)-ROW('ASWING AERO'!$A$24))*16/100),0)</f>
        <v>-1.55</v>
      </c>
      <c r="AR45" s="8">
        <f ca="1">OFFSET('ASWING AERO'!$M$24,((ROW('ASWING AERO'!$A24)-ROW('ASWING AERO'!$A$24))*16/100),0)</f>
        <v>5.9690260418206069</v>
      </c>
    </row>
    <row r="46" spans="1:44" x14ac:dyDescent="0.25">
      <c r="A46">
        <f>Loads!A21</f>
        <v>1</v>
      </c>
      <c r="B46">
        <v>1</v>
      </c>
      <c r="C46">
        <f t="shared" si="0"/>
        <v>4.4496392500000008E-3</v>
      </c>
      <c r="D46">
        <f>Loads!B21</f>
        <v>0.24081365599999999</v>
      </c>
      <c r="E46">
        <f t="shared" si="1"/>
        <v>0</v>
      </c>
      <c r="F46">
        <f t="shared" si="2"/>
        <v>0</v>
      </c>
      <c r="G46" s="560">
        <f>Stiffness!AQ45/144</f>
        <v>4882446.1658933731</v>
      </c>
      <c r="H46" s="560">
        <f>Stiffness!AV45/144</f>
        <v>10782368.309162939</v>
      </c>
      <c r="I46">
        <v>0</v>
      </c>
      <c r="J46">
        <v>0</v>
      </c>
      <c r="K46">
        <v>0</v>
      </c>
      <c r="L46" s="560">
        <f>Stiffness!BC45/144</f>
        <v>62497095.315571427</v>
      </c>
      <c r="M46">
        <v>0</v>
      </c>
      <c r="N46">
        <v>0</v>
      </c>
      <c r="O46">
        <v>0</v>
      </c>
      <c r="P46">
        <v>0</v>
      </c>
      <c r="Q46">
        <v>0</v>
      </c>
      <c r="R46">
        <f>'Weight '!BT47*'Weight '!$E$36/Stiffness!D45</f>
        <v>22.317597076043754</v>
      </c>
      <c r="S46">
        <f ca="1">'Weight '!BU47-$AL45*$AM45</f>
        <v>0.85452722743849119</v>
      </c>
      <c r="T46" s="2">
        <v>0</v>
      </c>
      <c r="U46">
        <v>0</v>
      </c>
      <c r="V46">
        <v>0</v>
      </c>
      <c r="W46">
        <v>0</v>
      </c>
      <c r="X46">
        <v>0</v>
      </c>
      <c r="Y46">
        <v>0</v>
      </c>
      <c r="Z46">
        <f ca="1">Stiffness!CV45-AL46*AM46</f>
        <v>0.45169492034501602</v>
      </c>
      <c r="AA46">
        <v>0</v>
      </c>
      <c r="AB46">
        <v>0</v>
      </c>
      <c r="AC46" s="207">
        <v>0</v>
      </c>
      <c r="AD46">
        <f t="shared" si="3"/>
        <v>2E-3</v>
      </c>
      <c r="AE46">
        <f t="shared" si="4"/>
        <v>2E-3</v>
      </c>
      <c r="AF46">
        <f t="shared" ca="1" si="5"/>
        <v>0</v>
      </c>
      <c r="AG46">
        <f t="shared" si="6"/>
        <v>0.45607530987000006</v>
      </c>
      <c r="AH46" s="565">
        <f>Sizing!AD61*(Sizing!CO61+Sizing!CP61) / (12^3)</f>
        <v>8.0396899678979328E-3</v>
      </c>
      <c r="AI46">
        <f t="shared" ref="AI46:AI109" si="9">$C$24</f>
        <v>0</v>
      </c>
      <c r="AJ46">
        <f t="shared" si="7"/>
        <v>0</v>
      </c>
      <c r="AK46">
        <f t="shared" si="8"/>
        <v>0</v>
      </c>
      <c r="AL46" s="207">
        <f>Loads!C21</f>
        <v>5.0675034430000006</v>
      </c>
      <c r="AM46">
        <f ca="1">OFFSET('ASWING AERO'!$F$24,((ROW('ASWING AERO'!$A25)-ROW('ASWING AERO'!$A$24))*16/100),0)</f>
        <v>0.25</v>
      </c>
      <c r="AN46" s="207">
        <f ca="1">OFFSET('ASWING AERO'!$J$24,((ROW('ASWING AERO'!$A25)-ROW('ASWING AERO'!$A$24))*16/100),0)</f>
        <v>7.85</v>
      </c>
      <c r="AO46" s="207">
        <f ca="1">OFFSET('ASWING AERO'!$N$24,((ROW('ASWING AERO'!$A25)-ROW('ASWING AERO'!$A$24))*16/100),0)</f>
        <v>-0.15</v>
      </c>
      <c r="AP46" s="207">
        <f ca="1">OFFSET('ASWING AERO'!$O$24,((ROW('ASWING AERO'!$A25)-ROW('ASWING AERO'!$A$24))*16/100),0)</f>
        <v>1.85</v>
      </c>
      <c r="AQ46" s="207">
        <f ca="1">OFFSET('ASWING AERO'!$P$24,((ROW('ASWING AERO'!$A25)-ROW('ASWING AERO'!$A$24))*16/100),0)</f>
        <v>-1.55</v>
      </c>
      <c r="AR46" s="8">
        <f ca="1">OFFSET('ASWING AERO'!$M$24,((ROW('ASWING AERO'!$A25)-ROW('ASWING AERO'!$A$24))*16/100),0)</f>
        <v>5.9690260418206069</v>
      </c>
    </row>
    <row r="47" spans="1:44" x14ac:dyDescent="0.25">
      <c r="A47">
        <f>Loads!A22</f>
        <v>2</v>
      </c>
      <c r="B47">
        <v>2</v>
      </c>
      <c r="C47">
        <f t="shared" si="0"/>
        <v>8.8992785000000015E-3</v>
      </c>
      <c r="D47">
        <f>Loads!B22</f>
        <v>0.48162731199999997</v>
      </c>
      <c r="E47">
        <f t="shared" si="1"/>
        <v>0</v>
      </c>
      <c r="F47">
        <f t="shared" si="2"/>
        <v>0</v>
      </c>
      <c r="G47" s="560">
        <f>Stiffness!AQ46/144</f>
        <v>4807016.6057792688</v>
      </c>
      <c r="H47" s="560">
        <f>Stiffness!AV46/144</f>
        <v>10706759.648616429</v>
      </c>
      <c r="I47">
        <v>0</v>
      </c>
      <c r="J47">
        <v>0</v>
      </c>
      <c r="K47">
        <v>0</v>
      </c>
      <c r="L47" s="560">
        <f>Stiffness!BC46/144</f>
        <v>61840881.202117972</v>
      </c>
      <c r="M47">
        <v>0</v>
      </c>
      <c r="N47">
        <v>0</v>
      </c>
      <c r="O47">
        <v>0</v>
      </c>
      <c r="P47">
        <v>0</v>
      </c>
      <c r="Q47">
        <v>0</v>
      </c>
      <c r="R47">
        <f>'Weight '!BT48*'Weight '!$E$36/Stiffness!D46</f>
        <v>22.259097166298641</v>
      </c>
      <c r="S47">
        <f ca="1">'Weight '!BU48-$AL46*$AM46</f>
        <v>0.8507672686684471</v>
      </c>
      <c r="T47" s="2">
        <v>0</v>
      </c>
      <c r="U47">
        <v>0</v>
      </c>
      <c r="V47">
        <v>0</v>
      </c>
      <c r="W47">
        <v>0</v>
      </c>
      <c r="X47">
        <v>0</v>
      </c>
      <c r="Y47">
        <v>0</v>
      </c>
      <c r="Z47">
        <f ca="1">Stiffness!CV46-AL47*AM47</f>
        <v>0.45016157528379219</v>
      </c>
      <c r="AA47">
        <v>0</v>
      </c>
      <c r="AB47">
        <v>0</v>
      </c>
      <c r="AC47" s="207">
        <v>0</v>
      </c>
      <c r="AD47">
        <f t="shared" si="3"/>
        <v>2E-3</v>
      </c>
      <c r="AE47">
        <f t="shared" si="4"/>
        <v>2E-3</v>
      </c>
      <c r="AF47">
        <f t="shared" ca="1" si="5"/>
        <v>0</v>
      </c>
      <c r="AG47">
        <f t="shared" si="6"/>
        <v>0.45447343974000004</v>
      </c>
      <c r="AH47" s="565">
        <f>Sizing!AD62*(Sizing!CO62+Sizing!CP62) / (12^3)</f>
        <v>7.9833136531354855E-3</v>
      </c>
      <c r="AI47">
        <f t="shared" si="9"/>
        <v>0</v>
      </c>
      <c r="AJ47">
        <f t="shared" si="7"/>
        <v>0</v>
      </c>
      <c r="AK47">
        <f t="shared" si="8"/>
        <v>0</v>
      </c>
      <c r="AL47" s="207">
        <f>Loads!C22</f>
        <v>5.0497048860000007</v>
      </c>
      <c r="AM47">
        <f ca="1">OFFSET('ASWING AERO'!$F$24,((ROW('ASWING AERO'!$A26)-ROW('ASWING AERO'!$A$24))*16/100),0)</f>
        <v>0.25</v>
      </c>
      <c r="AN47" s="207">
        <f ca="1">OFFSET('ASWING AERO'!$J$24,((ROW('ASWING AERO'!$A26)-ROW('ASWING AERO'!$A$24))*16/100),0)</f>
        <v>7.85</v>
      </c>
      <c r="AO47" s="207">
        <f ca="1">OFFSET('ASWING AERO'!$N$24,((ROW('ASWING AERO'!$A26)-ROW('ASWING AERO'!$A$24))*16/100),0)</f>
        <v>-0.15</v>
      </c>
      <c r="AP47" s="207">
        <f ca="1">OFFSET('ASWING AERO'!$O$24,((ROW('ASWING AERO'!$A26)-ROW('ASWING AERO'!$A$24))*16/100),0)</f>
        <v>1.85</v>
      </c>
      <c r="AQ47" s="207">
        <f ca="1">OFFSET('ASWING AERO'!$P$24,((ROW('ASWING AERO'!$A26)-ROW('ASWING AERO'!$A$24))*16/100),0)</f>
        <v>-1.55</v>
      </c>
      <c r="AR47" s="8">
        <f ca="1">OFFSET('ASWING AERO'!$M$24,((ROW('ASWING AERO'!$A26)-ROW('ASWING AERO'!$A$24))*16/100),0)</f>
        <v>5.9690260418206069</v>
      </c>
    </row>
    <row r="48" spans="1:44" x14ac:dyDescent="0.25">
      <c r="A48">
        <f>Loads!A23</f>
        <v>3</v>
      </c>
      <c r="B48">
        <v>3</v>
      </c>
      <c r="C48">
        <f t="shared" si="0"/>
        <v>1.3348917750000001E-2</v>
      </c>
      <c r="D48">
        <f>Loads!B23</f>
        <v>0.72244096799999991</v>
      </c>
      <c r="E48">
        <f t="shared" si="1"/>
        <v>0</v>
      </c>
      <c r="F48">
        <f t="shared" si="2"/>
        <v>0</v>
      </c>
      <c r="G48" s="560">
        <f>Stiffness!AQ47/144</f>
        <v>4732174.2510526674</v>
      </c>
      <c r="H48" s="560">
        <f>Stiffness!AV47/144</f>
        <v>10631417.01502333</v>
      </c>
      <c r="I48">
        <v>0</v>
      </c>
      <c r="J48">
        <v>0</v>
      </c>
      <c r="K48">
        <v>0</v>
      </c>
      <c r="L48" s="560">
        <f>Stiffness!BC47/144</f>
        <v>61189276.702150613</v>
      </c>
      <c r="M48">
        <v>0</v>
      </c>
      <c r="N48">
        <v>0</v>
      </c>
      <c r="O48">
        <v>0</v>
      </c>
      <c r="P48">
        <v>0</v>
      </c>
      <c r="Q48">
        <v>0</v>
      </c>
      <c r="R48">
        <f>'Weight '!BT49*'Weight '!$E$36/Stiffness!D47</f>
        <v>22.200597256553529</v>
      </c>
      <c r="S48">
        <f ca="1">'Weight '!BU49-$AL47*$AM47</f>
        <v>0.8470086456287893</v>
      </c>
      <c r="T48" s="2">
        <v>0</v>
      </c>
      <c r="U48">
        <v>0</v>
      </c>
      <c r="V48">
        <v>0</v>
      </c>
      <c r="W48">
        <v>0</v>
      </c>
      <c r="X48">
        <v>0</v>
      </c>
      <c r="Y48">
        <v>0</v>
      </c>
      <c r="Z48">
        <f ca="1">Stiffness!CV47-AL48*AM48</f>
        <v>0.44862420634022238</v>
      </c>
      <c r="AA48">
        <v>0</v>
      </c>
      <c r="AB48">
        <v>0</v>
      </c>
      <c r="AC48" s="207">
        <v>0</v>
      </c>
      <c r="AD48">
        <f t="shared" si="3"/>
        <v>2E-3</v>
      </c>
      <c r="AE48">
        <f t="shared" si="4"/>
        <v>2E-3</v>
      </c>
      <c r="AF48">
        <f t="shared" ca="1" si="5"/>
        <v>0</v>
      </c>
      <c r="AG48">
        <f t="shared" si="6"/>
        <v>0.45287156960999997</v>
      </c>
      <c r="AH48" s="565">
        <f>Sizing!AD63*(Sizing!CO63+Sizing!CP63) / (12^3)</f>
        <v>7.9271356968567477E-3</v>
      </c>
      <c r="AI48">
        <f t="shared" si="9"/>
        <v>0</v>
      </c>
      <c r="AJ48">
        <f t="shared" si="7"/>
        <v>0</v>
      </c>
      <c r="AK48">
        <f t="shared" si="8"/>
        <v>0</v>
      </c>
      <c r="AL48" s="207">
        <f>Loads!C23</f>
        <v>5.0319063289999999</v>
      </c>
      <c r="AM48">
        <f ca="1">OFFSET('ASWING AERO'!$F$24,((ROW('ASWING AERO'!$A27)-ROW('ASWING AERO'!$A$24))*16/100),0)</f>
        <v>0.25</v>
      </c>
      <c r="AN48" s="207">
        <f ca="1">OFFSET('ASWING AERO'!$J$24,((ROW('ASWING AERO'!$A27)-ROW('ASWING AERO'!$A$24))*16/100),0)</f>
        <v>7.85</v>
      </c>
      <c r="AO48" s="207">
        <f ca="1">OFFSET('ASWING AERO'!$N$24,((ROW('ASWING AERO'!$A27)-ROW('ASWING AERO'!$A$24))*16/100),0)</f>
        <v>-0.15</v>
      </c>
      <c r="AP48" s="207">
        <f ca="1">OFFSET('ASWING AERO'!$O$24,((ROW('ASWING AERO'!$A27)-ROW('ASWING AERO'!$A$24))*16/100),0)</f>
        <v>1.85</v>
      </c>
      <c r="AQ48" s="207">
        <f ca="1">OFFSET('ASWING AERO'!$P$24,((ROW('ASWING AERO'!$A27)-ROW('ASWING AERO'!$A$24))*16/100),0)</f>
        <v>-1.55</v>
      </c>
      <c r="AR48" s="8">
        <f ca="1">OFFSET('ASWING AERO'!$M$24,((ROW('ASWING AERO'!$A27)-ROW('ASWING AERO'!$A$24))*16/100),0)</f>
        <v>5.9690260418206069</v>
      </c>
    </row>
    <row r="49" spans="1:44" x14ac:dyDescent="0.25">
      <c r="A49">
        <f>Loads!A24</f>
        <v>4</v>
      </c>
      <c r="B49">
        <v>4</v>
      </c>
      <c r="C49">
        <f t="shared" si="0"/>
        <v>1.7798557000000003E-2</v>
      </c>
      <c r="D49">
        <f>Loads!B24</f>
        <v>0.96325462399999995</v>
      </c>
      <c r="E49">
        <f t="shared" si="1"/>
        <v>0</v>
      </c>
      <c r="F49">
        <f t="shared" si="2"/>
        <v>0</v>
      </c>
      <c r="G49" s="560">
        <f>Stiffness!AQ48/144</f>
        <v>4657919.1017135717</v>
      </c>
      <c r="H49" s="560">
        <f>Stiffness!AV48/144</f>
        <v>10556340.40838366</v>
      </c>
      <c r="I49">
        <v>0</v>
      </c>
      <c r="J49">
        <v>0</v>
      </c>
      <c r="K49">
        <v>0</v>
      </c>
      <c r="L49" s="560">
        <f>Stiffness!BC48/144</f>
        <v>60542265.568290457</v>
      </c>
      <c r="M49">
        <v>0</v>
      </c>
      <c r="N49">
        <v>0</v>
      </c>
      <c r="O49">
        <v>0</v>
      </c>
      <c r="P49">
        <v>0</v>
      </c>
      <c r="Q49">
        <v>0</v>
      </c>
      <c r="R49">
        <f>'Weight '!BT50*'Weight '!$E$36/Stiffness!D48</f>
        <v>22.142097346808416</v>
      </c>
      <c r="S49">
        <f ca="1">'Weight '!BU50-$AL48*$AM48</f>
        <v>0.84325136890660435</v>
      </c>
      <c r="T49" s="2">
        <v>0</v>
      </c>
      <c r="U49">
        <v>0</v>
      </c>
      <c r="V49">
        <v>0</v>
      </c>
      <c r="W49">
        <v>0</v>
      </c>
      <c r="X49">
        <v>0</v>
      </c>
      <c r="Y49">
        <v>0</v>
      </c>
      <c r="Z49">
        <f ca="1">Stiffness!CV48-AL49*AM49</f>
        <v>0.4470830229264493</v>
      </c>
      <c r="AA49">
        <v>0</v>
      </c>
      <c r="AB49">
        <v>0</v>
      </c>
      <c r="AC49" s="207">
        <v>0</v>
      </c>
      <c r="AD49">
        <f t="shared" si="3"/>
        <v>2E-3</v>
      </c>
      <c r="AE49">
        <f t="shared" si="4"/>
        <v>2E-3</v>
      </c>
      <c r="AF49">
        <f t="shared" ca="1" si="5"/>
        <v>0</v>
      </c>
      <c r="AG49">
        <f t="shared" si="6"/>
        <v>0.45126969948000001</v>
      </c>
      <c r="AH49" s="565">
        <f>Sizing!AD64*(Sizing!CO64+Sizing!CP64) / (12^3)</f>
        <v>7.8711560990617161E-3</v>
      </c>
      <c r="AI49">
        <f t="shared" si="9"/>
        <v>0</v>
      </c>
      <c r="AJ49">
        <f t="shared" si="7"/>
        <v>0</v>
      </c>
      <c r="AK49">
        <f t="shared" si="8"/>
        <v>0</v>
      </c>
      <c r="AL49" s="207">
        <f>Loads!C24</f>
        <v>5.014107772</v>
      </c>
      <c r="AM49">
        <f ca="1">OFFSET('ASWING AERO'!$F$24,((ROW('ASWING AERO'!$A28)-ROW('ASWING AERO'!$A$24))*16/100),0)</f>
        <v>0.25</v>
      </c>
      <c r="AN49" s="207">
        <f ca="1">OFFSET('ASWING AERO'!$J$24,((ROW('ASWING AERO'!$A28)-ROW('ASWING AERO'!$A$24))*16/100),0)</f>
        <v>7.85</v>
      </c>
      <c r="AO49" s="207">
        <f ca="1">OFFSET('ASWING AERO'!$N$24,((ROW('ASWING AERO'!$A28)-ROW('ASWING AERO'!$A$24))*16/100),0)</f>
        <v>-0.15</v>
      </c>
      <c r="AP49" s="207">
        <f ca="1">OFFSET('ASWING AERO'!$O$24,((ROW('ASWING AERO'!$A28)-ROW('ASWING AERO'!$A$24))*16/100),0)</f>
        <v>1.85</v>
      </c>
      <c r="AQ49" s="207">
        <f ca="1">OFFSET('ASWING AERO'!$P$24,((ROW('ASWING AERO'!$A28)-ROW('ASWING AERO'!$A$24))*16/100),0)</f>
        <v>-1.55</v>
      </c>
      <c r="AR49" s="8">
        <f ca="1">OFFSET('ASWING AERO'!$M$24,((ROW('ASWING AERO'!$A28)-ROW('ASWING AERO'!$A$24))*16/100),0)</f>
        <v>5.9690260418206069</v>
      </c>
    </row>
    <row r="50" spans="1:44" x14ac:dyDescent="0.25">
      <c r="A50">
        <f>Loads!A25</f>
        <v>5</v>
      </c>
      <c r="B50">
        <v>5</v>
      </c>
      <c r="C50">
        <f t="shared" si="0"/>
        <v>2.2248196250000005E-2</v>
      </c>
      <c r="D50">
        <f>Loads!B25</f>
        <v>1.20406828</v>
      </c>
      <c r="E50">
        <f t="shared" si="1"/>
        <v>0</v>
      </c>
      <c r="F50">
        <f t="shared" si="2"/>
        <v>0</v>
      </c>
      <c r="G50" s="560">
        <f>Stiffness!AQ49/144</f>
        <v>4584251.1577619798</v>
      </c>
      <c r="H50" s="560">
        <f>Stiffness!AV49/144</f>
        <v>10481529.828697396</v>
      </c>
      <c r="I50">
        <v>0</v>
      </c>
      <c r="J50">
        <v>0</v>
      </c>
      <c r="K50">
        <v>0</v>
      </c>
      <c r="L50" s="560">
        <f>Stiffness!BC49/144</f>
        <v>59899831.553158745</v>
      </c>
      <c r="M50">
        <v>0</v>
      </c>
      <c r="N50">
        <v>0</v>
      </c>
      <c r="O50">
        <v>0</v>
      </c>
      <c r="P50">
        <v>0</v>
      </c>
      <c r="Q50">
        <v>0</v>
      </c>
      <c r="R50">
        <f>'Weight '!BT51*'Weight '!$E$36/Stiffness!D49</f>
        <v>22.083597437063304</v>
      </c>
      <c r="S50">
        <f ca="1">'Weight '!BU51-$AL49*$AM49</f>
        <v>0.83949544920116215</v>
      </c>
      <c r="T50" s="2">
        <v>0</v>
      </c>
      <c r="U50">
        <v>0</v>
      </c>
      <c r="V50">
        <v>0</v>
      </c>
      <c r="W50">
        <v>0</v>
      </c>
      <c r="X50">
        <v>0</v>
      </c>
      <c r="Y50">
        <v>0</v>
      </c>
      <c r="Z50">
        <f ca="1">Stiffness!CV49-AL50*AM50</f>
        <v>0.4455382262712595</v>
      </c>
      <c r="AA50">
        <v>0</v>
      </c>
      <c r="AB50">
        <v>0</v>
      </c>
      <c r="AC50" s="207">
        <v>0</v>
      </c>
      <c r="AD50">
        <f t="shared" si="3"/>
        <v>2E-3</v>
      </c>
      <c r="AE50">
        <f t="shared" si="4"/>
        <v>2E-3</v>
      </c>
      <c r="AF50">
        <f t="shared" ca="1" si="5"/>
        <v>0</v>
      </c>
      <c r="AG50">
        <f t="shared" si="6"/>
        <v>0.44966782934999999</v>
      </c>
      <c r="AH50" s="565">
        <f>Sizing!AD65*(Sizing!CO65+Sizing!CP65) / (12^3)</f>
        <v>7.8153748597503923E-3</v>
      </c>
      <c r="AI50">
        <f t="shared" si="9"/>
        <v>0</v>
      </c>
      <c r="AJ50">
        <f t="shared" si="7"/>
        <v>0</v>
      </c>
      <c r="AK50">
        <f t="shared" si="8"/>
        <v>0</v>
      </c>
      <c r="AL50" s="207">
        <f>Loads!C25</f>
        <v>4.9963092150000001</v>
      </c>
      <c r="AM50">
        <f ca="1">OFFSET('ASWING AERO'!$F$24,((ROW('ASWING AERO'!$A29)-ROW('ASWING AERO'!$A$24))*16/100),0)</f>
        <v>0.25</v>
      </c>
      <c r="AN50" s="207">
        <f ca="1">OFFSET('ASWING AERO'!$J$24,((ROW('ASWING AERO'!$A29)-ROW('ASWING AERO'!$A$24))*16/100),0)</f>
        <v>7.85</v>
      </c>
      <c r="AO50" s="207">
        <f ca="1">OFFSET('ASWING AERO'!$N$24,((ROW('ASWING AERO'!$A29)-ROW('ASWING AERO'!$A$24))*16/100),0)</f>
        <v>-0.15</v>
      </c>
      <c r="AP50" s="207">
        <f ca="1">OFFSET('ASWING AERO'!$O$24,((ROW('ASWING AERO'!$A29)-ROW('ASWING AERO'!$A$24))*16/100),0)</f>
        <v>1.85</v>
      </c>
      <c r="AQ50" s="207">
        <f ca="1">OFFSET('ASWING AERO'!$P$24,((ROW('ASWING AERO'!$A29)-ROW('ASWING AERO'!$A$24))*16/100),0)</f>
        <v>-1.55</v>
      </c>
      <c r="AR50" s="8">
        <f ca="1">OFFSET('ASWING AERO'!$M$24,((ROW('ASWING AERO'!$A29)-ROW('ASWING AERO'!$A$24))*16/100),0)</f>
        <v>5.9690260418206069</v>
      </c>
    </row>
    <row r="51" spans="1:44" x14ac:dyDescent="0.25">
      <c r="A51">
        <f>Loads!A26</f>
        <v>6</v>
      </c>
      <c r="B51">
        <v>6</v>
      </c>
      <c r="C51">
        <f t="shared" si="0"/>
        <v>2.6697835500000003E-2</v>
      </c>
      <c r="D51">
        <f>Loads!B26</f>
        <v>1.4448819359999998</v>
      </c>
      <c r="E51">
        <f t="shared" si="1"/>
        <v>0</v>
      </c>
      <c r="F51">
        <f t="shared" si="2"/>
        <v>0</v>
      </c>
      <c r="G51" s="560">
        <f>Stiffness!AQ50/144</f>
        <v>4511170.4191978918</v>
      </c>
      <c r="H51" s="560">
        <f>Stiffness!AV50/144</f>
        <v>10406985.275964558</v>
      </c>
      <c r="I51">
        <v>0</v>
      </c>
      <c r="J51">
        <v>0</v>
      </c>
      <c r="K51">
        <v>0</v>
      </c>
      <c r="L51" s="560">
        <f>Stiffness!BC50/144</f>
        <v>59261958.409376577</v>
      </c>
      <c r="M51">
        <v>0</v>
      </c>
      <c r="N51">
        <v>0</v>
      </c>
      <c r="O51">
        <v>0</v>
      </c>
      <c r="P51">
        <v>0</v>
      </c>
      <c r="Q51">
        <v>0</v>
      </c>
      <c r="R51">
        <f>'Weight '!BT52*'Weight '!$E$36/Stiffness!D50</f>
        <v>22.025097527318195</v>
      </c>
      <c r="S51">
        <f ca="1">'Weight '!BU52-$AL50*$AM50</f>
        <v>0.83574089732540324</v>
      </c>
      <c r="T51" s="2">
        <v>0</v>
      </c>
      <c r="U51">
        <v>0</v>
      </c>
      <c r="V51">
        <v>0</v>
      </c>
      <c r="W51">
        <v>0</v>
      </c>
      <c r="X51">
        <v>0</v>
      </c>
      <c r="Y51">
        <v>0</v>
      </c>
      <c r="Z51">
        <f ca="1">Stiffness!CV50-AL51*AM51</f>
        <v>0.44399000963704705</v>
      </c>
      <c r="AA51">
        <v>0</v>
      </c>
      <c r="AB51">
        <v>0</v>
      </c>
      <c r="AC51" s="207">
        <v>0</v>
      </c>
      <c r="AD51">
        <f t="shared" si="3"/>
        <v>2E-3</v>
      </c>
      <c r="AE51">
        <f t="shared" si="4"/>
        <v>2E-3</v>
      </c>
      <c r="AF51">
        <f t="shared" ca="1" si="5"/>
        <v>0</v>
      </c>
      <c r="AG51">
        <f t="shared" si="6"/>
        <v>0.44806595922000003</v>
      </c>
      <c r="AH51" s="565">
        <f>Sizing!AD66*(Sizing!CO66+Sizing!CP66) / (12^3)</f>
        <v>7.759791978922779E-3</v>
      </c>
      <c r="AI51">
        <f t="shared" si="9"/>
        <v>0</v>
      </c>
      <c r="AJ51">
        <f t="shared" si="7"/>
        <v>0</v>
      </c>
      <c r="AK51">
        <f t="shared" si="8"/>
        <v>0</v>
      </c>
      <c r="AL51" s="207">
        <f>Loads!C26</f>
        <v>4.9785106580000003</v>
      </c>
      <c r="AM51">
        <f ca="1">OFFSET('ASWING AERO'!$F$24,((ROW('ASWING AERO'!$A30)-ROW('ASWING AERO'!$A$24))*16/100),0)</f>
        <v>0.25</v>
      </c>
      <c r="AN51" s="207">
        <f ca="1">OFFSET('ASWING AERO'!$J$24,((ROW('ASWING AERO'!$A30)-ROW('ASWING AERO'!$A$24))*16/100),0)</f>
        <v>7.85</v>
      </c>
      <c r="AO51" s="207">
        <f ca="1">OFFSET('ASWING AERO'!$N$24,((ROW('ASWING AERO'!$A30)-ROW('ASWING AERO'!$A$24))*16/100),0)</f>
        <v>-0.15</v>
      </c>
      <c r="AP51" s="207">
        <f ca="1">OFFSET('ASWING AERO'!$O$24,((ROW('ASWING AERO'!$A30)-ROW('ASWING AERO'!$A$24))*16/100),0)</f>
        <v>1.85</v>
      </c>
      <c r="AQ51" s="207">
        <f ca="1">OFFSET('ASWING AERO'!$P$24,((ROW('ASWING AERO'!$A30)-ROW('ASWING AERO'!$A$24))*16/100),0)</f>
        <v>-1.55</v>
      </c>
      <c r="AR51" s="8">
        <f ca="1">OFFSET('ASWING AERO'!$M$24,((ROW('ASWING AERO'!$A30)-ROW('ASWING AERO'!$A$24))*16/100),0)</f>
        <v>5.9690260418206069</v>
      </c>
    </row>
    <row r="52" spans="1:44" x14ac:dyDescent="0.25">
      <c r="A52">
        <f>Loads!A27</f>
        <v>7</v>
      </c>
      <c r="B52">
        <v>7</v>
      </c>
      <c r="C52">
        <f t="shared" si="0"/>
        <v>3.1147474750000004E-2</v>
      </c>
      <c r="D52">
        <f>Loads!B27</f>
        <v>1.6856955920000001</v>
      </c>
      <c r="E52">
        <f t="shared" si="1"/>
        <v>0</v>
      </c>
      <c r="F52">
        <f t="shared" si="2"/>
        <v>0</v>
      </c>
      <c r="G52" s="560">
        <f>Stiffness!AQ51/144</f>
        <v>4438676.8860213123</v>
      </c>
      <c r="H52" s="560">
        <f>Stiffness!AV51/144</f>
        <v>10332706.750185136</v>
      </c>
      <c r="I52">
        <v>0</v>
      </c>
      <c r="J52">
        <v>0</v>
      </c>
      <c r="K52">
        <v>0</v>
      </c>
      <c r="L52" s="560">
        <f>Stiffness!BC51/144</f>
        <v>58628629.889565125</v>
      </c>
      <c r="M52">
        <v>0</v>
      </c>
      <c r="N52">
        <v>0</v>
      </c>
      <c r="O52">
        <v>0</v>
      </c>
      <c r="P52">
        <v>0</v>
      </c>
      <c r="Q52">
        <v>0</v>
      </c>
      <c r="R52">
        <f>'Weight '!BT53*'Weight '!$E$36/Stiffness!D51</f>
        <v>21.966597617573079</v>
      </c>
      <c r="S52">
        <f ca="1">'Weight '!BU53-$AL51*$AM51</f>
        <v>0.83198772420745137</v>
      </c>
      <c r="T52" s="2">
        <v>0</v>
      </c>
      <c r="U52">
        <v>0</v>
      </c>
      <c r="V52">
        <v>0</v>
      </c>
      <c r="W52">
        <v>0</v>
      </c>
      <c r="X52">
        <v>0</v>
      </c>
      <c r="Y52">
        <v>0</v>
      </c>
      <c r="Z52">
        <f ca="1">Stiffness!CV51-AL52*AM52</f>
        <v>0.44243855853349956</v>
      </c>
      <c r="AA52">
        <v>0</v>
      </c>
      <c r="AB52">
        <v>0</v>
      </c>
      <c r="AC52" s="207">
        <v>0</v>
      </c>
      <c r="AD52">
        <f t="shared" si="3"/>
        <v>2E-3</v>
      </c>
      <c r="AE52">
        <f t="shared" si="4"/>
        <v>2E-3</v>
      </c>
      <c r="AF52">
        <f t="shared" ca="1" si="5"/>
        <v>0</v>
      </c>
      <c r="AG52">
        <f t="shared" si="6"/>
        <v>0.44646408909000002</v>
      </c>
      <c r="AH52" s="565">
        <f>Sizing!AD67*(Sizing!CO67+Sizing!CP67) / (12^3)</f>
        <v>7.7044074565788719E-3</v>
      </c>
      <c r="AI52">
        <f t="shared" si="9"/>
        <v>0</v>
      </c>
      <c r="AJ52">
        <f t="shared" si="7"/>
        <v>0</v>
      </c>
      <c r="AK52">
        <f t="shared" si="8"/>
        <v>0</v>
      </c>
      <c r="AL52" s="207">
        <f>Loads!C27</f>
        <v>4.9607121010000004</v>
      </c>
      <c r="AM52">
        <f ca="1">OFFSET('ASWING AERO'!$F$24,((ROW('ASWING AERO'!$A31)-ROW('ASWING AERO'!$A$24))*16/100),0)</f>
        <v>0.25</v>
      </c>
      <c r="AN52" s="207">
        <f ca="1">OFFSET('ASWING AERO'!$J$24,((ROW('ASWING AERO'!$A31)-ROW('ASWING AERO'!$A$24))*16/100),0)</f>
        <v>7.85</v>
      </c>
      <c r="AO52" s="207">
        <f ca="1">OFFSET('ASWING AERO'!$N$24,((ROW('ASWING AERO'!$A31)-ROW('ASWING AERO'!$A$24))*16/100),0)</f>
        <v>-0.15</v>
      </c>
      <c r="AP52" s="207">
        <f ca="1">OFFSET('ASWING AERO'!$O$24,((ROW('ASWING AERO'!$A31)-ROW('ASWING AERO'!$A$24))*16/100),0)</f>
        <v>1.85</v>
      </c>
      <c r="AQ52" s="207">
        <f ca="1">OFFSET('ASWING AERO'!$P$24,((ROW('ASWING AERO'!$A31)-ROW('ASWING AERO'!$A$24))*16/100),0)</f>
        <v>-1.55</v>
      </c>
      <c r="AR52" s="8">
        <f ca="1">OFFSET('ASWING AERO'!$M$24,((ROW('ASWING AERO'!$A31)-ROW('ASWING AERO'!$A$24))*16/100),0)</f>
        <v>5.9690260418206069</v>
      </c>
    </row>
    <row r="53" spans="1:44" x14ac:dyDescent="0.25">
      <c r="A53">
        <f>Loads!A28</f>
        <v>8</v>
      </c>
      <c r="B53">
        <v>8</v>
      </c>
      <c r="C53">
        <f t="shared" si="0"/>
        <v>3.5597114000000006E-2</v>
      </c>
      <c r="D53">
        <f>Loads!B28</f>
        <v>1.9265092479999999</v>
      </c>
      <c r="E53">
        <f t="shared" si="1"/>
        <v>0</v>
      </c>
      <c r="F53">
        <f t="shared" si="2"/>
        <v>0</v>
      </c>
      <c r="G53" s="560">
        <f>Stiffness!AQ52/144</f>
        <v>4366770.5582322367</v>
      </c>
      <c r="H53" s="560">
        <f>Stiffness!AV52/144</f>
        <v>10258694.251359139</v>
      </c>
      <c r="I53">
        <v>0</v>
      </c>
      <c r="J53">
        <v>0</v>
      </c>
      <c r="K53">
        <v>0</v>
      </c>
      <c r="L53" s="560">
        <f>Stiffness!BC52/144</f>
        <v>57999829.74634549</v>
      </c>
      <c r="M53">
        <v>0</v>
      </c>
      <c r="N53">
        <v>0</v>
      </c>
      <c r="O53">
        <v>0</v>
      </c>
      <c r="P53">
        <v>0</v>
      </c>
      <c r="Q53">
        <v>0</v>
      </c>
      <c r="R53">
        <f>'Weight '!BT54*'Weight '!$E$36/Stiffness!D52</f>
        <v>21.90809770782797</v>
      </c>
      <c r="S53">
        <f ca="1">'Weight '!BU54-$AL52*$AM52</f>
        <v>0.8282359408921578</v>
      </c>
      <c r="T53" s="2">
        <v>0</v>
      </c>
      <c r="U53">
        <v>0</v>
      </c>
      <c r="V53">
        <v>0</v>
      </c>
      <c r="W53">
        <v>0</v>
      </c>
      <c r="X53">
        <v>0</v>
      </c>
      <c r="Y53">
        <v>0</v>
      </c>
      <c r="Z53">
        <f ca="1">Stiffness!CV52-AL53*AM53</f>
        <v>0.44088405092802296</v>
      </c>
      <c r="AA53">
        <v>0</v>
      </c>
      <c r="AB53">
        <v>0</v>
      </c>
      <c r="AC53" s="207">
        <v>0</v>
      </c>
      <c r="AD53">
        <f t="shared" si="3"/>
        <v>2E-3</v>
      </c>
      <c r="AE53">
        <f t="shared" si="4"/>
        <v>2E-3</v>
      </c>
      <c r="AF53">
        <f t="shared" ca="1" si="5"/>
        <v>0</v>
      </c>
      <c r="AG53">
        <f t="shared" si="6"/>
        <v>0.44486221896000006</v>
      </c>
      <c r="AH53" s="565">
        <f>Sizing!AD68*(Sizing!CO68+Sizing!CP68) / (12^3)</f>
        <v>7.649221292718676E-3</v>
      </c>
      <c r="AI53">
        <f t="shared" si="9"/>
        <v>0</v>
      </c>
      <c r="AJ53">
        <f t="shared" si="7"/>
        <v>0</v>
      </c>
      <c r="AK53">
        <f t="shared" si="8"/>
        <v>0</v>
      </c>
      <c r="AL53" s="207">
        <f>Loads!C28</f>
        <v>4.9429135440000005</v>
      </c>
      <c r="AM53">
        <f ca="1">OFFSET('ASWING AERO'!$F$24,((ROW('ASWING AERO'!$A32)-ROW('ASWING AERO'!$A$24))*16/100),0)</f>
        <v>0.25</v>
      </c>
      <c r="AN53" s="207">
        <f ca="1">OFFSET('ASWING AERO'!$J$24,((ROW('ASWING AERO'!$A32)-ROW('ASWING AERO'!$A$24))*16/100),0)</f>
        <v>7.85</v>
      </c>
      <c r="AO53" s="207">
        <f ca="1">OFFSET('ASWING AERO'!$N$24,((ROW('ASWING AERO'!$A32)-ROW('ASWING AERO'!$A$24))*16/100),0)</f>
        <v>-0.15</v>
      </c>
      <c r="AP53" s="207">
        <f ca="1">OFFSET('ASWING AERO'!$O$24,((ROW('ASWING AERO'!$A32)-ROW('ASWING AERO'!$A$24))*16/100),0)</f>
        <v>1.85</v>
      </c>
      <c r="AQ53" s="207">
        <f ca="1">OFFSET('ASWING AERO'!$P$24,((ROW('ASWING AERO'!$A32)-ROW('ASWING AERO'!$A$24))*16/100),0)</f>
        <v>-1.55</v>
      </c>
      <c r="AR53" s="8">
        <f ca="1">OFFSET('ASWING AERO'!$M$24,((ROW('ASWING AERO'!$A32)-ROW('ASWING AERO'!$A$24))*16/100),0)</f>
        <v>5.9690260418206069</v>
      </c>
    </row>
    <row r="54" spans="1:44" x14ac:dyDescent="0.25">
      <c r="A54">
        <f>Loads!A29</f>
        <v>9</v>
      </c>
      <c r="B54">
        <v>9</v>
      </c>
      <c r="C54">
        <f t="shared" si="0"/>
        <v>4.0046753250000004E-2</v>
      </c>
      <c r="D54">
        <f>Loads!B29</f>
        <v>2.1673229039999997</v>
      </c>
      <c r="E54">
        <f t="shared" si="1"/>
        <v>0</v>
      </c>
      <c r="F54">
        <f t="shared" si="2"/>
        <v>0</v>
      </c>
      <c r="G54" s="560">
        <f>Stiffness!AQ53/144</f>
        <v>4295451.435830663</v>
      </c>
      <c r="H54" s="560">
        <f>Stiffness!AV53/144</f>
        <v>10184947.779486552</v>
      </c>
      <c r="I54">
        <v>0</v>
      </c>
      <c r="J54">
        <v>0</v>
      </c>
      <c r="K54">
        <v>0</v>
      </c>
      <c r="L54" s="560">
        <f>Stiffness!BC53/144</f>
        <v>57375541.732338823</v>
      </c>
      <c r="M54">
        <v>0</v>
      </c>
      <c r="N54">
        <v>0</v>
      </c>
      <c r="O54">
        <v>0</v>
      </c>
      <c r="P54">
        <v>0</v>
      </c>
      <c r="Q54">
        <v>0</v>
      </c>
      <c r="R54">
        <f>'Weight '!BT55*'Weight '!$E$36/Stiffness!D53</f>
        <v>21.849597798082851</v>
      </c>
      <c r="S54">
        <f ca="1">'Weight '!BU55-$AL53*$AM53</f>
        <v>0.82448555854265604</v>
      </c>
      <c r="T54" s="2">
        <v>0</v>
      </c>
      <c r="U54">
        <v>0</v>
      </c>
      <c r="V54">
        <v>0</v>
      </c>
      <c r="W54">
        <v>0</v>
      </c>
      <c r="X54">
        <v>0</v>
      </c>
      <c r="Y54">
        <v>0</v>
      </c>
      <c r="Z54">
        <f ca="1">Stiffness!CV53-AL54*AM54</f>
        <v>0.43932665745292088</v>
      </c>
      <c r="AA54">
        <v>0</v>
      </c>
      <c r="AB54">
        <v>0</v>
      </c>
      <c r="AC54" s="207">
        <v>0</v>
      </c>
      <c r="AD54">
        <f t="shared" si="3"/>
        <v>2E-3</v>
      </c>
      <c r="AE54">
        <f t="shared" si="4"/>
        <v>2E-3</v>
      </c>
      <c r="AF54">
        <f t="shared" ca="1" si="5"/>
        <v>0</v>
      </c>
      <c r="AG54">
        <f t="shared" si="6"/>
        <v>0.44326034883000004</v>
      </c>
      <c r="AH54" s="565">
        <f>Sizing!AD69*(Sizing!CO69+Sizing!CP69) / (12^3)</f>
        <v>7.5942334873421872E-3</v>
      </c>
      <c r="AI54">
        <f t="shared" si="9"/>
        <v>0</v>
      </c>
      <c r="AJ54">
        <f t="shared" si="7"/>
        <v>0</v>
      </c>
      <c r="AK54">
        <f t="shared" si="8"/>
        <v>0</v>
      </c>
      <c r="AL54" s="207">
        <f>Loads!C29</f>
        <v>4.9251149870000006</v>
      </c>
      <c r="AM54">
        <f ca="1">OFFSET('ASWING AERO'!$F$24,((ROW('ASWING AERO'!$A33)-ROW('ASWING AERO'!$A$24))*16/100),0)</f>
        <v>0.25</v>
      </c>
      <c r="AN54" s="207">
        <f ca="1">OFFSET('ASWING AERO'!$J$24,((ROW('ASWING AERO'!$A33)-ROW('ASWING AERO'!$A$24))*16/100),0)</f>
        <v>7.85</v>
      </c>
      <c r="AO54" s="207">
        <f ca="1">OFFSET('ASWING AERO'!$N$24,((ROW('ASWING AERO'!$A33)-ROW('ASWING AERO'!$A$24))*16/100),0)</f>
        <v>-0.15</v>
      </c>
      <c r="AP54" s="207">
        <f ca="1">OFFSET('ASWING AERO'!$O$24,((ROW('ASWING AERO'!$A33)-ROW('ASWING AERO'!$A$24))*16/100),0)</f>
        <v>1.85</v>
      </c>
      <c r="AQ54" s="207">
        <f ca="1">OFFSET('ASWING AERO'!$P$24,((ROW('ASWING AERO'!$A33)-ROW('ASWING AERO'!$A$24))*16/100),0)</f>
        <v>-1.55</v>
      </c>
      <c r="AR54" s="8">
        <f ca="1">OFFSET('ASWING AERO'!$M$24,((ROW('ASWING AERO'!$A33)-ROW('ASWING AERO'!$A$24))*16/100),0)</f>
        <v>5.9690260418206069</v>
      </c>
    </row>
    <row r="55" spans="1:44" x14ac:dyDescent="0.25">
      <c r="A55">
        <f>Loads!A30</f>
        <v>10</v>
      </c>
      <c r="B55">
        <v>10</v>
      </c>
      <c r="C55">
        <f t="shared" si="0"/>
        <v>4.4496392500000009E-2</v>
      </c>
      <c r="D55">
        <f>Loads!B30</f>
        <v>2.40813656</v>
      </c>
      <c r="E55">
        <f t="shared" si="1"/>
        <v>0</v>
      </c>
      <c r="F55">
        <f t="shared" si="2"/>
        <v>0</v>
      </c>
      <c r="G55" s="560">
        <f>Stiffness!AQ54/144</f>
        <v>3699669.5145438467</v>
      </c>
      <c r="H55" s="560">
        <f>Stiffness!AV54/144</f>
        <v>8274698.972872464</v>
      </c>
      <c r="I55">
        <v>0</v>
      </c>
      <c r="J55">
        <v>0</v>
      </c>
      <c r="K55">
        <v>0</v>
      </c>
      <c r="L55" s="560">
        <f>Stiffness!BC54/144</f>
        <v>56755749.600166202</v>
      </c>
      <c r="M55">
        <v>0</v>
      </c>
      <c r="N55">
        <v>0</v>
      </c>
      <c r="O55">
        <v>0</v>
      </c>
      <c r="P55">
        <v>0</v>
      </c>
      <c r="Q55">
        <v>0</v>
      </c>
      <c r="R55">
        <f>'Weight '!BT56*'Weight '!$E$36/Stiffness!D54</f>
        <v>20.704430485033651</v>
      </c>
      <c r="S55">
        <f ca="1">'Weight '!BU56-$AL54*$AM54</f>
        <v>0.86315723319032056</v>
      </c>
      <c r="T55" s="2">
        <v>0</v>
      </c>
      <c r="U55">
        <v>0</v>
      </c>
      <c r="V55">
        <v>0</v>
      </c>
      <c r="W55">
        <v>0</v>
      </c>
      <c r="X55">
        <v>0</v>
      </c>
      <c r="Y55">
        <v>0</v>
      </c>
      <c r="Z55">
        <f ca="1">Stiffness!CV54-AL55*AM55</f>
        <v>0.43776654160934858</v>
      </c>
      <c r="AA55">
        <v>0</v>
      </c>
      <c r="AB55">
        <v>0</v>
      </c>
      <c r="AC55" s="207">
        <v>0</v>
      </c>
      <c r="AD55">
        <f t="shared" si="3"/>
        <v>2E-3</v>
      </c>
      <c r="AE55">
        <f t="shared" si="4"/>
        <v>2E-3</v>
      </c>
      <c r="AF55">
        <f t="shared" ca="1" si="5"/>
        <v>0</v>
      </c>
      <c r="AG55">
        <f t="shared" si="6"/>
        <v>0.44165847869999997</v>
      </c>
      <c r="AH55" s="565">
        <f>Sizing!AD70*(Sizing!CO70+Sizing!CP70) / (12^3)</f>
        <v>7.539444040449401E-3</v>
      </c>
      <c r="AI55">
        <f t="shared" si="9"/>
        <v>0</v>
      </c>
      <c r="AJ55">
        <f t="shared" si="7"/>
        <v>0</v>
      </c>
      <c r="AK55">
        <f t="shared" si="8"/>
        <v>0</v>
      </c>
      <c r="AL55" s="207">
        <f>Loads!C30</f>
        <v>4.9073164299999998</v>
      </c>
      <c r="AM55">
        <f ca="1">OFFSET('ASWING AERO'!$F$24,((ROW('ASWING AERO'!$A34)-ROW('ASWING AERO'!$A$24))*16/100),0)</f>
        <v>0.25</v>
      </c>
      <c r="AN55" s="207">
        <f ca="1">OFFSET('ASWING AERO'!$J$24,((ROW('ASWING AERO'!$A34)-ROW('ASWING AERO'!$A$24))*16/100),0)</f>
        <v>7.85</v>
      </c>
      <c r="AO55" s="207">
        <f ca="1">OFFSET('ASWING AERO'!$N$24,((ROW('ASWING AERO'!$A34)-ROW('ASWING AERO'!$A$24))*16/100),0)</f>
        <v>-0.15</v>
      </c>
      <c r="AP55" s="207">
        <f ca="1">OFFSET('ASWING AERO'!$O$24,((ROW('ASWING AERO'!$A34)-ROW('ASWING AERO'!$A$24))*16/100),0)</f>
        <v>1.85</v>
      </c>
      <c r="AQ55" s="207">
        <f ca="1">OFFSET('ASWING AERO'!$P$24,((ROW('ASWING AERO'!$A34)-ROW('ASWING AERO'!$A$24))*16/100),0)</f>
        <v>-1.55</v>
      </c>
      <c r="AR55" s="8">
        <f ca="1">OFFSET('ASWING AERO'!$M$24,((ROW('ASWING AERO'!$A34)-ROW('ASWING AERO'!$A$24))*16/100),0)</f>
        <v>5.9690260418206069</v>
      </c>
    </row>
    <row r="56" spans="1:44" x14ac:dyDescent="0.25">
      <c r="A56">
        <f>Loads!A31</f>
        <v>11</v>
      </c>
      <c r="B56">
        <v>11</v>
      </c>
      <c r="C56">
        <f t="shared" si="0"/>
        <v>4.8946031750000007E-2</v>
      </c>
      <c r="D56">
        <f>Loads!B31</f>
        <v>2.6489502159999998</v>
      </c>
      <c r="E56">
        <f t="shared" si="1"/>
        <v>0</v>
      </c>
      <c r="F56">
        <f t="shared" si="2"/>
        <v>0</v>
      </c>
      <c r="G56" s="560">
        <f>Stiffness!AQ55/144</f>
        <v>3640695.4070906178</v>
      </c>
      <c r="H56" s="560">
        <f>Stiffness!AV55/144</f>
        <v>8214784.1010645414</v>
      </c>
      <c r="I56">
        <v>0</v>
      </c>
      <c r="J56">
        <v>0</v>
      </c>
      <c r="K56">
        <v>0</v>
      </c>
      <c r="L56" s="560">
        <f>Stiffness!BC55/144</f>
        <v>56140437.102448925</v>
      </c>
      <c r="M56">
        <v>0</v>
      </c>
      <c r="N56">
        <v>0</v>
      </c>
      <c r="O56">
        <v>0</v>
      </c>
      <c r="P56">
        <v>0</v>
      </c>
      <c r="Q56">
        <v>0</v>
      </c>
      <c r="R56">
        <f>'Weight '!BT57*'Weight '!$E$36/Stiffness!D55</f>
        <v>20.645930575288535</v>
      </c>
      <c r="S56">
        <f ca="1">'Weight '!BU57-$AL55*$AM55</f>
        <v>0.85933587224237762</v>
      </c>
      <c r="T56" s="2">
        <v>0</v>
      </c>
      <c r="U56">
        <v>0</v>
      </c>
      <c r="V56">
        <v>0</v>
      </c>
      <c r="W56">
        <v>0</v>
      </c>
      <c r="X56">
        <v>0</v>
      </c>
      <c r="Y56">
        <v>0</v>
      </c>
      <c r="Z56">
        <f ca="1">Stiffness!CV55-AL56*AM56</f>
        <v>0.43620385996805711</v>
      </c>
      <c r="AA56">
        <v>0</v>
      </c>
      <c r="AB56">
        <v>0</v>
      </c>
      <c r="AC56" s="207">
        <v>0</v>
      </c>
      <c r="AD56">
        <f t="shared" si="3"/>
        <v>2E-3</v>
      </c>
      <c r="AE56">
        <f t="shared" si="4"/>
        <v>2E-3</v>
      </c>
      <c r="AF56">
        <f t="shared" ca="1" si="5"/>
        <v>0</v>
      </c>
      <c r="AG56">
        <f t="shared" si="6"/>
        <v>0.44005660857000006</v>
      </c>
      <c r="AH56" s="565">
        <f>Sizing!AD71*(Sizing!CO71+Sizing!CP71) / (12^3)</f>
        <v>7.4848529520403296E-3</v>
      </c>
      <c r="AI56">
        <f t="shared" si="9"/>
        <v>0</v>
      </c>
      <c r="AJ56">
        <f t="shared" si="7"/>
        <v>0</v>
      </c>
      <c r="AK56">
        <f t="shared" si="8"/>
        <v>0</v>
      </c>
      <c r="AL56" s="207">
        <f>Loads!C31</f>
        <v>4.8895178730000008</v>
      </c>
      <c r="AM56">
        <f ca="1">OFFSET('ASWING AERO'!$F$24,((ROW('ASWING AERO'!$A35)-ROW('ASWING AERO'!$A$24))*16/100),0)</f>
        <v>0.25</v>
      </c>
      <c r="AN56" s="207">
        <f ca="1">OFFSET('ASWING AERO'!$J$24,((ROW('ASWING AERO'!$A35)-ROW('ASWING AERO'!$A$24))*16/100),0)</f>
        <v>7.85</v>
      </c>
      <c r="AO56" s="207">
        <f ca="1">OFFSET('ASWING AERO'!$N$24,((ROW('ASWING AERO'!$A35)-ROW('ASWING AERO'!$A$24))*16/100),0)</f>
        <v>-0.15</v>
      </c>
      <c r="AP56" s="207">
        <f ca="1">OFFSET('ASWING AERO'!$O$24,((ROW('ASWING AERO'!$A35)-ROW('ASWING AERO'!$A$24))*16/100),0)</f>
        <v>1.85</v>
      </c>
      <c r="AQ56" s="207">
        <f ca="1">OFFSET('ASWING AERO'!$P$24,((ROW('ASWING AERO'!$A35)-ROW('ASWING AERO'!$A$24))*16/100),0)</f>
        <v>-1.55</v>
      </c>
      <c r="AR56" s="8">
        <f ca="1">OFFSET('ASWING AERO'!$M$24,((ROW('ASWING AERO'!$A35)-ROW('ASWING AERO'!$A$24))*16/100),0)</f>
        <v>5.9690260418206069</v>
      </c>
    </row>
    <row r="57" spans="1:44" x14ac:dyDescent="0.25">
      <c r="A57">
        <f>Loads!A32</f>
        <v>12</v>
      </c>
      <c r="B57">
        <v>12</v>
      </c>
      <c r="C57">
        <f t="shared" si="0"/>
        <v>5.3395671000000006E-2</v>
      </c>
      <c r="D57">
        <f>Loads!B32</f>
        <v>2.8897638719999996</v>
      </c>
      <c r="E57">
        <f t="shared" si="1"/>
        <v>0</v>
      </c>
      <c r="F57">
        <f t="shared" si="2"/>
        <v>0</v>
      </c>
      <c r="G57" s="560">
        <f>Stiffness!AQ56/144</f>
        <v>3582195.1182435541</v>
      </c>
      <c r="H57" s="560">
        <f>Stiffness!AV56/144</f>
        <v>8155086.9318793248</v>
      </c>
      <c r="I57">
        <v>0</v>
      </c>
      <c r="J57">
        <v>0</v>
      </c>
      <c r="K57">
        <v>0</v>
      </c>
      <c r="L57" s="560">
        <f>Stiffness!BC56/144</f>
        <v>55529587.991808072</v>
      </c>
      <c r="M57">
        <v>0</v>
      </c>
      <c r="N57">
        <v>0</v>
      </c>
      <c r="O57">
        <v>0</v>
      </c>
      <c r="P57">
        <v>0</v>
      </c>
      <c r="Q57">
        <v>0</v>
      </c>
      <c r="R57">
        <f>'Weight '!BT58*'Weight '!$E$36/Stiffness!D56</f>
        <v>20.587430665543422</v>
      </c>
      <c r="S57">
        <f ca="1">'Weight '!BU58-$AL56*$AM56</f>
        <v>0.85551560273556415</v>
      </c>
      <c r="T57" s="2">
        <v>0</v>
      </c>
      <c r="U57">
        <v>0</v>
      </c>
      <c r="V57">
        <v>0</v>
      </c>
      <c r="W57">
        <v>0</v>
      </c>
      <c r="X57">
        <v>0</v>
      </c>
      <c r="Y57">
        <v>0</v>
      </c>
      <c r="Z57">
        <f ca="1">Stiffness!CV56-AL57*AM57</f>
        <v>0.43463876236694787</v>
      </c>
      <c r="AA57">
        <v>0</v>
      </c>
      <c r="AB57">
        <v>0</v>
      </c>
      <c r="AC57" s="207">
        <v>0</v>
      </c>
      <c r="AD57">
        <f t="shared" si="3"/>
        <v>2E-3</v>
      </c>
      <c r="AE57">
        <f t="shared" si="4"/>
        <v>2E-3</v>
      </c>
      <c r="AF57">
        <f t="shared" ca="1" si="5"/>
        <v>0</v>
      </c>
      <c r="AG57">
        <f t="shared" si="6"/>
        <v>0.43845473843999999</v>
      </c>
      <c r="AH57" s="565">
        <f>Sizing!AD72*(Sizing!CO72+Sizing!CP72) / (12^3)</f>
        <v>7.4304602221149608E-3</v>
      </c>
      <c r="AI57">
        <f t="shared" si="9"/>
        <v>0</v>
      </c>
      <c r="AJ57">
        <f t="shared" si="7"/>
        <v>0</v>
      </c>
      <c r="AK57">
        <f t="shared" si="8"/>
        <v>0</v>
      </c>
      <c r="AL57" s="207">
        <f>Loads!C32</f>
        <v>4.8717193160000001</v>
      </c>
      <c r="AM57">
        <f ca="1">OFFSET('ASWING AERO'!$F$24,((ROW('ASWING AERO'!$A36)-ROW('ASWING AERO'!$A$24))*16/100),0)</f>
        <v>0.25</v>
      </c>
      <c r="AN57" s="207">
        <f ca="1">OFFSET('ASWING AERO'!$J$24,((ROW('ASWING AERO'!$A36)-ROW('ASWING AERO'!$A$24))*16/100),0)</f>
        <v>7.85</v>
      </c>
      <c r="AO57" s="207">
        <f ca="1">OFFSET('ASWING AERO'!$N$24,((ROW('ASWING AERO'!$A36)-ROW('ASWING AERO'!$A$24))*16/100),0)</f>
        <v>-0.15</v>
      </c>
      <c r="AP57" s="207">
        <f ca="1">OFFSET('ASWING AERO'!$O$24,((ROW('ASWING AERO'!$A36)-ROW('ASWING AERO'!$A$24))*16/100),0)</f>
        <v>1.85</v>
      </c>
      <c r="AQ57" s="207">
        <f ca="1">OFFSET('ASWING AERO'!$P$24,((ROW('ASWING AERO'!$A36)-ROW('ASWING AERO'!$A$24))*16/100),0)</f>
        <v>-1.55</v>
      </c>
      <c r="AR57" s="8">
        <f ca="1">OFFSET('ASWING AERO'!$M$24,((ROW('ASWING AERO'!$A36)-ROW('ASWING AERO'!$A$24))*16/100),0)</f>
        <v>5.9690260418206069</v>
      </c>
    </row>
    <row r="58" spans="1:44" x14ac:dyDescent="0.25">
      <c r="A58">
        <f>Loads!A33</f>
        <v>13</v>
      </c>
      <c r="B58">
        <v>13</v>
      </c>
      <c r="C58">
        <f t="shared" si="0"/>
        <v>5.7845310250000004E-2</v>
      </c>
      <c r="D58">
        <f>Loads!B33</f>
        <v>3.1305775279999999</v>
      </c>
      <c r="E58">
        <f t="shared" si="1"/>
        <v>0</v>
      </c>
      <c r="F58">
        <f t="shared" si="2"/>
        <v>0</v>
      </c>
      <c r="G58" s="560">
        <f>Stiffness!AQ57/144</f>
        <v>3524168.6480026594</v>
      </c>
      <c r="H58" s="560">
        <f>Stiffness!AV57/144</f>
        <v>8095607.4653168283</v>
      </c>
      <c r="I58">
        <v>0</v>
      </c>
      <c r="J58">
        <v>0</v>
      </c>
      <c r="K58">
        <v>0</v>
      </c>
      <c r="L58" s="560">
        <f>Stiffness!BC57/144</f>
        <v>54923186.020864815</v>
      </c>
      <c r="M58">
        <v>0</v>
      </c>
      <c r="N58">
        <v>0</v>
      </c>
      <c r="O58">
        <v>0</v>
      </c>
      <c r="P58">
        <v>0</v>
      </c>
      <c r="Q58">
        <v>0</v>
      </c>
      <c r="R58">
        <f>'Weight '!BT59*'Weight '!$E$36/Stiffness!D57</f>
        <v>20.528930755798314</v>
      </c>
      <c r="S58">
        <f ca="1">'Weight '!BU59-$AL57*$AM57</f>
        <v>0.85169643400050132</v>
      </c>
      <c r="T58" s="2">
        <v>0</v>
      </c>
      <c r="U58">
        <v>0</v>
      </c>
      <c r="V58">
        <v>0</v>
      </c>
      <c r="W58">
        <v>0</v>
      </c>
      <c r="X58">
        <v>0</v>
      </c>
      <c r="Y58">
        <v>0</v>
      </c>
      <c r="Z58">
        <f ca="1">Stiffness!CV57-AL58*AM58</f>
        <v>0.43307139210546031</v>
      </c>
      <c r="AA58">
        <v>0</v>
      </c>
      <c r="AB58">
        <v>0</v>
      </c>
      <c r="AC58" s="207">
        <v>0</v>
      </c>
      <c r="AD58">
        <f t="shared" si="3"/>
        <v>2E-3</v>
      </c>
      <c r="AE58">
        <f t="shared" si="4"/>
        <v>2E-3</v>
      </c>
      <c r="AF58">
        <f t="shared" ca="1" si="5"/>
        <v>0</v>
      </c>
      <c r="AG58">
        <f t="shared" si="6"/>
        <v>0.43685286831000009</v>
      </c>
      <c r="AH58" s="565">
        <f>Sizing!AD73*(Sizing!CO73+Sizing!CP73) / (12^3)</f>
        <v>7.376265850673306E-3</v>
      </c>
      <c r="AI58">
        <f t="shared" si="9"/>
        <v>0</v>
      </c>
      <c r="AJ58">
        <f t="shared" si="7"/>
        <v>0</v>
      </c>
      <c r="AK58">
        <f t="shared" si="8"/>
        <v>0</v>
      </c>
      <c r="AL58" s="207">
        <f>Loads!C33</f>
        <v>4.8539207590000011</v>
      </c>
      <c r="AM58">
        <f ca="1">OFFSET('ASWING AERO'!$F$24,((ROW('ASWING AERO'!$A37)-ROW('ASWING AERO'!$A$24))*16/100),0)</f>
        <v>0.25</v>
      </c>
      <c r="AN58" s="207">
        <f ca="1">OFFSET('ASWING AERO'!$J$24,((ROW('ASWING AERO'!$A37)-ROW('ASWING AERO'!$A$24))*16/100),0)</f>
        <v>6.85</v>
      </c>
      <c r="AO58" s="207">
        <f ca="1">OFFSET('ASWING AERO'!$N$24,((ROW('ASWING AERO'!$A37)-ROW('ASWING AERO'!$A$24))*16/100),0)</f>
        <v>-0.15</v>
      </c>
      <c r="AP58" s="207">
        <f ca="1">OFFSET('ASWING AERO'!$O$24,((ROW('ASWING AERO'!$A37)-ROW('ASWING AERO'!$A$24))*16/100),0)</f>
        <v>1.85</v>
      </c>
      <c r="AQ58" s="207">
        <f ca="1">OFFSET('ASWING AERO'!$P$24,((ROW('ASWING AERO'!$A37)-ROW('ASWING AERO'!$A$24))*16/100),0)</f>
        <v>-1.55</v>
      </c>
      <c r="AR58" s="8">
        <f ca="1">OFFSET('ASWING AERO'!$M$24,((ROW('ASWING AERO'!$A37)-ROW('ASWING AERO'!$A$24))*16/100),0)</f>
        <v>5.9690260418206069</v>
      </c>
    </row>
    <row r="59" spans="1:44" x14ac:dyDescent="0.25">
      <c r="A59">
        <f>Loads!A34</f>
        <v>14</v>
      </c>
      <c r="B59">
        <v>14</v>
      </c>
      <c r="C59">
        <f t="shared" si="0"/>
        <v>6.2294949500000009E-2</v>
      </c>
      <c r="D59">
        <f>Loads!B34</f>
        <v>3.3713911840000002</v>
      </c>
      <c r="E59">
        <f t="shared" si="1"/>
        <v>0</v>
      </c>
      <c r="F59">
        <f t="shared" si="2"/>
        <v>0</v>
      </c>
      <c r="G59" s="560">
        <f>Stiffness!AQ58/144</f>
        <v>3466615.9963679258</v>
      </c>
      <c r="H59" s="560">
        <f>Stiffness!AV58/144</f>
        <v>8036345.7013770342</v>
      </c>
      <c r="I59">
        <v>0</v>
      </c>
      <c r="J59">
        <v>0</v>
      </c>
      <c r="K59">
        <v>0</v>
      </c>
      <c r="L59" s="560">
        <f>Stiffness!BC58/144</f>
        <v>54321214.942240201</v>
      </c>
      <c r="M59">
        <v>0</v>
      </c>
      <c r="N59">
        <v>0</v>
      </c>
      <c r="O59">
        <v>0</v>
      </c>
      <c r="P59">
        <v>0</v>
      </c>
      <c r="Q59">
        <v>0</v>
      </c>
      <c r="R59">
        <f>'Weight '!BT60*'Weight '!$E$36/Stiffness!D58</f>
        <v>20.470430846053198</v>
      </c>
      <c r="S59">
        <f ca="1">'Weight '!BU60-$AL58*$AM58</f>
        <v>0.84787837547446543</v>
      </c>
      <c r="T59" s="2">
        <v>0</v>
      </c>
      <c r="U59">
        <v>0</v>
      </c>
      <c r="V59">
        <v>0</v>
      </c>
      <c r="W59">
        <v>0</v>
      </c>
      <c r="X59">
        <v>0</v>
      </c>
      <c r="Y59">
        <v>0</v>
      </c>
      <c r="Z59">
        <f ca="1">Stiffness!CV58-AL59*AM59</f>
        <v>0.43150188613580576</v>
      </c>
      <c r="AA59">
        <v>0</v>
      </c>
      <c r="AB59">
        <v>0</v>
      </c>
      <c r="AC59" s="207">
        <v>0</v>
      </c>
      <c r="AD59">
        <f t="shared" si="3"/>
        <v>2E-3</v>
      </c>
      <c r="AE59">
        <f t="shared" si="4"/>
        <v>2E-3</v>
      </c>
      <c r="AF59">
        <f t="shared" ca="1" si="5"/>
        <v>0</v>
      </c>
      <c r="AG59">
        <f t="shared" si="6"/>
        <v>0.43525099818000001</v>
      </c>
      <c r="AH59" s="565">
        <f>Sizing!AD74*(Sizing!CO74+Sizing!CP74) / (12^3)</f>
        <v>7.3222698377153539E-3</v>
      </c>
      <c r="AI59">
        <f t="shared" si="9"/>
        <v>0</v>
      </c>
      <c r="AJ59">
        <f t="shared" si="7"/>
        <v>0</v>
      </c>
      <c r="AK59">
        <f t="shared" si="8"/>
        <v>0</v>
      </c>
      <c r="AL59" s="207">
        <f>Loads!C34</f>
        <v>4.8361222020000003</v>
      </c>
      <c r="AM59">
        <f ca="1">OFFSET('ASWING AERO'!$F$24,((ROW('ASWING AERO'!$A38)-ROW('ASWING AERO'!$A$24))*16/100),0)</f>
        <v>0.25</v>
      </c>
      <c r="AN59" s="207">
        <f ca="1">OFFSET('ASWING AERO'!$J$24,((ROW('ASWING AERO'!$A38)-ROW('ASWING AERO'!$A$24))*16/100),0)</f>
        <v>6.85</v>
      </c>
      <c r="AO59" s="207">
        <f ca="1">OFFSET('ASWING AERO'!$N$24,((ROW('ASWING AERO'!$A38)-ROW('ASWING AERO'!$A$24))*16/100),0)</f>
        <v>-0.15</v>
      </c>
      <c r="AP59" s="207">
        <f ca="1">OFFSET('ASWING AERO'!$O$24,((ROW('ASWING AERO'!$A38)-ROW('ASWING AERO'!$A$24))*16/100),0)</f>
        <v>1.85</v>
      </c>
      <c r="AQ59" s="207">
        <f ca="1">OFFSET('ASWING AERO'!$P$24,((ROW('ASWING AERO'!$A38)-ROW('ASWING AERO'!$A$24))*16/100),0)</f>
        <v>-1.55</v>
      </c>
      <c r="AR59" s="8">
        <f ca="1">OFFSET('ASWING AERO'!$M$24,((ROW('ASWING AERO'!$A38)-ROW('ASWING AERO'!$A$24))*16/100),0)</f>
        <v>5.9690260418206069</v>
      </c>
    </row>
    <row r="60" spans="1:44" x14ac:dyDescent="0.25">
      <c r="A60">
        <f>Loads!A35</f>
        <v>15</v>
      </c>
      <c r="B60">
        <v>15</v>
      </c>
      <c r="C60">
        <f t="shared" si="0"/>
        <v>6.674458875E-2</v>
      </c>
      <c r="D60">
        <f>Loads!B35</f>
        <v>3.6122048399999995</v>
      </c>
      <c r="E60">
        <f t="shared" si="1"/>
        <v>0</v>
      </c>
      <c r="F60">
        <f t="shared" si="2"/>
        <v>0</v>
      </c>
      <c r="G60" s="560">
        <f>Stiffness!AQ59/144</f>
        <v>3409537.1633393639</v>
      </c>
      <c r="H60" s="560">
        <f>Stiffness!AV59/144</f>
        <v>7977301.6400599591</v>
      </c>
      <c r="I60">
        <v>0</v>
      </c>
      <c r="J60">
        <v>0</v>
      </c>
      <c r="K60">
        <v>0</v>
      </c>
      <c r="L60" s="560">
        <f>Stiffness!BC59/144</f>
        <v>53723658.508555517</v>
      </c>
      <c r="M60">
        <v>0</v>
      </c>
      <c r="N60">
        <v>0</v>
      </c>
      <c r="O60">
        <v>0</v>
      </c>
      <c r="P60">
        <v>0</v>
      </c>
      <c r="Q60">
        <v>0</v>
      </c>
      <c r="R60">
        <f>'Weight '!BT61*'Weight '!$E$36/Stiffness!D59</f>
        <v>20.411930936308089</v>
      </c>
      <c r="S60">
        <f ca="1">'Weight '!BU61-$AL59*$AM59</f>
        <v>0.84406143670292311</v>
      </c>
      <c r="T60" s="2">
        <v>0</v>
      </c>
      <c r="U60">
        <v>0</v>
      </c>
      <c r="V60">
        <v>0</v>
      </c>
      <c r="W60">
        <v>0</v>
      </c>
      <c r="X60">
        <v>0</v>
      </c>
      <c r="Y60">
        <v>0</v>
      </c>
      <c r="Z60">
        <f ca="1">Stiffness!CV59-AL60*AM60</f>
        <v>0.42993037525107702</v>
      </c>
      <c r="AA60">
        <v>0</v>
      </c>
      <c r="AB60">
        <v>0</v>
      </c>
      <c r="AC60" s="207">
        <v>0</v>
      </c>
      <c r="AD60">
        <f t="shared" si="3"/>
        <v>2E-3</v>
      </c>
      <c r="AE60">
        <f t="shared" si="4"/>
        <v>2E-3</v>
      </c>
      <c r="AF60">
        <f t="shared" ca="1" si="5"/>
        <v>0</v>
      </c>
      <c r="AG60">
        <f t="shared" si="6"/>
        <v>0.43364912805</v>
      </c>
      <c r="AH60" s="565">
        <f>Sizing!AD75*(Sizing!CO75+Sizing!CP75) / (12^3)</f>
        <v>7.2684721832411104E-3</v>
      </c>
      <c r="AI60">
        <f t="shared" si="9"/>
        <v>0</v>
      </c>
      <c r="AJ60">
        <f t="shared" si="7"/>
        <v>0</v>
      </c>
      <c r="AK60">
        <f t="shared" si="8"/>
        <v>0</v>
      </c>
      <c r="AL60" s="207">
        <f>Loads!C35</f>
        <v>4.8183236450000004</v>
      </c>
      <c r="AM60">
        <f ca="1">OFFSET('ASWING AERO'!$F$24,((ROW('ASWING AERO'!$A39)-ROW('ASWING AERO'!$A$24))*16/100),0)</f>
        <v>0.25</v>
      </c>
      <c r="AN60" s="207">
        <f ca="1">OFFSET('ASWING AERO'!$J$24,((ROW('ASWING AERO'!$A39)-ROW('ASWING AERO'!$A$24))*16/100),0)</f>
        <v>6.85</v>
      </c>
      <c r="AO60" s="207">
        <f ca="1">OFFSET('ASWING AERO'!$N$24,((ROW('ASWING AERO'!$A39)-ROW('ASWING AERO'!$A$24))*16/100),0)</f>
        <v>-0.15</v>
      </c>
      <c r="AP60" s="207">
        <f ca="1">OFFSET('ASWING AERO'!$O$24,((ROW('ASWING AERO'!$A39)-ROW('ASWING AERO'!$A$24))*16/100),0)</f>
        <v>1.85</v>
      </c>
      <c r="AQ60" s="207">
        <f ca="1">OFFSET('ASWING AERO'!$P$24,((ROW('ASWING AERO'!$A39)-ROW('ASWING AERO'!$A$24))*16/100),0)</f>
        <v>-1.55</v>
      </c>
      <c r="AR60" s="8">
        <f ca="1">OFFSET('ASWING AERO'!$M$24,((ROW('ASWING AERO'!$A39)-ROW('ASWING AERO'!$A$24))*16/100),0)</f>
        <v>5.9690260418206069</v>
      </c>
    </row>
    <row r="61" spans="1:44" x14ac:dyDescent="0.25">
      <c r="A61">
        <f>Loads!A36</f>
        <v>16</v>
      </c>
      <c r="B61">
        <v>16</v>
      </c>
      <c r="C61">
        <f t="shared" si="0"/>
        <v>7.1194228000000012E-2</v>
      </c>
      <c r="D61">
        <f>Loads!B36</f>
        <v>3.8530184959999998</v>
      </c>
      <c r="E61">
        <f t="shared" si="1"/>
        <v>0</v>
      </c>
      <c r="F61">
        <f t="shared" si="2"/>
        <v>0</v>
      </c>
      <c r="G61" s="560">
        <f>Stiffness!AQ60/144</f>
        <v>3352932.1489169663</v>
      </c>
      <c r="H61" s="560">
        <f>Stiffness!AV60/144</f>
        <v>7918475.2813655986</v>
      </c>
      <c r="I61">
        <v>0</v>
      </c>
      <c r="J61">
        <v>0</v>
      </c>
      <c r="K61">
        <v>0</v>
      </c>
      <c r="L61" s="560">
        <f>Stiffness!BC60/144</f>
        <v>53130500.472431779</v>
      </c>
      <c r="M61">
        <v>0</v>
      </c>
      <c r="N61">
        <v>0</v>
      </c>
      <c r="O61">
        <v>0</v>
      </c>
      <c r="P61">
        <v>0</v>
      </c>
      <c r="Q61">
        <v>0</v>
      </c>
      <c r="R61">
        <f>'Weight '!BT62*'Weight '!$E$36/Stiffness!D60</f>
        <v>20.353431026562969</v>
      </c>
      <c r="S61">
        <f ca="1">'Weight '!BU62-$AL60*$AM60</f>
        <v>0.84024562734108055</v>
      </c>
      <c r="T61" s="2">
        <v>0</v>
      </c>
      <c r="U61">
        <v>0</v>
      </c>
      <c r="V61">
        <v>0</v>
      </c>
      <c r="W61">
        <v>0</v>
      </c>
      <c r="X61">
        <v>0</v>
      </c>
      <c r="Y61">
        <v>0</v>
      </c>
      <c r="Z61">
        <f ca="1">Stiffness!CV60-AL61*AM61</f>
        <v>0.42835698427024482</v>
      </c>
      <c r="AA61">
        <v>0</v>
      </c>
      <c r="AB61">
        <v>0</v>
      </c>
      <c r="AC61" s="207">
        <v>0</v>
      </c>
      <c r="AD61">
        <f t="shared" si="3"/>
        <v>2E-3</v>
      </c>
      <c r="AE61">
        <f t="shared" si="4"/>
        <v>2E-3</v>
      </c>
      <c r="AF61">
        <f t="shared" ca="1" si="5"/>
        <v>0</v>
      </c>
      <c r="AG61">
        <f t="shared" si="6"/>
        <v>0.43204725792000004</v>
      </c>
      <c r="AH61" s="565">
        <f>Sizing!AD76*(Sizing!CO76+Sizing!CP76) / (12^3)</f>
        <v>7.2148728872505775E-3</v>
      </c>
      <c r="AI61">
        <f t="shared" si="9"/>
        <v>0</v>
      </c>
      <c r="AJ61">
        <f t="shared" si="7"/>
        <v>0</v>
      </c>
      <c r="AK61">
        <f t="shared" si="8"/>
        <v>0</v>
      </c>
      <c r="AL61" s="207">
        <f>Loads!C36</f>
        <v>4.8005250880000006</v>
      </c>
      <c r="AM61">
        <f ca="1">OFFSET('ASWING AERO'!$F$24,((ROW('ASWING AERO'!$A40)-ROW('ASWING AERO'!$A$24))*16/100),0)</f>
        <v>0.25</v>
      </c>
      <c r="AN61" s="207">
        <f ca="1">OFFSET('ASWING AERO'!$J$24,((ROW('ASWING AERO'!$A40)-ROW('ASWING AERO'!$A$24))*16/100),0)</f>
        <v>6.85</v>
      </c>
      <c r="AO61" s="207">
        <f ca="1">OFFSET('ASWING AERO'!$N$24,((ROW('ASWING AERO'!$A40)-ROW('ASWING AERO'!$A$24))*16/100),0)</f>
        <v>-0.15</v>
      </c>
      <c r="AP61" s="207">
        <f ca="1">OFFSET('ASWING AERO'!$O$24,((ROW('ASWING AERO'!$A40)-ROW('ASWING AERO'!$A$24))*16/100),0)</f>
        <v>1.85</v>
      </c>
      <c r="AQ61" s="207">
        <f ca="1">OFFSET('ASWING AERO'!$P$24,((ROW('ASWING AERO'!$A40)-ROW('ASWING AERO'!$A$24))*16/100),0)</f>
        <v>-1.55</v>
      </c>
      <c r="AR61" s="8">
        <f ca="1">OFFSET('ASWING AERO'!$M$24,((ROW('ASWING AERO'!$A40)-ROW('ASWING AERO'!$A$24))*16/100),0)</f>
        <v>5.9690260418206069</v>
      </c>
    </row>
    <row r="62" spans="1:44" x14ac:dyDescent="0.25">
      <c r="A62">
        <f>Loads!A37</f>
        <v>17</v>
      </c>
      <c r="B62">
        <v>17</v>
      </c>
      <c r="C62">
        <f t="shared" si="0"/>
        <v>7.564386725000001E-2</v>
      </c>
      <c r="D62">
        <f>Loads!B37</f>
        <v>4.0938321520000001</v>
      </c>
      <c r="E62">
        <f t="shared" si="1"/>
        <v>0</v>
      </c>
      <c r="F62">
        <f t="shared" si="2"/>
        <v>0</v>
      </c>
      <c r="G62" s="560">
        <f>Stiffness!AQ61/144</f>
        <v>3296800.9531007321</v>
      </c>
      <c r="H62" s="560">
        <f>Stiffness!AV61/144</f>
        <v>7859866.6252939422</v>
      </c>
      <c r="I62">
        <v>0</v>
      </c>
      <c r="J62">
        <v>0</v>
      </c>
      <c r="K62">
        <v>0</v>
      </c>
      <c r="L62" s="560">
        <f>Stiffness!BC61/144</f>
        <v>52541724.586490206</v>
      </c>
      <c r="M62">
        <v>0</v>
      </c>
      <c r="N62">
        <v>0</v>
      </c>
      <c r="O62">
        <v>0</v>
      </c>
      <c r="P62">
        <v>0</v>
      </c>
      <c r="Q62">
        <v>0</v>
      </c>
      <c r="R62">
        <f>'Weight '!BT63*'Weight '!$E$36/Stiffness!D61</f>
        <v>20.29493111681786</v>
      </c>
      <c r="S62">
        <f ca="1">'Weight '!BU63-$AL61*$AM61</f>
        <v>0.83643095715547178</v>
      </c>
      <c r="T62" s="2">
        <v>0</v>
      </c>
      <c r="U62">
        <v>0</v>
      </c>
      <c r="V62">
        <v>0</v>
      </c>
      <c r="W62">
        <v>0</v>
      </c>
      <c r="X62">
        <v>0</v>
      </c>
      <c r="Y62">
        <v>0</v>
      </c>
      <c r="Z62">
        <f ca="1">Stiffness!CV61-AL62*AM62</f>
        <v>0.42678183222007293</v>
      </c>
      <c r="AA62">
        <v>0</v>
      </c>
      <c r="AB62">
        <v>0</v>
      </c>
      <c r="AC62" s="207">
        <v>0</v>
      </c>
      <c r="AD62">
        <f t="shared" si="3"/>
        <v>2E-3</v>
      </c>
      <c r="AE62">
        <f t="shared" si="4"/>
        <v>2E-3</v>
      </c>
      <c r="AF62">
        <f t="shared" ca="1" si="5"/>
        <v>0</v>
      </c>
      <c r="AG62">
        <f t="shared" si="6"/>
        <v>0.43044538778999997</v>
      </c>
      <c r="AH62" s="565">
        <f>Sizing!AD77*(Sizing!CO77+Sizing!CP77) / (12^3)</f>
        <v>7.1614719497437506E-3</v>
      </c>
      <c r="AI62">
        <f t="shared" si="9"/>
        <v>0</v>
      </c>
      <c r="AJ62">
        <f t="shared" si="7"/>
        <v>0</v>
      </c>
      <c r="AK62">
        <f t="shared" si="8"/>
        <v>0</v>
      </c>
      <c r="AL62" s="207">
        <f>Loads!C37</f>
        <v>4.7827265309999998</v>
      </c>
      <c r="AM62">
        <f ca="1">OFFSET('ASWING AERO'!$F$24,((ROW('ASWING AERO'!$A41)-ROW('ASWING AERO'!$A$24))*16/100),0)</f>
        <v>0.25</v>
      </c>
      <c r="AN62" s="207">
        <f ca="1">OFFSET('ASWING AERO'!$J$24,((ROW('ASWING AERO'!$A41)-ROW('ASWING AERO'!$A$24))*16/100),0)</f>
        <v>6.85</v>
      </c>
      <c r="AO62" s="207">
        <f ca="1">OFFSET('ASWING AERO'!$N$24,((ROW('ASWING AERO'!$A41)-ROW('ASWING AERO'!$A$24))*16/100),0)</f>
        <v>-0.15</v>
      </c>
      <c r="AP62" s="207">
        <f ca="1">OFFSET('ASWING AERO'!$O$24,((ROW('ASWING AERO'!$A41)-ROW('ASWING AERO'!$A$24))*16/100),0)</f>
        <v>1.85</v>
      </c>
      <c r="AQ62" s="207">
        <f ca="1">OFFSET('ASWING AERO'!$P$24,((ROW('ASWING AERO'!$A41)-ROW('ASWING AERO'!$A$24))*16/100),0)</f>
        <v>-1.55</v>
      </c>
      <c r="AR62" s="8">
        <f ca="1">OFFSET('ASWING AERO'!$M$24,((ROW('ASWING AERO'!$A41)-ROW('ASWING AERO'!$A$24))*16/100),0)</f>
        <v>5.9690260418206069</v>
      </c>
    </row>
    <row r="63" spans="1:44" x14ac:dyDescent="0.25">
      <c r="A63">
        <f>Loads!A38</f>
        <v>18</v>
      </c>
      <c r="B63">
        <v>18</v>
      </c>
      <c r="C63">
        <f t="shared" si="0"/>
        <v>8.0093506500000008E-2</v>
      </c>
      <c r="D63">
        <f>Loads!B38</f>
        <v>4.3346458079999994</v>
      </c>
      <c r="E63">
        <f t="shared" si="1"/>
        <v>0</v>
      </c>
      <c r="F63">
        <f t="shared" si="2"/>
        <v>0</v>
      </c>
      <c r="G63" s="560">
        <f>Stiffness!AQ62/144</f>
        <v>3241143.5758906729</v>
      </c>
      <c r="H63" s="560">
        <f>Stiffness!AV62/144</f>
        <v>7801475.6718450077</v>
      </c>
      <c r="I63">
        <v>0</v>
      </c>
      <c r="J63">
        <v>0</v>
      </c>
      <c r="K63">
        <v>0</v>
      </c>
      <c r="L63" s="560">
        <f>Stiffness!BC62/144</f>
        <v>51957314.60335198</v>
      </c>
      <c r="M63">
        <v>0</v>
      </c>
      <c r="N63">
        <v>0</v>
      </c>
      <c r="O63">
        <v>0</v>
      </c>
      <c r="P63">
        <v>0</v>
      </c>
      <c r="Q63">
        <v>0</v>
      </c>
      <c r="R63">
        <f>'Weight '!BT64*'Weight '!$E$36/Stiffness!D62</f>
        <v>20.236431207072751</v>
      </c>
      <c r="S63">
        <f ca="1">'Weight '!BU64-$AL62*$AM62</f>
        <v>0.83261743602556137</v>
      </c>
      <c r="T63" s="2">
        <v>0</v>
      </c>
      <c r="U63">
        <v>0</v>
      </c>
      <c r="V63">
        <v>0</v>
      </c>
      <c r="W63">
        <v>0</v>
      </c>
      <c r="X63">
        <v>0</v>
      </c>
      <c r="Y63">
        <v>0</v>
      </c>
      <c r="Z63">
        <f ca="1">Stiffness!CV62-AL63*AM63</f>
        <v>0.42520503251396446</v>
      </c>
      <c r="AA63">
        <v>0</v>
      </c>
      <c r="AB63">
        <v>0</v>
      </c>
      <c r="AC63" s="207">
        <v>0</v>
      </c>
      <c r="AD63">
        <f t="shared" si="3"/>
        <v>2E-3</v>
      </c>
      <c r="AE63">
        <f t="shared" si="4"/>
        <v>2E-3</v>
      </c>
      <c r="AF63">
        <f t="shared" ca="1" si="5"/>
        <v>0</v>
      </c>
      <c r="AG63">
        <f t="shared" si="6"/>
        <v>0.42884351766000006</v>
      </c>
      <c r="AH63" s="565">
        <f>Sizing!AD78*(Sizing!CO78+Sizing!CP78) / (12^3)</f>
        <v>7.1082693707206334E-3</v>
      </c>
      <c r="AI63">
        <f t="shared" si="9"/>
        <v>0</v>
      </c>
      <c r="AJ63">
        <f t="shared" si="7"/>
        <v>0</v>
      </c>
      <c r="AK63">
        <f t="shared" si="8"/>
        <v>0</v>
      </c>
      <c r="AL63" s="207">
        <f>Loads!C38</f>
        <v>4.7649279740000008</v>
      </c>
      <c r="AM63">
        <f ca="1">OFFSET('ASWING AERO'!$F$24,((ROW('ASWING AERO'!$A42)-ROW('ASWING AERO'!$A$24))*16/100),0)</f>
        <v>0.25</v>
      </c>
      <c r="AN63" s="207">
        <f ca="1">OFFSET('ASWING AERO'!$J$24,((ROW('ASWING AERO'!$A42)-ROW('ASWING AERO'!$A$24))*16/100),0)</f>
        <v>6.85</v>
      </c>
      <c r="AO63" s="207">
        <f ca="1">OFFSET('ASWING AERO'!$N$24,((ROW('ASWING AERO'!$A42)-ROW('ASWING AERO'!$A$24))*16/100),0)</f>
        <v>-0.15</v>
      </c>
      <c r="AP63" s="207">
        <f ca="1">OFFSET('ASWING AERO'!$O$24,((ROW('ASWING AERO'!$A42)-ROW('ASWING AERO'!$A$24))*16/100),0)</f>
        <v>1.85</v>
      </c>
      <c r="AQ63" s="207">
        <f ca="1">OFFSET('ASWING AERO'!$P$24,((ROW('ASWING AERO'!$A42)-ROW('ASWING AERO'!$A$24))*16/100),0)</f>
        <v>-1.55</v>
      </c>
      <c r="AR63" s="8">
        <f ca="1">OFFSET('ASWING AERO'!$M$24,((ROW('ASWING AERO'!$A42)-ROW('ASWING AERO'!$A$24))*16/100),0)</f>
        <v>5.9690260418206069</v>
      </c>
    </row>
    <row r="64" spans="1:44" x14ac:dyDescent="0.25">
      <c r="A64">
        <f>Loads!A39</f>
        <v>19</v>
      </c>
      <c r="B64">
        <v>19</v>
      </c>
      <c r="C64">
        <f t="shared" si="0"/>
        <v>8.4543145750000007E-2</v>
      </c>
      <c r="D64">
        <f>Loads!B39</f>
        <v>4.5754594639999997</v>
      </c>
      <c r="E64">
        <f t="shared" si="1"/>
        <v>0</v>
      </c>
      <c r="F64">
        <f t="shared" si="2"/>
        <v>0</v>
      </c>
      <c r="G64" s="560">
        <f>Stiffness!AQ63/144</f>
        <v>3185960.0172867724</v>
      </c>
      <c r="H64" s="560">
        <f>Stiffness!AV63/144</f>
        <v>7743302.4210187793</v>
      </c>
      <c r="I64">
        <v>0</v>
      </c>
      <c r="J64">
        <v>0</v>
      </c>
      <c r="K64">
        <v>0</v>
      </c>
      <c r="L64" s="560">
        <f>Stiffness!BC63/144</f>
        <v>51377254.275638148</v>
      </c>
      <c r="M64">
        <v>0</v>
      </c>
      <c r="N64">
        <v>0</v>
      </c>
      <c r="O64">
        <v>0</v>
      </c>
      <c r="P64">
        <v>0</v>
      </c>
      <c r="Q64">
        <v>0</v>
      </c>
      <c r="R64">
        <f>'Weight '!BT65*'Weight '!$E$36/Stiffness!D63</f>
        <v>20.177931297327639</v>
      </c>
      <c r="S64">
        <f ca="1">'Weight '!BU65-$AL63*$AM63</f>
        <v>0.82880507394538361</v>
      </c>
      <c r="T64" s="2">
        <v>0</v>
      </c>
      <c r="U64">
        <v>0</v>
      </c>
      <c r="V64">
        <v>0</v>
      </c>
      <c r="W64">
        <v>0</v>
      </c>
      <c r="X64">
        <v>0</v>
      </c>
      <c r="Y64">
        <v>0</v>
      </c>
      <c r="Z64">
        <f ca="1">Stiffness!CV63-AL64*AM64</f>
        <v>0.42362669312776591</v>
      </c>
      <c r="AA64">
        <v>0</v>
      </c>
      <c r="AB64">
        <v>0</v>
      </c>
      <c r="AC64" s="207">
        <v>0</v>
      </c>
      <c r="AD64">
        <f t="shared" si="3"/>
        <v>2E-3</v>
      </c>
      <c r="AE64">
        <f t="shared" si="4"/>
        <v>2E-3</v>
      </c>
      <c r="AF64">
        <f t="shared" ca="1" si="5"/>
        <v>0</v>
      </c>
      <c r="AG64">
        <f t="shared" si="6"/>
        <v>0.42724164752999999</v>
      </c>
      <c r="AH64" s="565">
        <f>Sizing!AD79*(Sizing!CO79+Sizing!CP79) / (12^3)</f>
        <v>7.0552651501812214E-3</v>
      </c>
      <c r="AI64">
        <f t="shared" si="9"/>
        <v>0</v>
      </c>
      <c r="AJ64">
        <f t="shared" si="7"/>
        <v>0</v>
      </c>
      <c r="AK64">
        <f t="shared" si="8"/>
        <v>0</v>
      </c>
      <c r="AL64" s="207">
        <f>Loads!C39</f>
        <v>4.747129417</v>
      </c>
      <c r="AM64">
        <f ca="1">OFFSET('ASWING AERO'!$F$24,((ROW('ASWING AERO'!$A43)-ROW('ASWING AERO'!$A$24))*16/100),0)</f>
        <v>0.25</v>
      </c>
      <c r="AN64" s="207">
        <f ca="1">OFFSET('ASWING AERO'!$J$24,((ROW('ASWING AERO'!$A43)-ROW('ASWING AERO'!$A$24))*16/100),0)</f>
        <v>5.85</v>
      </c>
      <c r="AO64" s="207">
        <f ca="1">OFFSET('ASWING AERO'!$N$24,((ROW('ASWING AERO'!$A43)-ROW('ASWING AERO'!$A$24))*16/100),0)</f>
        <v>-0.15</v>
      </c>
      <c r="AP64" s="207">
        <f ca="1">OFFSET('ASWING AERO'!$O$24,((ROW('ASWING AERO'!$A43)-ROW('ASWING AERO'!$A$24))*16/100),0)</f>
        <v>1.85</v>
      </c>
      <c r="AQ64" s="207">
        <f ca="1">OFFSET('ASWING AERO'!$P$24,((ROW('ASWING AERO'!$A43)-ROW('ASWING AERO'!$A$24))*16/100),0)</f>
        <v>-1.55</v>
      </c>
      <c r="AR64" s="8">
        <f ca="1">OFFSET('ASWING AERO'!$M$24,((ROW('ASWING AERO'!$A43)-ROW('ASWING AERO'!$A$24))*16/100),0)</f>
        <v>5.9690260418206069</v>
      </c>
    </row>
    <row r="65" spans="1:44" x14ac:dyDescent="0.25">
      <c r="A65">
        <f>Loads!A40</f>
        <v>20</v>
      </c>
      <c r="B65">
        <v>20</v>
      </c>
      <c r="C65">
        <f t="shared" si="0"/>
        <v>8.8992785000000019E-2</v>
      </c>
      <c r="D65">
        <f>Loads!B40</f>
        <v>4.81627312</v>
      </c>
      <c r="E65">
        <f t="shared" si="1"/>
        <v>0</v>
      </c>
      <c r="F65">
        <f t="shared" si="2"/>
        <v>0</v>
      </c>
      <c r="G65" s="560">
        <f>Stiffness!AQ64/144</f>
        <v>2678787.4868018236</v>
      </c>
      <c r="H65" s="560">
        <f>Stiffness!AV64/144</f>
        <v>6125631.8786605429</v>
      </c>
      <c r="I65">
        <v>0</v>
      </c>
      <c r="J65">
        <v>0</v>
      </c>
      <c r="K65">
        <v>0</v>
      </c>
      <c r="L65" s="560">
        <f>Stiffness!BC64/144</f>
        <v>50801527.355969965</v>
      </c>
      <c r="M65">
        <v>0</v>
      </c>
      <c r="N65">
        <v>0</v>
      </c>
      <c r="O65">
        <v>0</v>
      </c>
      <c r="P65">
        <v>0</v>
      </c>
      <c r="Q65">
        <v>0</v>
      </c>
      <c r="R65">
        <f>'Weight '!BT66*'Weight '!$E$36/Stiffness!D64</f>
        <v>19.14354981371492</v>
      </c>
      <c r="S65">
        <f ca="1">'Weight '!BU66-$AL64*$AM64</f>
        <v>0.86642898583613137</v>
      </c>
      <c r="T65" s="2">
        <v>0</v>
      </c>
      <c r="U65">
        <v>0</v>
      </c>
      <c r="V65">
        <v>0</v>
      </c>
      <c r="W65">
        <v>0</v>
      </c>
      <c r="X65">
        <v>0</v>
      </c>
      <c r="Y65">
        <v>0</v>
      </c>
      <c r="Z65">
        <f ca="1">Stiffness!CV64-AL65*AM65</f>
        <v>0.4220469167725529</v>
      </c>
      <c r="AA65">
        <v>0</v>
      </c>
      <c r="AB65">
        <v>0</v>
      </c>
      <c r="AC65" s="207">
        <v>0</v>
      </c>
      <c r="AD65">
        <f t="shared" si="3"/>
        <v>2E-3</v>
      </c>
      <c r="AE65">
        <f t="shared" si="4"/>
        <v>2E-3</v>
      </c>
      <c r="AF65">
        <f t="shared" ca="1" si="5"/>
        <v>0</v>
      </c>
      <c r="AG65">
        <f t="shared" si="6"/>
        <v>0.42563977740000009</v>
      </c>
      <c r="AH65" s="565">
        <f>Sizing!AD80*(Sizing!CO80+Sizing!CP80) / (12^3)</f>
        <v>7.0024592881255234E-3</v>
      </c>
      <c r="AI65">
        <f t="shared" si="9"/>
        <v>0</v>
      </c>
      <c r="AJ65">
        <f t="shared" si="7"/>
        <v>0</v>
      </c>
      <c r="AK65">
        <f t="shared" si="8"/>
        <v>0</v>
      </c>
      <c r="AL65" s="207">
        <f>Loads!C40</f>
        <v>4.729330860000001</v>
      </c>
      <c r="AM65">
        <f ca="1">OFFSET('ASWING AERO'!$F$24,((ROW('ASWING AERO'!$A44)-ROW('ASWING AERO'!$A$24))*16/100),0)</f>
        <v>0.25</v>
      </c>
      <c r="AN65" s="207">
        <f ca="1">OFFSET('ASWING AERO'!$J$24,((ROW('ASWING AERO'!$A44)-ROW('ASWING AERO'!$A$24))*16/100),0)</f>
        <v>5.85</v>
      </c>
      <c r="AO65" s="207">
        <f ca="1">OFFSET('ASWING AERO'!$N$24,((ROW('ASWING AERO'!$A44)-ROW('ASWING AERO'!$A$24))*16/100),0)</f>
        <v>-0.15</v>
      </c>
      <c r="AP65" s="207">
        <f ca="1">OFFSET('ASWING AERO'!$O$24,((ROW('ASWING AERO'!$A44)-ROW('ASWING AERO'!$A$24))*16/100),0)</f>
        <v>1.85</v>
      </c>
      <c r="AQ65" s="207">
        <f ca="1">OFFSET('ASWING AERO'!$P$24,((ROW('ASWING AERO'!$A44)-ROW('ASWING AERO'!$A$24))*16/100),0)</f>
        <v>-1.55</v>
      </c>
      <c r="AR65" s="8">
        <f ca="1">OFFSET('ASWING AERO'!$M$24,((ROW('ASWING AERO'!$A44)-ROW('ASWING AERO'!$A$24))*16/100),0)</f>
        <v>5.9690260418206069</v>
      </c>
    </row>
    <row r="66" spans="1:44" x14ac:dyDescent="0.25">
      <c r="A66">
        <f>Loads!A41</f>
        <v>21</v>
      </c>
      <c r="B66">
        <v>21</v>
      </c>
      <c r="C66">
        <f t="shared" si="0"/>
        <v>9.3442424250000003E-2</v>
      </c>
      <c r="D66">
        <f>Loads!B41</f>
        <v>5.0570867759999993</v>
      </c>
      <c r="E66">
        <f t="shared" si="1"/>
        <v>0</v>
      </c>
      <c r="F66">
        <f t="shared" si="2"/>
        <v>0</v>
      </c>
      <c r="G66" s="560">
        <f>Stiffness!AQ65/144</f>
        <v>2634329.2007672694</v>
      </c>
      <c r="H66" s="560">
        <f>Stiffness!AV65/144</f>
        <v>6079611.7323551103</v>
      </c>
      <c r="I66">
        <v>0</v>
      </c>
      <c r="J66">
        <v>0</v>
      </c>
      <c r="K66">
        <v>0</v>
      </c>
      <c r="L66" s="560">
        <f>Stiffness!BC65/144</f>
        <v>50230117.596968465</v>
      </c>
      <c r="M66">
        <v>0</v>
      </c>
      <c r="N66">
        <v>0</v>
      </c>
      <c r="O66">
        <v>0</v>
      </c>
      <c r="P66">
        <v>0</v>
      </c>
      <c r="Q66">
        <v>0</v>
      </c>
      <c r="R66">
        <f>'Weight '!BT67*'Weight '!$E$36/Stiffness!D65</f>
        <v>19.085049903969814</v>
      </c>
      <c r="S66">
        <f ca="1">'Weight '!BU67-$AL65*$AM65</f>
        <v>0.86255436071811742</v>
      </c>
      <c r="T66" s="2">
        <v>0</v>
      </c>
      <c r="U66">
        <v>0</v>
      </c>
      <c r="V66">
        <v>0</v>
      </c>
      <c r="W66">
        <v>0</v>
      </c>
      <c r="X66">
        <v>0</v>
      </c>
      <c r="Y66">
        <v>0</v>
      </c>
      <c r="Z66">
        <f ca="1">Stiffness!CV65-AL66*AM66</f>
        <v>0.42046580106441311</v>
      </c>
      <c r="AA66">
        <v>0</v>
      </c>
      <c r="AB66">
        <v>0</v>
      </c>
      <c r="AC66" s="207">
        <v>0</v>
      </c>
      <c r="AD66">
        <f t="shared" si="3"/>
        <v>2E-3</v>
      </c>
      <c r="AE66">
        <f t="shared" si="4"/>
        <v>2E-3</v>
      </c>
      <c r="AF66">
        <f t="shared" ca="1" si="5"/>
        <v>0</v>
      </c>
      <c r="AG66">
        <f t="shared" si="6"/>
        <v>0.42403790727000001</v>
      </c>
      <c r="AH66" s="565">
        <f>Sizing!AD81*(Sizing!CO81+Sizing!CP81) / (12^3)</f>
        <v>6.9498517845535271E-3</v>
      </c>
      <c r="AI66">
        <f t="shared" si="9"/>
        <v>0</v>
      </c>
      <c r="AJ66">
        <f t="shared" si="7"/>
        <v>0</v>
      </c>
      <c r="AK66">
        <f t="shared" si="8"/>
        <v>0</v>
      </c>
      <c r="AL66" s="207">
        <f>Loads!C41</f>
        <v>4.7115323030000003</v>
      </c>
      <c r="AM66">
        <f ca="1">OFFSET('ASWING AERO'!$F$24,((ROW('ASWING AERO'!$A45)-ROW('ASWING AERO'!$A$24))*16/100),0)</f>
        <v>0.25</v>
      </c>
      <c r="AN66" s="207">
        <f ca="1">OFFSET('ASWING AERO'!$J$24,((ROW('ASWING AERO'!$A45)-ROW('ASWING AERO'!$A$24))*16/100),0)</f>
        <v>5.85</v>
      </c>
      <c r="AO66" s="207">
        <f ca="1">OFFSET('ASWING AERO'!$N$24,((ROW('ASWING AERO'!$A45)-ROW('ASWING AERO'!$A$24))*16/100),0)</f>
        <v>-0.15</v>
      </c>
      <c r="AP66" s="207">
        <f ca="1">OFFSET('ASWING AERO'!$O$24,((ROW('ASWING AERO'!$A45)-ROW('ASWING AERO'!$A$24))*16/100),0)</f>
        <v>1.85</v>
      </c>
      <c r="AQ66" s="207">
        <f ca="1">OFFSET('ASWING AERO'!$P$24,((ROW('ASWING AERO'!$A45)-ROW('ASWING AERO'!$A$24))*16/100),0)</f>
        <v>-1.55</v>
      </c>
      <c r="AR66" s="8">
        <f ca="1">OFFSET('ASWING AERO'!$M$24,((ROW('ASWING AERO'!$A45)-ROW('ASWING AERO'!$A$24))*16/100),0)</f>
        <v>5.9690260418206069</v>
      </c>
    </row>
    <row r="67" spans="1:44" x14ac:dyDescent="0.25">
      <c r="A67">
        <f>Loads!A42</f>
        <v>22</v>
      </c>
      <c r="B67">
        <v>22</v>
      </c>
      <c r="C67">
        <f t="shared" si="0"/>
        <v>9.7892063500000015E-2</v>
      </c>
      <c r="D67">
        <f>Loads!B42</f>
        <v>5.2979004319999996</v>
      </c>
      <c r="E67">
        <f t="shared" si="1"/>
        <v>0</v>
      </c>
      <c r="F67">
        <f t="shared" si="2"/>
        <v>0</v>
      </c>
      <c r="G67" s="560">
        <f>Stiffness!AQ66/144</f>
        <v>2590242.9324979321</v>
      </c>
      <c r="H67" s="560">
        <f>Stiffness!AV66/144</f>
        <v>6033765.106665967</v>
      </c>
      <c r="I67">
        <v>0</v>
      </c>
      <c r="J67">
        <v>0</v>
      </c>
      <c r="K67">
        <v>0</v>
      </c>
      <c r="L67" s="560">
        <f>Stiffness!BC66/144</f>
        <v>49663008.751254886</v>
      </c>
      <c r="M67">
        <v>0</v>
      </c>
      <c r="N67">
        <v>0</v>
      </c>
      <c r="O67">
        <v>0</v>
      </c>
      <c r="P67">
        <v>0</v>
      </c>
      <c r="Q67">
        <v>0</v>
      </c>
      <c r="R67">
        <f>'Weight '!BT68*'Weight '!$E$36/Stiffness!D66</f>
        <v>19.026549994224691</v>
      </c>
      <c r="S67">
        <f ca="1">'Weight '!BU68-$AL66*$AM66</f>
        <v>0.85868058904281197</v>
      </c>
      <c r="T67" s="2">
        <v>0</v>
      </c>
      <c r="U67">
        <v>0</v>
      </c>
      <c r="V67">
        <v>0</v>
      </c>
      <c r="W67">
        <v>0</v>
      </c>
      <c r="X67">
        <v>0</v>
      </c>
      <c r="Y67">
        <v>0</v>
      </c>
      <c r="Z67">
        <f ca="1">Stiffness!CV66-AL67*AM67</f>
        <v>0.41888343869125833</v>
      </c>
      <c r="AA67">
        <v>0</v>
      </c>
      <c r="AB67">
        <v>0</v>
      </c>
      <c r="AC67" s="207">
        <v>0</v>
      </c>
      <c r="AD67">
        <f t="shared" si="3"/>
        <v>2E-3</v>
      </c>
      <c r="AE67">
        <f t="shared" si="4"/>
        <v>2E-3</v>
      </c>
      <c r="AF67">
        <f t="shared" ca="1" si="5"/>
        <v>0</v>
      </c>
      <c r="AG67">
        <f t="shared" si="6"/>
        <v>0.42243603714</v>
      </c>
      <c r="AH67" s="565">
        <f>Sizing!AD82*(Sizing!CO82+Sizing!CP82) / (12^3)</f>
        <v>6.8974426394652413E-3</v>
      </c>
      <c r="AI67">
        <f t="shared" si="9"/>
        <v>0</v>
      </c>
      <c r="AJ67">
        <f t="shared" si="7"/>
        <v>0</v>
      </c>
      <c r="AK67">
        <f t="shared" si="8"/>
        <v>0</v>
      </c>
      <c r="AL67" s="207">
        <f>Loads!C42</f>
        <v>4.6937337460000004</v>
      </c>
      <c r="AM67">
        <f ca="1">OFFSET('ASWING AERO'!$F$24,((ROW('ASWING AERO'!$A46)-ROW('ASWING AERO'!$A$24))*16/100),0)</f>
        <v>0.25</v>
      </c>
      <c r="AN67" s="207">
        <f ca="1">OFFSET('ASWING AERO'!$J$24,((ROW('ASWING AERO'!$A46)-ROW('ASWING AERO'!$A$24))*16/100),0)</f>
        <v>5.85</v>
      </c>
      <c r="AO67" s="207">
        <f ca="1">OFFSET('ASWING AERO'!$N$24,((ROW('ASWING AERO'!$A46)-ROW('ASWING AERO'!$A$24))*16/100),0)</f>
        <v>-0.15</v>
      </c>
      <c r="AP67" s="207">
        <f ca="1">OFFSET('ASWING AERO'!$O$24,((ROW('ASWING AERO'!$A46)-ROW('ASWING AERO'!$A$24))*16/100),0)</f>
        <v>1.85</v>
      </c>
      <c r="AQ67" s="207">
        <f ca="1">OFFSET('ASWING AERO'!$P$24,((ROW('ASWING AERO'!$A46)-ROW('ASWING AERO'!$A$24))*16/100),0)</f>
        <v>-1.55</v>
      </c>
      <c r="AR67" s="8">
        <f ca="1">OFFSET('ASWING AERO'!$M$24,((ROW('ASWING AERO'!$A46)-ROW('ASWING AERO'!$A$24))*16/100),0)</f>
        <v>5.9690260418206069</v>
      </c>
    </row>
    <row r="68" spans="1:44" x14ac:dyDescent="0.25">
      <c r="A68">
        <f>Loads!A43</f>
        <v>23</v>
      </c>
      <c r="B68">
        <v>23</v>
      </c>
      <c r="C68">
        <f t="shared" si="0"/>
        <v>0.10234170275000001</v>
      </c>
      <c r="D68">
        <f>Loads!B43</f>
        <v>5.5387140879999999</v>
      </c>
      <c r="E68">
        <f t="shared" si="1"/>
        <v>0</v>
      </c>
      <c r="F68">
        <f t="shared" si="2"/>
        <v>0</v>
      </c>
      <c r="G68" s="560">
        <f>Stiffness!AQ67/144</f>
        <v>2546528.6819938095</v>
      </c>
      <c r="H68" s="560">
        <f>Stiffness!AV67/144</f>
        <v>5988092.001593112</v>
      </c>
      <c r="I68">
        <v>0</v>
      </c>
      <c r="J68">
        <v>0</v>
      </c>
      <c r="K68">
        <v>0</v>
      </c>
      <c r="L68" s="560">
        <f>Stiffness!BC67/144</f>
        <v>49100184.571450323</v>
      </c>
      <c r="M68">
        <v>0</v>
      </c>
      <c r="N68">
        <v>0</v>
      </c>
      <c r="O68">
        <v>0</v>
      </c>
      <c r="P68">
        <v>0</v>
      </c>
      <c r="Q68">
        <v>0</v>
      </c>
      <c r="R68">
        <f>'Weight '!BT69*'Weight '!$E$36/Stiffness!D67</f>
        <v>18.968050084479575</v>
      </c>
      <c r="S68">
        <f ca="1">'Weight '!BU69-$AL67*$AM67</f>
        <v>0.8548076787065948</v>
      </c>
      <c r="T68" s="2">
        <v>0</v>
      </c>
      <c r="U68">
        <v>0</v>
      </c>
      <c r="V68">
        <v>0</v>
      </c>
      <c r="W68">
        <v>0</v>
      </c>
      <c r="X68">
        <v>0</v>
      </c>
      <c r="Y68">
        <v>0</v>
      </c>
      <c r="Z68">
        <f ca="1">Stiffness!CV67-AL68*AM68</f>
        <v>0.41729991757667984</v>
      </c>
      <c r="AA68">
        <v>0</v>
      </c>
      <c r="AB68">
        <v>0</v>
      </c>
      <c r="AC68" s="207">
        <v>0</v>
      </c>
      <c r="AD68">
        <f t="shared" si="3"/>
        <v>2E-3</v>
      </c>
      <c r="AE68">
        <f t="shared" si="4"/>
        <v>2E-3</v>
      </c>
      <c r="AF68">
        <f t="shared" ca="1" si="5"/>
        <v>0</v>
      </c>
      <c r="AG68">
        <f t="shared" si="6"/>
        <v>0.42083416701000004</v>
      </c>
      <c r="AH68" s="565">
        <f>Sizing!AD83*(Sizing!CO83+Sizing!CP83) / (12^3)</f>
        <v>6.8452318528606634E-3</v>
      </c>
      <c r="AI68">
        <f t="shared" si="9"/>
        <v>0</v>
      </c>
      <c r="AJ68">
        <f t="shared" si="7"/>
        <v>0</v>
      </c>
      <c r="AK68">
        <f t="shared" si="8"/>
        <v>0</v>
      </c>
      <c r="AL68" s="207">
        <f>Loads!C43</f>
        <v>4.6759351890000005</v>
      </c>
      <c r="AM68">
        <f ca="1">OFFSET('ASWING AERO'!$F$24,((ROW('ASWING AERO'!$A47)-ROW('ASWING AERO'!$A$24))*16/100),0)</f>
        <v>0.25</v>
      </c>
      <c r="AN68" s="207">
        <f ca="1">OFFSET('ASWING AERO'!$J$24,((ROW('ASWING AERO'!$A47)-ROW('ASWING AERO'!$A$24))*16/100),0)</f>
        <v>5.85</v>
      </c>
      <c r="AO68" s="207">
        <f ca="1">OFFSET('ASWING AERO'!$N$24,((ROW('ASWING AERO'!$A47)-ROW('ASWING AERO'!$A$24))*16/100),0)</f>
        <v>-0.15</v>
      </c>
      <c r="AP68" s="207">
        <f ca="1">OFFSET('ASWING AERO'!$O$24,((ROW('ASWING AERO'!$A47)-ROW('ASWING AERO'!$A$24))*16/100),0)</f>
        <v>1.85</v>
      </c>
      <c r="AQ68" s="207">
        <f ca="1">OFFSET('ASWING AERO'!$P$24,((ROW('ASWING AERO'!$A47)-ROW('ASWING AERO'!$A$24))*16/100),0)</f>
        <v>-1.55</v>
      </c>
      <c r="AR68" s="8">
        <f ca="1">OFFSET('ASWING AERO'!$M$24,((ROW('ASWING AERO'!$A47)-ROW('ASWING AERO'!$A$24))*16/100),0)</f>
        <v>5.9690260418206069</v>
      </c>
    </row>
    <row r="69" spans="1:44" x14ac:dyDescent="0.25">
      <c r="A69">
        <f>Loads!A44</f>
        <v>24</v>
      </c>
      <c r="B69">
        <v>24</v>
      </c>
      <c r="C69">
        <f t="shared" si="0"/>
        <v>0.10679134200000001</v>
      </c>
      <c r="D69">
        <f>Loads!B44</f>
        <v>5.7795277439999992</v>
      </c>
      <c r="E69">
        <f t="shared" si="1"/>
        <v>0</v>
      </c>
      <c r="F69">
        <f t="shared" si="2"/>
        <v>0</v>
      </c>
      <c r="G69" s="560">
        <f>Stiffness!AQ68/144</f>
        <v>2503186.4492549002</v>
      </c>
      <c r="H69" s="560">
        <f>Stiffness!AV68/144</f>
        <v>5942592.4171365472</v>
      </c>
      <c r="I69">
        <v>0</v>
      </c>
      <c r="J69">
        <v>0</v>
      </c>
      <c r="K69">
        <v>0</v>
      </c>
      <c r="L69" s="560">
        <f>Stiffness!BC68/144</f>
        <v>48541628.81017597</v>
      </c>
      <c r="M69">
        <v>0</v>
      </c>
      <c r="N69">
        <v>0</v>
      </c>
      <c r="O69">
        <v>0</v>
      </c>
      <c r="P69">
        <v>0</v>
      </c>
      <c r="Q69">
        <v>0</v>
      </c>
      <c r="R69">
        <f>'Weight '!BT70*'Weight '!$E$36/Stiffness!D68</f>
        <v>18.909550174734466</v>
      </c>
      <c r="S69">
        <f ca="1">'Weight '!BU70-$AL68*$AM68</f>
        <v>0.85093563770356129</v>
      </c>
      <c r="T69" s="2">
        <v>0</v>
      </c>
      <c r="U69">
        <v>0</v>
      </c>
      <c r="V69">
        <v>0</v>
      </c>
      <c r="W69">
        <v>0</v>
      </c>
      <c r="X69">
        <v>0</v>
      </c>
      <c r="Y69">
        <v>0</v>
      </c>
      <c r="Z69">
        <f ca="1">Stiffness!CV68-AL69*AM69</f>
        <v>0.41571532104087594</v>
      </c>
      <c r="AA69">
        <v>0</v>
      </c>
      <c r="AB69">
        <v>0</v>
      </c>
      <c r="AC69" s="207">
        <v>0</v>
      </c>
      <c r="AD69">
        <f t="shared" si="3"/>
        <v>2E-3</v>
      </c>
      <c r="AE69">
        <f t="shared" si="4"/>
        <v>2E-3</v>
      </c>
      <c r="AF69">
        <f t="shared" ca="1" si="5"/>
        <v>0</v>
      </c>
      <c r="AG69">
        <f t="shared" si="6"/>
        <v>0.41923229688000002</v>
      </c>
      <c r="AH69" s="565">
        <f>Sizing!AD84*(Sizing!CO84+Sizing!CP84) / (12^3)</f>
        <v>6.7932194247397942E-3</v>
      </c>
      <c r="AI69">
        <f t="shared" si="9"/>
        <v>0</v>
      </c>
      <c r="AJ69">
        <f t="shared" si="7"/>
        <v>0</v>
      </c>
      <c r="AK69">
        <f t="shared" si="8"/>
        <v>0</v>
      </c>
      <c r="AL69" s="207">
        <f>Loads!C44</f>
        <v>4.6581366320000006</v>
      </c>
      <c r="AM69">
        <f ca="1">OFFSET('ASWING AERO'!$F$24,((ROW('ASWING AERO'!$A48)-ROW('ASWING AERO'!$A$24))*16/100),0)</f>
        <v>0.25</v>
      </c>
      <c r="AN69" s="207">
        <f ca="1">OFFSET('ASWING AERO'!$J$24,((ROW('ASWING AERO'!$A48)-ROW('ASWING AERO'!$A$24))*16/100),0)</f>
        <v>5.85</v>
      </c>
      <c r="AO69" s="207">
        <f ca="1">OFFSET('ASWING AERO'!$N$24,((ROW('ASWING AERO'!$A48)-ROW('ASWING AERO'!$A$24))*16/100),0)</f>
        <v>-0.15</v>
      </c>
      <c r="AP69" s="207">
        <f ca="1">OFFSET('ASWING AERO'!$O$24,((ROW('ASWING AERO'!$A48)-ROW('ASWING AERO'!$A$24))*16/100),0)</f>
        <v>1.85</v>
      </c>
      <c r="AQ69" s="207">
        <f ca="1">OFFSET('ASWING AERO'!$P$24,((ROW('ASWING AERO'!$A48)-ROW('ASWING AERO'!$A$24))*16/100),0)</f>
        <v>-1.55</v>
      </c>
      <c r="AR69" s="8">
        <f ca="1">OFFSET('ASWING AERO'!$M$24,((ROW('ASWING AERO'!$A48)-ROW('ASWING AERO'!$A$24))*16/100),0)</f>
        <v>5.9690260418206069</v>
      </c>
    </row>
    <row r="70" spans="1:44" x14ac:dyDescent="0.25">
      <c r="A70">
        <f>Loads!A45</f>
        <v>25</v>
      </c>
      <c r="B70">
        <v>25</v>
      </c>
      <c r="C70">
        <f t="shared" si="0"/>
        <v>0.11124098125000001</v>
      </c>
      <c r="D70">
        <f>Loads!B45</f>
        <v>6.0203413999999995</v>
      </c>
      <c r="E70">
        <f t="shared" si="1"/>
        <v>0</v>
      </c>
      <c r="F70">
        <f t="shared" si="2"/>
        <v>0</v>
      </c>
      <c r="G70" s="560">
        <f>Stiffness!AQ69/144</f>
        <v>1486788.8698275278</v>
      </c>
      <c r="H70" s="560">
        <f>Stiffness!AV69/144</f>
        <v>5897266.3532962687</v>
      </c>
      <c r="I70">
        <v>0</v>
      </c>
      <c r="J70">
        <v>0</v>
      </c>
      <c r="K70">
        <v>0</v>
      </c>
      <c r="L70" s="560">
        <f>Stiffness!BC69/144</f>
        <v>39989437.683377422</v>
      </c>
      <c r="M70">
        <v>0</v>
      </c>
      <c r="N70">
        <v>0</v>
      </c>
      <c r="O70">
        <v>0</v>
      </c>
      <c r="P70">
        <v>0</v>
      </c>
      <c r="Q70">
        <v>0</v>
      </c>
      <c r="R70">
        <f>'Weight '!BT71*'Weight '!$E$36/Stiffness!D69</f>
        <v>19.816392760820303</v>
      </c>
      <c r="S70">
        <f ca="1">'Weight '!BU71-$AL69*$AM69</f>
        <v>0.87640406857216901</v>
      </c>
      <c r="T70" s="2">
        <v>0</v>
      </c>
      <c r="U70">
        <v>0</v>
      </c>
      <c r="V70">
        <v>0</v>
      </c>
      <c r="W70">
        <v>0</v>
      </c>
      <c r="X70">
        <v>0</v>
      </c>
      <c r="Y70">
        <v>0</v>
      </c>
      <c r="Z70">
        <f ca="1">Stiffness!CV69-AL70*AM70</f>
        <v>0.4141297279586742</v>
      </c>
      <c r="AA70">
        <v>0</v>
      </c>
      <c r="AB70">
        <v>0</v>
      </c>
      <c r="AC70" s="207">
        <v>0</v>
      </c>
      <c r="AD70">
        <f t="shared" si="3"/>
        <v>2E-3</v>
      </c>
      <c r="AE70">
        <f t="shared" si="4"/>
        <v>2E-3</v>
      </c>
      <c r="AF70">
        <f t="shared" ca="1" si="5"/>
        <v>0</v>
      </c>
      <c r="AG70">
        <f t="shared" si="6"/>
        <v>0.41763042675000006</v>
      </c>
      <c r="AH70" s="565">
        <f>Sizing!AD85*(Sizing!CO85+Sizing!CP85) / (12^3)</f>
        <v>5.6178377959188609E-3</v>
      </c>
      <c r="AI70">
        <f t="shared" si="9"/>
        <v>0</v>
      </c>
      <c r="AJ70">
        <f t="shared" si="7"/>
        <v>0</v>
      </c>
      <c r="AK70">
        <f t="shared" si="8"/>
        <v>0</v>
      </c>
      <c r="AL70" s="207">
        <f>Loads!C45</f>
        <v>4.6403380750000007</v>
      </c>
      <c r="AM70">
        <f ca="1">OFFSET('ASWING AERO'!$F$24,((ROW('ASWING AERO'!$A49)-ROW('ASWING AERO'!$A$24))*16/100),0)</f>
        <v>0.25</v>
      </c>
      <c r="AN70" s="207">
        <f ca="1">OFFSET('ASWING AERO'!$J$24,((ROW('ASWING AERO'!$A49)-ROW('ASWING AERO'!$A$24))*16/100),0)</f>
        <v>5.85</v>
      </c>
      <c r="AO70" s="207">
        <f ca="1">OFFSET('ASWING AERO'!$N$24,((ROW('ASWING AERO'!$A49)-ROW('ASWING AERO'!$A$24))*16/100),0)</f>
        <v>-0.15</v>
      </c>
      <c r="AP70" s="207">
        <f ca="1">OFFSET('ASWING AERO'!$O$24,((ROW('ASWING AERO'!$A49)-ROW('ASWING AERO'!$A$24))*16/100),0)</f>
        <v>1.85</v>
      </c>
      <c r="AQ70" s="207">
        <f ca="1">OFFSET('ASWING AERO'!$P$24,((ROW('ASWING AERO'!$A49)-ROW('ASWING AERO'!$A$24))*16/100),0)</f>
        <v>-1.55</v>
      </c>
      <c r="AR70" s="8">
        <f ca="1">OFFSET('ASWING AERO'!$M$24,((ROW('ASWING AERO'!$A49)-ROW('ASWING AERO'!$A$24))*16/100),0)</f>
        <v>5.9690260418206069</v>
      </c>
    </row>
    <row r="71" spans="1:44" x14ac:dyDescent="0.25">
      <c r="A71">
        <f>Loads!A46</f>
        <v>26</v>
      </c>
      <c r="B71">
        <v>26</v>
      </c>
      <c r="C71">
        <f t="shared" si="0"/>
        <v>0.11569062050000001</v>
      </c>
      <c r="D71">
        <f>Loads!B46</f>
        <v>6.2611550559999998</v>
      </c>
      <c r="E71">
        <f t="shared" si="1"/>
        <v>0</v>
      </c>
      <c r="F71">
        <f t="shared" si="2"/>
        <v>0</v>
      </c>
      <c r="G71" s="560">
        <f>Stiffness!AQ70/144</f>
        <v>1453714.9366566869</v>
      </c>
      <c r="H71" s="560">
        <f>Stiffness!AV70/144</f>
        <v>5852113.8100722721</v>
      </c>
      <c r="I71">
        <v>0</v>
      </c>
      <c r="J71">
        <v>0</v>
      </c>
      <c r="K71">
        <v>0</v>
      </c>
      <c r="L71" s="560">
        <f>Stiffness!BC70/144</f>
        <v>39531047.961418591</v>
      </c>
      <c r="M71">
        <v>0</v>
      </c>
      <c r="N71">
        <v>0</v>
      </c>
      <c r="O71">
        <v>0</v>
      </c>
      <c r="P71">
        <v>0</v>
      </c>
      <c r="Q71">
        <v>0</v>
      </c>
      <c r="R71">
        <f>'Weight '!BT72*'Weight '!$E$36/Stiffness!D70</f>
        <v>19.754197254974116</v>
      </c>
      <c r="S71">
        <f ca="1">'Weight '!BU72-$AL70*$AM70</f>
        <v>0.87243044689731031</v>
      </c>
      <c r="T71" s="2">
        <v>0</v>
      </c>
      <c r="U71">
        <v>0</v>
      </c>
      <c r="V71">
        <v>0</v>
      </c>
      <c r="W71">
        <v>0</v>
      </c>
      <c r="X71">
        <v>0</v>
      </c>
      <c r="Y71">
        <v>0</v>
      </c>
      <c r="Z71">
        <f ca="1">Stiffness!CV70-AL71*AM71</f>
        <v>0.41254321291466578</v>
      </c>
      <c r="AA71">
        <v>0</v>
      </c>
      <c r="AB71">
        <v>0</v>
      </c>
      <c r="AC71" s="207">
        <v>0</v>
      </c>
      <c r="AD71">
        <f t="shared" si="3"/>
        <v>2E-3</v>
      </c>
      <c r="AE71">
        <f t="shared" si="4"/>
        <v>2E-3</v>
      </c>
      <c r="AF71">
        <f t="shared" ca="1" si="5"/>
        <v>0</v>
      </c>
      <c r="AG71">
        <f t="shared" si="6"/>
        <v>0.41602855661999999</v>
      </c>
      <c r="AH71" s="565">
        <f>Sizing!AD86*(Sizing!CO86+Sizing!CP86) / (12^3)</f>
        <v>5.5748247032909809E-3</v>
      </c>
      <c r="AI71">
        <f t="shared" si="9"/>
        <v>0</v>
      </c>
      <c r="AJ71">
        <f t="shared" si="7"/>
        <v>0</v>
      </c>
      <c r="AK71">
        <f t="shared" si="8"/>
        <v>0</v>
      </c>
      <c r="AL71" s="207">
        <f>Loads!C46</f>
        <v>4.622539518</v>
      </c>
      <c r="AM71">
        <f ca="1">OFFSET('ASWING AERO'!$F$24,((ROW('ASWING AERO'!$A50)-ROW('ASWING AERO'!$A$24))*16/100),0)</f>
        <v>0.25</v>
      </c>
      <c r="AN71" s="207">
        <f ca="1">OFFSET('ASWING AERO'!$J$24,((ROW('ASWING AERO'!$A50)-ROW('ASWING AERO'!$A$24))*16/100),0)</f>
        <v>5.85</v>
      </c>
      <c r="AO71" s="207">
        <f ca="1">OFFSET('ASWING AERO'!$N$24,((ROW('ASWING AERO'!$A50)-ROW('ASWING AERO'!$A$24))*16/100),0)</f>
        <v>-0.15</v>
      </c>
      <c r="AP71" s="207">
        <f ca="1">OFFSET('ASWING AERO'!$O$24,((ROW('ASWING AERO'!$A50)-ROW('ASWING AERO'!$A$24))*16/100),0)</f>
        <v>1.85</v>
      </c>
      <c r="AQ71" s="207">
        <f ca="1">OFFSET('ASWING AERO'!$P$24,((ROW('ASWING AERO'!$A50)-ROW('ASWING AERO'!$A$24))*16/100),0)</f>
        <v>-1.55</v>
      </c>
      <c r="AR71" s="8">
        <f ca="1">OFFSET('ASWING AERO'!$M$24,((ROW('ASWING AERO'!$A50)-ROW('ASWING AERO'!$A$24))*16/100),0)</f>
        <v>5.9690260418206069</v>
      </c>
    </row>
    <row r="72" spans="1:44" x14ac:dyDescent="0.25">
      <c r="A72">
        <f>Loads!A47</f>
        <v>27</v>
      </c>
      <c r="B72">
        <v>27</v>
      </c>
      <c r="C72">
        <f t="shared" si="0"/>
        <v>0.12014025975000002</v>
      </c>
      <c r="D72">
        <f>Loads!B47</f>
        <v>6.501968712</v>
      </c>
      <c r="E72">
        <f t="shared" si="1"/>
        <v>0</v>
      </c>
      <c r="F72">
        <f t="shared" si="2"/>
        <v>0</v>
      </c>
      <c r="G72" s="560">
        <f>Stiffness!AQ71/144</f>
        <v>1421013.0212510624</v>
      </c>
      <c r="H72" s="560">
        <f>Stiffness!AV71/144</f>
        <v>5807134.787464573</v>
      </c>
      <c r="I72">
        <v>0</v>
      </c>
      <c r="J72">
        <v>0</v>
      </c>
      <c r="K72">
        <v>0</v>
      </c>
      <c r="L72" s="560">
        <f>Stiffness!BC71/144</f>
        <v>39076174.636454485</v>
      </c>
      <c r="M72">
        <v>0</v>
      </c>
      <c r="N72">
        <v>0</v>
      </c>
      <c r="O72">
        <v>0</v>
      </c>
      <c r="P72">
        <v>0</v>
      </c>
      <c r="Q72">
        <v>0</v>
      </c>
      <c r="R72">
        <f>'Weight '!BT73*'Weight '!$E$36/Stiffness!D71</f>
        <v>19.692001749127929</v>
      </c>
      <c r="S72">
        <f ca="1">'Weight '!BU73-$AL71*$AM71</f>
        <v>0.86845766314563466</v>
      </c>
      <c r="T72" s="2">
        <v>0</v>
      </c>
      <c r="U72">
        <v>0</v>
      </c>
      <c r="V72">
        <v>0</v>
      </c>
      <c r="W72">
        <v>0</v>
      </c>
      <c r="X72">
        <v>0</v>
      </c>
      <c r="Y72">
        <v>0</v>
      </c>
      <c r="Z72">
        <f ca="1">Stiffness!CV71-AL72*AM72</f>
        <v>0.41095584635548565</v>
      </c>
      <c r="AA72">
        <v>0</v>
      </c>
      <c r="AB72">
        <v>0</v>
      </c>
      <c r="AC72" s="207">
        <v>0</v>
      </c>
      <c r="AD72">
        <f t="shared" si="3"/>
        <v>2E-3</v>
      </c>
      <c r="AE72">
        <f t="shared" si="4"/>
        <v>2E-3</v>
      </c>
      <c r="AF72">
        <f t="shared" ca="1" si="5"/>
        <v>0</v>
      </c>
      <c r="AG72">
        <f t="shared" si="6"/>
        <v>0.41442668649000008</v>
      </c>
      <c r="AH72" s="565">
        <f>Sizing!AD87*(Sizing!CO87+Sizing!CP87) / (12^3)</f>
        <v>5.5319769093995289E-3</v>
      </c>
      <c r="AI72">
        <f t="shared" si="9"/>
        <v>0</v>
      </c>
      <c r="AJ72">
        <f t="shared" si="7"/>
        <v>0</v>
      </c>
      <c r="AK72">
        <f t="shared" si="8"/>
        <v>0</v>
      </c>
      <c r="AL72" s="207">
        <f>Loads!C47</f>
        <v>4.604740961000001</v>
      </c>
      <c r="AM72">
        <f ca="1">OFFSET('ASWING AERO'!$F$24,((ROW('ASWING AERO'!$A51)-ROW('ASWING AERO'!$A$24))*16/100),0)</f>
        <v>0.25</v>
      </c>
      <c r="AN72" s="207">
        <f ca="1">OFFSET('ASWING AERO'!$J$24,((ROW('ASWING AERO'!$A51)-ROW('ASWING AERO'!$A$24))*16/100),0)</f>
        <v>5.85</v>
      </c>
      <c r="AO72" s="207">
        <f ca="1">OFFSET('ASWING AERO'!$N$24,((ROW('ASWING AERO'!$A51)-ROW('ASWING AERO'!$A$24))*16/100),0)</f>
        <v>-0.15</v>
      </c>
      <c r="AP72" s="207">
        <f ca="1">OFFSET('ASWING AERO'!$O$24,((ROW('ASWING AERO'!$A51)-ROW('ASWING AERO'!$A$24))*16/100),0)</f>
        <v>1.85</v>
      </c>
      <c r="AQ72" s="207">
        <f ca="1">OFFSET('ASWING AERO'!$P$24,((ROW('ASWING AERO'!$A51)-ROW('ASWING AERO'!$A$24))*16/100),0)</f>
        <v>-1.55</v>
      </c>
      <c r="AR72" s="8">
        <f ca="1">OFFSET('ASWING AERO'!$M$24,((ROW('ASWING AERO'!$A51)-ROW('ASWING AERO'!$A$24))*16/100),0)</f>
        <v>5.9690260418206069</v>
      </c>
    </row>
    <row r="73" spans="1:44" x14ac:dyDescent="0.25">
      <c r="A73">
        <f>Loads!A48</f>
        <v>28</v>
      </c>
      <c r="B73">
        <v>28</v>
      </c>
      <c r="C73">
        <f t="shared" si="0"/>
        <v>0.12458989900000002</v>
      </c>
      <c r="D73">
        <f>Loads!B48</f>
        <v>6.7427823680000003</v>
      </c>
      <c r="E73">
        <f t="shared" si="1"/>
        <v>0</v>
      </c>
      <c r="F73">
        <f t="shared" si="2"/>
        <v>0</v>
      </c>
      <c r="G73" s="560">
        <f>Stiffness!AQ72/144</f>
        <v>1388683.1236106495</v>
      </c>
      <c r="H73" s="560">
        <f>Stiffness!AV72/144</f>
        <v>5762329.2854731511</v>
      </c>
      <c r="I73">
        <v>0</v>
      </c>
      <c r="J73">
        <v>0</v>
      </c>
      <c r="K73">
        <v>0</v>
      </c>
      <c r="L73" s="560">
        <f>Stiffness!BC72/144</f>
        <v>38624804.169002652</v>
      </c>
      <c r="M73">
        <v>0</v>
      </c>
      <c r="N73">
        <v>0</v>
      </c>
      <c r="O73">
        <v>0</v>
      </c>
      <c r="P73">
        <v>0</v>
      </c>
      <c r="Q73">
        <v>0</v>
      </c>
      <c r="R73">
        <f>'Weight '!BT74*'Weight '!$E$36/Stiffness!D72</f>
        <v>19.629806243281745</v>
      </c>
      <c r="S73">
        <f ca="1">'Weight '!BU74-$AL72*$AM72</f>
        <v>0.86448572528182011</v>
      </c>
      <c r="T73" s="2">
        <v>0</v>
      </c>
      <c r="U73">
        <v>0</v>
      </c>
      <c r="V73">
        <v>0</v>
      </c>
      <c r="W73">
        <v>0</v>
      </c>
      <c r="X73">
        <v>0</v>
      </c>
      <c r="Y73">
        <v>0</v>
      </c>
      <c r="Z73">
        <f ca="1">Stiffness!CV72-AL73*AM73</f>
        <v>0.40936769473925283</v>
      </c>
      <c r="AA73">
        <v>0</v>
      </c>
      <c r="AB73">
        <v>0</v>
      </c>
      <c r="AC73" s="207">
        <v>0</v>
      </c>
      <c r="AD73">
        <f t="shared" si="3"/>
        <v>2E-3</v>
      </c>
      <c r="AE73">
        <f t="shared" si="4"/>
        <v>2E-3</v>
      </c>
      <c r="AF73">
        <f t="shared" ca="1" si="5"/>
        <v>0</v>
      </c>
      <c r="AG73">
        <f t="shared" si="6"/>
        <v>0.41282481636000001</v>
      </c>
      <c r="AH73" s="565">
        <f>Sizing!AD88*(Sizing!CO88+Sizing!CP88) / (12^3)</f>
        <v>5.4892944142444942E-3</v>
      </c>
      <c r="AI73">
        <f t="shared" si="9"/>
        <v>0</v>
      </c>
      <c r="AJ73">
        <f t="shared" si="7"/>
        <v>0</v>
      </c>
      <c r="AK73">
        <f t="shared" si="8"/>
        <v>0</v>
      </c>
      <c r="AL73" s="207">
        <f>Loads!C48</f>
        <v>4.5869424040000002</v>
      </c>
      <c r="AM73">
        <f ca="1">OFFSET('ASWING AERO'!$F$24,((ROW('ASWING AERO'!$A52)-ROW('ASWING AERO'!$A$24))*16/100),0)</f>
        <v>0.25</v>
      </c>
      <c r="AN73" s="207">
        <f ca="1">OFFSET('ASWING AERO'!$J$24,((ROW('ASWING AERO'!$A52)-ROW('ASWING AERO'!$A$24))*16/100),0)</f>
        <v>5.85</v>
      </c>
      <c r="AO73" s="207">
        <f ca="1">OFFSET('ASWING AERO'!$N$24,((ROW('ASWING AERO'!$A52)-ROW('ASWING AERO'!$A$24))*16/100),0)</f>
        <v>-0.15</v>
      </c>
      <c r="AP73" s="207">
        <f ca="1">OFFSET('ASWING AERO'!$O$24,((ROW('ASWING AERO'!$A52)-ROW('ASWING AERO'!$A$24))*16/100),0)</f>
        <v>1.85</v>
      </c>
      <c r="AQ73" s="207">
        <f ca="1">OFFSET('ASWING AERO'!$P$24,((ROW('ASWING AERO'!$A52)-ROW('ASWING AERO'!$A$24))*16/100),0)</f>
        <v>-1.55</v>
      </c>
      <c r="AR73" s="8">
        <f ca="1">OFFSET('ASWING AERO'!$M$24,((ROW('ASWING AERO'!$A52)-ROW('ASWING AERO'!$A$24))*16/100),0)</f>
        <v>5.9690260418206069</v>
      </c>
    </row>
    <row r="74" spans="1:44" x14ac:dyDescent="0.25">
      <c r="A74">
        <f>Loads!A49</f>
        <v>29</v>
      </c>
      <c r="B74">
        <v>29</v>
      </c>
      <c r="C74">
        <f t="shared" si="0"/>
        <v>0.12903953825</v>
      </c>
      <c r="D74">
        <f>Loads!B49</f>
        <v>6.9835960239999988</v>
      </c>
      <c r="E74">
        <f t="shared" si="1"/>
        <v>0</v>
      </c>
      <c r="F74">
        <f t="shared" si="2"/>
        <v>0</v>
      </c>
      <c r="G74" s="560">
        <f>Stiffness!AQ73/144</f>
        <v>1356725.2437354543</v>
      </c>
      <c r="H74" s="560">
        <f>Stiffness!AV73/144</f>
        <v>5717697.3040980231</v>
      </c>
      <c r="I74">
        <v>0</v>
      </c>
      <c r="J74">
        <v>0</v>
      </c>
      <c r="K74">
        <v>0</v>
      </c>
      <c r="L74" s="560">
        <f>Stiffness!BC73/144</f>
        <v>38176923.019580759</v>
      </c>
      <c r="M74">
        <v>0</v>
      </c>
      <c r="N74">
        <v>0</v>
      </c>
      <c r="O74">
        <v>0</v>
      </c>
      <c r="P74">
        <v>0</v>
      </c>
      <c r="Q74">
        <v>0</v>
      </c>
      <c r="R74">
        <f>'Weight '!BT75*'Weight '!$E$36/Stiffness!D73</f>
        <v>19.567610737435558</v>
      </c>
      <c r="S74">
        <f ca="1">'Weight '!BU75-$AL73*$AM73</f>
        <v>0.86051464137181677</v>
      </c>
      <c r="T74" s="2">
        <v>0</v>
      </c>
      <c r="U74">
        <v>0</v>
      </c>
      <c r="V74">
        <v>0</v>
      </c>
      <c r="W74">
        <v>0</v>
      </c>
      <c r="X74">
        <v>0</v>
      </c>
      <c r="Y74">
        <v>0</v>
      </c>
      <c r="Z74">
        <f ca="1">Stiffness!CV73-AL74*AM74</f>
        <v>0.40777882068219928</v>
      </c>
      <c r="AA74">
        <v>0</v>
      </c>
      <c r="AB74">
        <v>0</v>
      </c>
      <c r="AC74" s="207">
        <v>0</v>
      </c>
      <c r="AD74">
        <f t="shared" si="3"/>
        <v>2E-3</v>
      </c>
      <c r="AE74">
        <f t="shared" si="4"/>
        <v>2E-3</v>
      </c>
      <c r="AF74">
        <f t="shared" ca="1" si="5"/>
        <v>0</v>
      </c>
      <c r="AG74">
        <f t="shared" si="6"/>
        <v>0.41122294623</v>
      </c>
      <c r="AH74" s="565">
        <f>Sizing!AD89*(Sizing!CO89+Sizing!CP89) / (12^3)</f>
        <v>5.4467772178258874E-3</v>
      </c>
      <c r="AI74">
        <f t="shared" si="9"/>
        <v>0</v>
      </c>
      <c r="AJ74">
        <f t="shared" si="7"/>
        <v>0</v>
      </c>
      <c r="AK74">
        <f t="shared" si="8"/>
        <v>0</v>
      </c>
      <c r="AL74" s="207">
        <f>Loads!C49</f>
        <v>4.5691438470000003</v>
      </c>
      <c r="AM74">
        <f ca="1">OFFSET('ASWING AERO'!$F$24,((ROW('ASWING AERO'!$A53)-ROW('ASWING AERO'!$A$24))*16/100),0)</f>
        <v>0.25</v>
      </c>
      <c r="AN74" s="207">
        <f ca="1">OFFSET('ASWING AERO'!$J$24,((ROW('ASWING AERO'!$A53)-ROW('ASWING AERO'!$A$24))*16/100),0)</f>
        <v>5.85</v>
      </c>
      <c r="AO74" s="207">
        <f ca="1">OFFSET('ASWING AERO'!$N$24,((ROW('ASWING AERO'!$A53)-ROW('ASWING AERO'!$A$24))*16/100),0)</f>
        <v>-0.15</v>
      </c>
      <c r="AP74" s="207">
        <f ca="1">OFFSET('ASWING AERO'!$O$24,((ROW('ASWING AERO'!$A53)-ROW('ASWING AERO'!$A$24))*16/100),0)</f>
        <v>1.85</v>
      </c>
      <c r="AQ74" s="207">
        <f ca="1">OFFSET('ASWING AERO'!$P$24,((ROW('ASWING AERO'!$A53)-ROW('ASWING AERO'!$A$24))*16/100),0)</f>
        <v>-1.55</v>
      </c>
      <c r="AR74" s="8">
        <f ca="1">OFFSET('ASWING AERO'!$M$24,((ROW('ASWING AERO'!$A53)-ROW('ASWING AERO'!$A$24))*16/100),0)</f>
        <v>5.9690260418206069</v>
      </c>
    </row>
    <row r="75" spans="1:44" x14ac:dyDescent="0.25">
      <c r="A75">
        <f>Loads!A50</f>
        <v>30</v>
      </c>
      <c r="B75">
        <v>30</v>
      </c>
      <c r="C75">
        <f t="shared" si="0"/>
        <v>0.1334891775</v>
      </c>
      <c r="D75">
        <f>Loads!B50</f>
        <v>7.2244096799999991</v>
      </c>
      <c r="E75">
        <f t="shared" si="1"/>
        <v>0</v>
      </c>
      <c r="F75">
        <f t="shared" si="2"/>
        <v>0</v>
      </c>
      <c r="G75" s="560">
        <f>Stiffness!AQ74/144</f>
        <v>1129349.1898796519</v>
      </c>
      <c r="H75" s="560">
        <f>Stiffness!AV74/144</f>
        <v>4373333.9166987604</v>
      </c>
      <c r="I75">
        <v>0</v>
      </c>
      <c r="J75">
        <v>0</v>
      </c>
      <c r="K75">
        <v>0</v>
      </c>
      <c r="L75" s="560">
        <f>Stiffness!BC74/144</f>
        <v>37732517.648706436</v>
      </c>
      <c r="M75">
        <v>0</v>
      </c>
      <c r="N75">
        <v>0</v>
      </c>
      <c r="O75">
        <v>0</v>
      </c>
      <c r="P75">
        <v>0</v>
      </c>
      <c r="Q75">
        <v>0</v>
      </c>
      <c r="R75">
        <f>'Weight '!BT76*'Weight '!$E$36/Stiffness!D74</f>
        <v>18.644264538520918</v>
      </c>
      <c r="S75">
        <f ca="1">'Weight '!BU76-$AL74*$AM74</f>
        <v>0.89555864536570451</v>
      </c>
      <c r="T75" s="2">
        <v>0</v>
      </c>
      <c r="U75">
        <v>0</v>
      </c>
      <c r="V75">
        <v>0</v>
      </c>
      <c r="W75">
        <v>0</v>
      </c>
      <c r="X75">
        <v>0</v>
      </c>
      <c r="Y75">
        <v>0</v>
      </c>
      <c r="Z75">
        <f ca="1">Stiffness!CV74-AL75*AM75</f>
        <v>0.40618928310251112</v>
      </c>
      <c r="AA75">
        <v>0</v>
      </c>
      <c r="AB75">
        <v>0</v>
      </c>
      <c r="AC75" s="207">
        <v>0</v>
      </c>
      <c r="AD75">
        <f t="shared" si="3"/>
        <v>2E-3</v>
      </c>
      <c r="AE75">
        <f t="shared" si="4"/>
        <v>2E-3</v>
      </c>
      <c r="AF75">
        <f t="shared" ca="1" si="5"/>
        <v>0</v>
      </c>
      <c r="AG75">
        <f t="shared" si="6"/>
        <v>0.40962107610000004</v>
      </c>
      <c r="AH75" s="565">
        <f>Sizing!AD90*(Sizing!CO90+Sizing!CP90) / (12^3)</f>
        <v>5.4044253201437024E-3</v>
      </c>
      <c r="AI75">
        <f t="shared" si="9"/>
        <v>0</v>
      </c>
      <c r="AJ75">
        <f t="shared" si="7"/>
        <v>0</v>
      </c>
      <c r="AK75">
        <f t="shared" si="8"/>
        <v>0</v>
      </c>
      <c r="AL75" s="207">
        <f>Loads!C50</f>
        <v>4.5513452900000004</v>
      </c>
      <c r="AM75">
        <f ca="1">OFFSET('ASWING AERO'!$F$24,((ROW('ASWING AERO'!$A54)-ROW('ASWING AERO'!$A$24))*16/100),0)</f>
        <v>0.25</v>
      </c>
      <c r="AN75" s="207">
        <f ca="1">OFFSET('ASWING AERO'!$J$24,((ROW('ASWING AERO'!$A54)-ROW('ASWING AERO'!$A$24))*16/100),0)</f>
        <v>5.85</v>
      </c>
      <c r="AO75" s="207">
        <f ca="1">OFFSET('ASWING AERO'!$N$24,((ROW('ASWING AERO'!$A54)-ROW('ASWING AERO'!$A$24))*16/100),0)</f>
        <v>-0.15</v>
      </c>
      <c r="AP75" s="207">
        <f ca="1">OFFSET('ASWING AERO'!$O$24,((ROW('ASWING AERO'!$A54)-ROW('ASWING AERO'!$A$24))*16/100),0)</f>
        <v>1.85</v>
      </c>
      <c r="AQ75" s="207">
        <f ca="1">OFFSET('ASWING AERO'!$P$24,((ROW('ASWING AERO'!$A54)-ROW('ASWING AERO'!$A$24))*16/100),0)</f>
        <v>-1.55</v>
      </c>
      <c r="AR75" s="8">
        <f ca="1">OFFSET('ASWING AERO'!$M$24,((ROW('ASWING AERO'!$A54)-ROW('ASWING AERO'!$A$24))*16/100),0)</f>
        <v>5.9690260418206069</v>
      </c>
    </row>
    <row r="76" spans="1:44" x14ac:dyDescent="0.25">
      <c r="A76">
        <f>Loads!A51</f>
        <v>31</v>
      </c>
      <c r="B76">
        <v>31</v>
      </c>
      <c r="C76">
        <f t="shared" si="0"/>
        <v>0.13793881675</v>
      </c>
      <c r="D76">
        <f>Loads!B51</f>
        <v>7.4652233359999993</v>
      </c>
      <c r="E76">
        <f t="shared" si="1"/>
        <v>0</v>
      </c>
      <c r="F76">
        <f t="shared" si="2"/>
        <v>0</v>
      </c>
      <c r="G76" s="560">
        <f>Stiffness!AQ75/144</f>
        <v>1104242.9286153475</v>
      </c>
      <c r="H76" s="560">
        <f>Stiffness!AV75/144</f>
        <v>4339195.9514072435</v>
      </c>
      <c r="I76">
        <v>0</v>
      </c>
      <c r="J76">
        <v>0</v>
      </c>
      <c r="K76">
        <v>0</v>
      </c>
      <c r="L76" s="560">
        <f>Stiffness!BC75/144</f>
        <v>37291574.516897261</v>
      </c>
      <c r="M76">
        <v>0</v>
      </c>
      <c r="N76">
        <v>0</v>
      </c>
      <c r="O76">
        <v>0</v>
      </c>
      <c r="P76">
        <v>0</v>
      </c>
      <c r="Q76">
        <v>0</v>
      </c>
      <c r="R76">
        <f>'Weight '!BT77*'Weight '!$E$36/Stiffness!D75</f>
        <v>18.582069032674738</v>
      </c>
      <c r="S76">
        <f ca="1">'Weight '!BU77-$AL75*$AM75</f>
        <v>0.8915388830062736</v>
      </c>
      <c r="T76" s="2">
        <v>0</v>
      </c>
      <c r="U76">
        <v>0</v>
      </c>
      <c r="V76">
        <v>0</v>
      </c>
      <c r="W76">
        <v>0</v>
      </c>
      <c r="X76">
        <v>0</v>
      </c>
      <c r="Y76">
        <v>0</v>
      </c>
      <c r="Z76">
        <f ca="1">Stiffness!CV75-AL76*AM76</f>
        <v>0.40459913736140329</v>
      </c>
      <c r="AA76">
        <v>0</v>
      </c>
      <c r="AB76">
        <v>0</v>
      </c>
      <c r="AC76" s="207">
        <v>0</v>
      </c>
      <c r="AD76">
        <f t="shared" si="3"/>
        <v>2E-3</v>
      </c>
      <c r="AE76">
        <f t="shared" si="4"/>
        <v>2E-3</v>
      </c>
      <c r="AF76">
        <f t="shared" ca="1" si="5"/>
        <v>0</v>
      </c>
      <c r="AG76">
        <f t="shared" si="6"/>
        <v>0.40801920597000002</v>
      </c>
      <c r="AH76" s="565">
        <f>Sizing!AD91*(Sizing!CO91+Sizing!CP91) / (12^3)</f>
        <v>5.3622387211979417E-3</v>
      </c>
      <c r="AI76">
        <f t="shared" si="9"/>
        <v>0</v>
      </c>
      <c r="AJ76">
        <f t="shared" si="7"/>
        <v>0</v>
      </c>
      <c r="AK76">
        <f t="shared" si="8"/>
        <v>0</v>
      </c>
      <c r="AL76" s="207">
        <f>Loads!C51</f>
        <v>4.5335467330000006</v>
      </c>
      <c r="AM76">
        <f ca="1">OFFSET('ASWING AERO'!$F$24,((ROW('ASWING AERO'!$A55)-ROW('ASWING AERO'!$A$24))*16/100),0)</f>
        <v>0.25</v>
      </c>
      <c r="AN76" s="207">
        <f ca="1">OFFSET('ASWING AERO'!$J$24,((ROW('ASWING AERO'!$A55)-ROW('ASWING AERO'!$A$24))*16/100),0)</f>
        <v>5.85</v>
      </c>
      <c r="AO76" s="207">
        <f ca="1">OFFSET('ASWING AERO'!$N$24,((ROW('ASWING AERO'!$A55)-ROW('ASWING AERO'!$A$24))*16/100),0)</f>
        <v>-0.15</v>
      </c>
      <c r="AP76" s="207">
        <f ca="1">OFFSET('ASWING AERO'!$O$24,((ROW('ASWING AERO'!$A55)-ROW('ASWING AERO'!$A$24))*16/100),0)</f>
        <v>1.85</v>
      </c>
      <c r="AQ76" s="207">
        <f ca="1">OFFSET('ASWING AERO'!$P$24,((ROW('ASWING AERO'!$A55)-ROW('ASWING AERO'!$A$24))*16/100),0)</f>
        <v>-1.55</v>
      </c>
      <c r="AR76" s="8">
        <f ca="1">OFFSET('ASWING AERO'!$M$24,((ROW('ASWING AERO'!$A55)-ROW('ASWING AERO'!$A$24))*16/100),0)</f>
        <v>5.9690260418206069</v>
      </c>
    </row>
    <row r="77" spans="1:44" x14ac:dyDescent="0.25">
      <c r="A77">
        <f>Loads!A52</f>
        <v>32</v>
      </c>
      <c r="B77">
        <v>32</v>
      </c>
      <c r="C77">
        <f t="shared" ref="C77:C108" si="10">B77/$B$145*($B$8-$B$7)</f>
        <v>0.14238845600000002</v>
      </c>
      <c r="D77">
        <f>Loads!B52</f>
        <v>7.7060369919999996</v>
      </c>
      <c r="E77">
        <f t="shared" ref="E77:E108" si="11">D77/$D$145*($D$8-$D$7)</f>
        <v>0</v>
      </c>
      <c r="F77">
        <f t="shared" ref="F77:F108" si="12">($E$8-$E$7)*A77/$A$145</f>
        <v>0</v>
      </c>
      <c r="G77" s="560">
        <f>Stiffness!AQ76/144</f>
        <v>1079418.8783510802</v>
      </c>
      <c r="H77" s="560">
        <f>Stiffness!AV76/144</f>
        <v>4305191.7480844045</v>
      </c>
      <c r="I77">
        <v>0</v>
      </c>
      <c r="J77">
        <v>0</v>
      </c>
      <c r="K77">
        <v>0</v>
      </c>
      <c r="L77" s="560">
        <f>Stiffness!BC76/144</f>
        <v>36854080.084670894</v>
      </c>
      <c r="M77">
        <v>0</v>
      </c>
      <c r="N77">
        <v>0</v>
      </c>
      <c r="O77">
        <v>0</v>
      </c>
      <c r="P77">
        <v>0</v>
      </c>
      <c r="Q77">
        <v>0</v>
      </c>
      <c r="R77">
        <f>'Weight '!BT78*'Weight '!$E$36/Stiffness!D76</f>
        <v>18.519873526828544</v>
      </c>
      <c r="S77">
        <f ca="1">'Weight '!BU78-$AL76*$AM76</f>
        <v>0.88751970169283756</v>
      </c>
      <c r="T77" s="2">
        <v>0</v>
      </c>
      <c r="U77">
        <v>0</v>
      </c>
      <c r="V77">
        <v>0</v>
      </c>
      <c r="W77">
        <v>0</v>
      </c>
      <c r="X77">
        <v>0</v>
      </c>
      <c r="Y77">
        <v>0</v>
      </c>
      <c r="Z77">
        <f ca="1">Stiffness!CV76-AL77*AM77</f>
        <v>0.40300843540145559</v>
      </c>
      <c r="AA77">
        <v>0</v>
      </c>
      <c r="AB77">
        <v>0</v>
      </c>
      <c r="AC77" s="207">
        <v>0</v>
      </c>
      <c r="AD77">
        <f t="shared" ref="AD77:AD108" si="13">$B$36</f>
        <v>2E-3</v>
      </c>
      <c r="AE77">
        <f t="shared" ref="AE77:AE108" si="14">$B$37</f>
        <v>2E-3</v>
      </c>
      <c r="AF77">
        <f t="shared" ref="AF77:AF108" ca="1" si="15">AL77*$B$12-AL77*AM77</f>
        <v>0</v>
      </c>
      <c r="AG77">
        <f t="shared" ref="AG77:AG108" si="16">AL77*$B$13/2</f>
        <v>0.40641733584000006</v>
      </c>
      <c r="AH77" s="565">
        <f>Sizing!AD92*(Sizing!CO92+Sizing!CP92) / (12^3)</f>
        <v>5.3202174209886046E-3</v>
      </c>
      <c r="AI77">
        <f t="shared" si="9"/>
        <v>0</v>
      </c>
      <c r="AJ77">
        <f t="shared" ref="AJ77:AJ108" si="17">$B$18</f>
        <v>0</v>
      </c>
      <c r="AK77">
        <f t="shared" ref="AK77:AK108" si="18">$B$19</f>
        <v>0</v>
      </c>
      <c r="AL77" s="207">
        <f>Loads!C52</f>
        <v>4.5157481760000007</v>
      </c>
      <c r="AM77">
        <f ca="1">OFFSET('ASWING AERO'!$F$24,((ROW('ASWING AERO'!$A56)-ROW('ASWING AERO'!$A$24))*16/100),0)</f>
        <v>0.25</v>
      </c>
      <c r="AN77" s="207">
        <f ca="1">OFFSET('ASWING AERO'!$J$24,((ROW('ASWING AERO'!$A56)-ROW('ASWING AERO'!$A$24))*16/100),0)</f>
        <v>5.85</v>
      </c>
      <c r="AO77" s="207">
        <f ca="1">OFFSET('ASWING AERO'!$N$24,((ROW('ASWING AERO'!$A56)-ROW('ASWING AERO'!$A$24))*16/100),0)</f>
        <v>-0.15</v>
      </c>
      <c r="AP77" s="207">
        <f ca="1">OFFSET('ASWING AERO'!$O$24,((ROW('ASWING AERO'!$A56)-ROW('ASWING AERO'!$A$24))*16/100),0)</f>
        <v>1.85</v>
      </c>
      <c r="AQ77" s="207">
        <f ca="1">OFFSET('ASWING AERO'!$P$24,((ROW('ASWING AERO'!$A56)-ROW('ASWING AERO'!$A$24))*16/100),0)</f>
        <v>-1.55</v>
      </c>
      <c r="AR77" s="8">
        <f ca="1">OFFSET('ASWING AERO'!$M$24,((ROW('ASWING AERO'!$A56)-ROW('ASWING AERO'!$A$24))*16/100),0)</f>
        <v>5.9690260418206069</v>
      </c>
    </row>
    <row r="78" spans="1:44" x14ac:dyDescent="0.25">
      <c r="A78">
        <f>Loads!A53</f>
        <v>33</v>
      </c>
      <c r="B78">
        <v>33</v>
      </c>
      <c r="C78">
        <f t="shared" si="10"/>
        <v>0.14683809525000002</v>
      </c>
      <c r="D78">
        <f>Loads!B53</f>
        <v>7.9468506479999999</v>
      </c>
      <c r="E78">
        <f t="shared" si="11"/>
        <v>0</v>
      </c>
      <c r="F78">
        <f t="shared" si="12"/>
        <v>0</v>
      </c>
      <c r="G78" s="560">
        <f>Stiffness!AQ77/144</f>
        <v>1054877.0390868476</v>
      </c>
      <c r="H78" s="560">
        <f>Stiffness!AV77/144</f>
        <v>4271321.3067302359</v>
      </c>
      <c r="I78">
        <v>0</v>
      </c>
      <c r="J78">
        <v>0</v>
      </c>
      <c r="K78">
        <v>0</v>
      </c>
      <c r="L78" s="560">
        <f>Stiffness!BC77/144</f>
        <v>36420020.812544905</v>
      </c>
      <c r="M78">
        <v>0</v>
      </c>
      <c r="N78">
        <v>0</v>
      </c>
      <c r="O78">
        <v>0</v>
      </c>
      <c r="P78">
        <v>0</v>
      </c>
      <c r="Q78">
        <v>0</v>
      </c>
      <c r="R78">
        <f>'Weight '!BT79*'Weight '!$E$36/Stiffness!D77</f>
        <v>18.457678020982357</v>
      </c>
      <c r="S78">
        <f ca="1">'Weight '!BU79-$AL77*$AM77</f>
        <v>0.88350110729912235</v>
      </c>
      <c r="T78" s="2">
        <v>0</v>
      </c>
      <c r="U78">
        <v>0</v>
      </c>
      <c r="V78">
        <v>0</v>
      </c>
      <c r="W78">
        <v>0</v>
      </c>
      <c r="X78">
        <v>0</v>
      </c>
      <c r="Y78">
        <v>0</v>
      </c>
      <c r="Z78">
        <f ca="1">Stiffness!CV77-AL78*AM78</f>
        <v>0.40141722588222928</v>
      </c>
      <c r="AA78">
        <v>0</v>
      </c>
      <c r="AB78">
        <v>0</v>
      </c>
      <c r="AC78" s="207">
        <v>0</v>
      </c>
      <c r="AD78">
        <f t="shared" si="13"/>
        <v>2E-3</v>
      </c>
      <c r="AE78">
        <f t="shared" si="14"/>
        <v>2E-3</v>
      </c>
      <c r="AF78">
        <f t="shared" ca="1" si="15"/>
        <v>0</v>
      </c>
      <c r="AG78">
        <f t="shared" si="16"/>
        <v>0.40481546570999999</v>
      </c>
      <c r="AH78" s="565">
        <f>Sizing!AD93*(Sizing!CO93+Sizing!CP93) / (12^3)</f>
        <v>5.2783614195156866E-3</v>
      </c>
      <c r="AI78">
        <f t="shared" si="9"/>
        <v>0</v>
      </c>
      <c r="AJ78">
        <f t="shared" si="17"/>
        <v>0</v>
      </c>
      <c r="AK78">
        <f t="shared" si="18"/>
        <v>0</v>
      </c>
      <c r="AL78" s="207">
        <f>Loads!C53</f>
        <v>4.4979496189999999</v>
      </c>
      <c r="AM78">
        <f ca="1">OFFSET('ASWING AERO'!$F$24,((ROW('ASWING AERO'!$A57)-ROW('ASWING AERO'!$A$24))*16/100),0)</f>
        <v>0.25</v>
      </c>
      <c r="AN78" s="207">
        <f ca="1">OFFSET('ASWING AERO'!$J$24,((ROW('ASWING AERO'!$A57)-ROW('ASWING AERO'!$A$24))*16/100),0)</f>
        <v>5.85</v>
      </c>
      <c r="AO78" s="207">
        <f ca="1">OFFSET('ASWING AERO'!$N$24,((ROW('ASWING AERO'!$A57)-ROW('ASWING AERO'!$A$24))*16/100),0)</f>
        <v>-0.15</v>
      </c>
      <c r="AP78" s="207">
        <f ca="1">OFFSET('ASWING AERO'!$O$24,((ROW('ASWING AERO'!$A57)-ROW('ASWING AERO'!$A$24))*16/100),0)</f>
        <v>1.85</v>
      </c>
      <c r="AQ78" s="207">
        <f ca="1">OFFSET('ASWING AERO'!$P$24,((ROW('ASWING AERO'!$A57)-ROW('ASWING AERO'!$A$24))*16/100),0)</f>
        <v>-1.55</v>
      </c>
      <c r="AR78" s="8">
        <f ca="1">OFFSET('ASWING AERO'!$M$24,((ROW('ASWING AERO'!$A57)-ROW('ASWING AERO'!$A$24))*16/100),0)</f>
        <v>5.9690260418206069</v>
      </c>
    </row>
    <row r="79" spans="1:44" x14ac:dyDescent="0.25">
      <c r="A79">
        <f>Loads!A54</f>
        <v>34</v>
      </c>
      <c r="B79">
        <v>34</v>
      </c>
      <c r="C79">
        <f t="shared" si="10"/>
        <v>0.15128773450000002</v>
      </c>
      <c r="D79">
        <f>Loads!B54</f>
        <v>8.1876643040000001</v>
      </c>
      <c r="E79">
        <f t="shared" si="11"/>
        <v>0</v>
      </c>
      <c r="F79">
        <f t="shared" si="12"/>
        <v>0</v>
      </c>
      <c r="G79" s="560">
        <f>Stiffness!AQ78/144</f>
        <v>1030617.4108226541</v>
      </c>
      <c r="H79" s="560">
        <f>Stiffness!AV78/144</f>
        <v>4237584.6273447508</v>
      </c>
      <c r="I79">
        <v>0</v>
      </c>
      <c r="J79">
        <v>0</v>
      </c>
      <c r="K79">
        <v>0</v>
      </c>
      <c r="L79" s="560">
        <f>Stiffness!BC78/144</f>
        <v>35989383.161037005</v>
      </c>
      <c r="M79">
        <v>0</v>
      </c>
      <c r="N79">
        <v>0</v>
      </c>
      <c r="O79">
        <v>0</v>
      </c>
      <c r="P79">
        <v>0</v>
      </c>
      <c r="Q79">
        <v>0</v>
      </c>
      <c r="R79">
        <f>'Weight '!BT80*'Weight '!$E$36/Stiffness!D78</f>
        <v>18.39548251513617</v>
      </c>
      <c r="S79">
        <f ca="1">'Weight '!BU80-$AL78*$AM78</f>
        <v>0.87948310577829103</v>
      </c>
      <c r="T79" s="2">
        <v>0</v>
      </c>
      <c r="U79">
        <v>0</v>
      </c>
      <c r="V79">
        <v>0</v>
      </c>
      <c r="W79">
        <v>0</v>
      </c>
      <c r="X79">
        <v>0</v>
      </c>
      <c r="Y79">
        <v>0</v>
      </c>
      <c r="Z79">
        <f ca="1">Stiffness!CV78-AL79*AM79</f>
        <v>0.39982555431319655</v>
      </c>
      <c r="AA79">
        <v>0</v>
      </c>
      <c r="AB79">
        <v>0</v>
      </c>
      <c r="AC79" s="207">
        <v>0</v>
      </c>
      <c r="AD79">
        <f t="shared" si="13"/>
        <v>2E-3</v>
      </c>
      <c r="AE79">
        <f t="shared" si="14"/>
        <v>2E-3</v>
      </c>
      <c r="AF79">
        <f t="shared" ca="1" si="15"/>
        <v>0</v>
      </c>
      <c r="AG79">
        <f t="shared" si="16"/>
        <v>0.40321359558000008</v>
      </c>
      <c r="AH79" s="565">
        <f>Sizing!AD94*(Sizing!CO94+Sizing!CP94) / (12^3)</f>
        <v>5.2366707167791982E-3</v>
      </c>
      <c r="AI79">
        <f t="shared" si="9"/>
        <v>0</v>
      </c>
      <c r="AJ79">
        <f t="shared" si="17"/>
        <v>0</v>
      </c>
      <c r="AK79">
        <f t="shared" si="18"/>
        <v>0</v>
      </c>
      <c r="AL79" s="207">
        <f>Loads!C54</f>
        <v>4.4801510620000009</v>
      </c>
      <c r="AM79">
        <f ca="1">OFFSET('ASWING AERO'!$F$24,((ROW('ASWING AERO'!$A58)-ROW('ASWING AERO'!$A$24))*16/100),0)</f>
        <v>0.25</v>
      </c>
      <c r="AN79" s="207">
        <f ca="1">OFFSET('ASWING AERO'!$J$24,((ROW('ASWING AERO'!$A58)-ROW('ASWING AERO'!$A$24))*16/100),0)</f>
        <v>5.85</v>
      </c>
      <c r="AO79" s="207">
        <f ca="1">OFFSET('ASWING AERO'!$N$24,((ROW('ASWING AERO'!$A58)-ROW('ASWING AERO'!$A$24))*16/100),0)</f>
        <v>-0.15</v>
      </c>
      <c r="AP79" s="207">
        <f ca="1">OFFSET('ASWING AERO'!$O$24,((ROW('ASWING AERO'!$A58)-ROW('ASWING AERO'!$A$24))*16/100),0)</f>
        <v>1.85</v>
      </c>
      <c r="AQ79" s="207">
        <f ca="1">OFFSET('ASWING AERO'!$P$24,((ROW('ASWING AERO'!$A58)-ROW('ASWING AERO'!$A$24))*16/100),0)</f>
        <v>-1.55</v>
      </c>
      <c r="AR79" s="8">
        <f ca="1">OFFSET('ASWING AERO'!$M$24,((ROW('ASWING AERO'!$A58)-ROW('ASWING AERO'!$A$24))*16/100),0)</f>
        <v>5.9690260418206069</v>
      </c>
    </row>
    <row r="80" spans="1:44" x14ac:dyDescent="0.25">
      <c r="A80">
        <f>Loads!A55</f>
        <v>35</v>
      </c>
      <c r="B80">
        <v>35</v>
      </c>
      <c r="C80">
        <f t="shared" si="10"/>
        <v>0.15573737374999999</v>
      </c>
      <c r="D80">
        <f>Loads!B55</f>
        <v>8.4284779599999986</v>
      </c>
      <c r="E80">
        <f t="shared" si="11"/>
        <v>0</v>
      </c>
      <c r="F80">
        <f t="shared" si="12"/>
        <v>0</v>
      </c>
      <c r="G80" s="560">
        <f>Stiffness!AQ79/144</f>
        <v>1006639.9935584938</v>
      </c>
      <c r="H80" s="560">
        <f>Stiffness!AV79/144</f>
        <v>4203981.7099279352</v>
      </c>
      <c r="I80">
        <v>0</v>
      </c>
      <c r="J80">
        <v>0</v>
      </c>
      <c r="K80">
        <v>0</v>
      </c>
      <c r="L80" s="560">
        <f>Stiffness!BC79/144</f>
        <v>35562153.590664744</v>
      </c>
      <c r="M80">
        <v>0</v>
      </c>
      <c r="N80">
        <v>0</v>
      </c>
      <c r="O80">
        <v>0</v>
      </c>
      <c r="P80">
        <v>0</v>
      </c>
      <c r="Q80">
        <v>0</v>
      </c>
      <c r="R80">
        <f>'Weight '!BT81*'Weight '!$E$36/Stiffness!D79</f>
        <v>18.333287009289986</v>
      </c>
      <c r="S80">
        <f ca="1">'Weight '!BU81-$AL79*$AM79</f>
        <v>0.87546570316428962</v>
      </c>
      <c r="T80" s="2">
        <v>0</v>
      </c>
      <c r="U80">
        <v>0</v>
      </c>
      <c r="V80">
        <v>0</v>
      </c>
      <c r="W80">
        <v>0</v>
      </c>
      <c r="X80">
        <v>0</v>
      </c>
      <c r="Y80">
        <v>0</v>
      </c>
      <c r="Z80">
        <f ca="1">Stiffness!CV79-AL80*AM80</f>
        <v>0.39823346318399588</v>
      </c>
      <c r="AA80">
        <v>0</v>
      </c>
      <c r="AB80">
        <v>0</v>
      </c>
      <c r="AC80" s="207">
        <v>0</v>
      </c>
      <c r="AD80">
        <f t="shared" si="13"/>
        <v>2E-3</v>
      </c>
      <c r="AE80">
        <f t="shared" si="14"/>
        <v>2E-3</v>
      </c>
      <c r="AF80">
        <f t="shared" ca="1" si="15"/>
        <v>0</v>
      </c>
      <c r="AG80">
        <f t="shared" si="16"/>
        <v>0.40161172545000001</v>
      </c>
      <c r="AH80" s="565">
        <f>Sizing!AD95*(Sizing!CO95+Sizing!CP95) / (12^3)</f>
        <v>5.1951453127791281E-3</v>
      </c>
      <c r="AI80">
        <f t="shared" si="9"/>
        <v>0</v>
      </c>
      <c r="AJ80">
        <f t="shared" si="17"/>
        <v>0</v>
      </c>
      <c r="AK80">
        <f t="shared" si="18"/>
        <v>0</v>
      </c>
      <c r="AL80" s="207">
        <f>Loads!C55</f>
        <v>4.4623525050000001</v>
      </c>
      <c r="AM80">
        <f ca="1">OFFSET('ASWING AERO'!$F$24,((ROW('ASWING AERO'!$A59)-ROW('ASWING AERO'!$A$24))*16/100),0)</f>
        <v>0.25</v>
      </c>
      <c r="AN80" s="207">
        <f ca="1">OFFSET('ASWING AERO'!$J$24,((ROW('ASWING AERO'!$A59)-ROW('ASWING AERO'!$A$24))*16/100),0)</f>
        <v>5.85</v>
      </c>
      <c r="AO80" s="207">
        <f ca="1">OFFSET('ASWING AERO'!$N$24,((ROW('ASWING AERO'!$A59)-ROW('ASWING AERO'!$A$24))*16/100),0)</f>
        <v>-0.15</v>
      </c>
      <c r="AP80" s="207">
        <f ca="1">OFFSET('ASWING AERO'!$O$24,((ROW('ASWING AERO'!$A59)-ROW('ASWING AERO'!$A$24))*16/100),0)</f>
        <v>1.85</v>
      </c>
      <c r="AQ80" s="207">
        <f ca="1">OFFSET('ASWING AERO'!$P$24,((ROW('ASWING AERO'!$A59)-ROW('ASWING AERO'!$A$24))*16/100),0)</f>
        <v>-1.55</v>
      </c>
      <c r="AR80" s="8">
        <f ca="1">OFFSET('ASWING AERO'!$M$24,((ROW('ASWING AERO'!$A59)-ROW('ASWING AERO'!$A$24))*16/100),0)</f>
        <v>5.9690260418206069</v>
      </c>
    </row>
    <row r="81" spans="1:44" x14ac:dyDescent="0.25">
      <c r="A81">
        <f>Loads!A56</f>
        <v>36</v>
      </c>
      <c r="B81">
        <v>36</v>
      </c>
      <c r="C81">
        <f t="shared" si="10"/>
        <v>0.16018701300000002</v>
      </c>
      <c r="D81">
        <f>Loads!B56</f>
        <v>8.6692916159999989</v>
      </c>
      <c r="E81">
        <f t="shared" si="11"/>
        <v>0</v>
      </c>
      <c r="F81">
        <f t="shared" si="12"/>
        <v>0</v>
      </c>
      <c r="G81" s="560">
        <f>Stiffness!AQ80/144</f>
        <v>982944.78729437187</v>
      </c>
      <c r="H81" s="560">
        <f>Stiffness!AV80/144</f>
        <v>4170512.554479802</v>
      </c>
      <c r="I81">
        <v>0</v>
      </c>
      <c r="J81">
        <v>0</v>
      </c>
      <c r="K81">
        <v>0</v>
      </c>
      <c r="L81" s="560">
        <f>Stiffness!BC80/144</f>
        <v>35138318.561945766</v>
      </c>
      <c r="M81">
        <v>0</v>
      </c>
      <c r="N81">
        <v>0</v>
      </c>
      <c r="O81">
        <v>0</v>
      </c>
      <c r="P81">
        <v>0</v>
      </c>
      <c r="Q81">
        <v>0</v>
      </c>
      <c r="R81">
        <f>'Weight '!BT82*'Weight '!$E$36/Stiffness!D80</f>
        <v>18.271091503443792</v>
      </c>
      <c r="S81">
        <f ca="1">'Weight '!BU82-$AL80*$AM80</f>
        <v>0.87144890557322729</v>
      </c>
      <c r="T81" s="2">
        <v>0</v>
      </c>
      <c r="U81">
        <v>0</v>
      </c>
      <c r="V81">
        <v>0</v>
      </c>
      <c r="W81">
        <v>0</v>
      </c>
      <c r="X81">
        <v>0</v>
      </c>
      <c r="Y81">
        <v>0</v>
      </c>
      <c r="Z81">
        <f ca="1">Stiffness!CV80-AL81*AM81</f>
        <v>0.39664099209204928</v>
      </c>
      <c r="AA81">
        <v>0</v>
      </c>
      <c r="AB81">
        <v>0</v>
      </c>
      <c r="AC81" s="207">
        <v>0</v>
      </c>
      <c r="AD81">
        <f t="shared" si="13"/>
        <v>2E-3</v>
      </c>
      <c r="AE81">
        <f t="shared" si="14"/>
        <v>2E-3</v>
      </c>
      <c r="AF81">
        <f t="shared" ca="1" si="15"/>
        <v>0</v>
      </c>
      <c r="AG81">
        <f t="shared" si="16"/>
        <v>0.40000985532</v>
      </c>
      <c r="AH81" s="565">
        <f>Sizing!AD96*(Sizing!CO96+Sizing!CP96) / (12^3)</f>
        <v>5.1537852075154841E-3</v>
      </c>
      <c r="AI81">
        <f t="shared" si="9"/>
        <v>0</v>
      </c>
      <c r="AJ81">
        <f t="shared" si="17"/>
        <v>0</v>
      </c>
      <c r="AK81">
        <f t="shared" si="18"/>
        <v>0</v>
      </c>
      <c r="AL81" s="207">
        <f>Loads!C56</f>
        <v>4.4445539480000003</v>
      </c>
      <c r="AM81">
        <f ca="1">OFFSET('ASWING AERO'!$F$24,((ROW('ASWING AERO'!$A60)-ROW('ASWING AERO'!$A$24))*16/100),0)</f>
        <v>0.25</v>
      </c>
      <c r="AN81" s="207">
        <f ca="1">OFFSET('ASWING AERO'!$J$24,((ROW('ASWING AERO'!$A60)-ROW('ASWING AERO'!$A$24))*16/100),0)</f>
        <v>5.85</v>
      </c>
      <c r="AO81" s="207">
        <f ca="1">OFFSET('ASWING AERO'!$N$24,((ROW('ASWING AERO'!$A60)-ROW('ASWING AERO'!$A$24))*16/100),0)</f>
        <v>-0.15</v>
      </c>
      <c r="AP81" s="207">
        <f ca="1">OFFSET('ASWING AERO'!$O$24,((ROW('ASWING AERO'!$A60)-ROW('ASWING AERO'!$A$24))*16/100),0)</f>
        <v>1.85</v>
      </c>
      <c r="AQ81" s="207">
        <f ca="1">OFFSET('ASWING AERO'!$P$24,((ROW('ASWING AERO'!$A60)-ROW('ASWING AERO'!$A$24))*16/100),0)</f>
        <v>-1.55</v>
      </c>
      <c r="AR81" s="8">
        <f ca="1">OFFSET('ASWING AERO'!$M$24,((ROW('ASWING AERO'!$A60)-ROW('ASWING AERO'!$A$24))*16/100),0)</f>
        <v>5.9690260418206069</v>
      </c>
    </row>
    <row r="82" spans="1:44" x14ac:dyDescent="0.25">
      <c r="A82">
        <f>Loads!A57</f>
        <v>37</v>
      </c>
      <c r="B82">
        <v>37</v>
      </c>
      <c r="C82">
        <f t="shared" si="10"/>
        <v>0.16463665225000002</v>
      </c>
      <c r="D82">
        <f>Loads!B57</f>
        <v>8.9101052719999991</v>
      </c>
      <c r="E82">
        <f t="shared" si="11"/>
        <v>0</v>
      </c>
      <c r="F82">
        <f t="shared" si="12"/>
        <v>0</v>
      </c>
      <c r="G82" s="560">
        <f>Stiffness!AQ81/144</f>
        <v>959531.792030285</v>
      </c>
      <c r="H82" s="560">
        <f>Stiffness!AV81/144</f>
        <v>4137177.1610003444</v>
      </c>
      <c r="I82">
        <v>0</v>
      </c>
      <c r="J82">
        <v>0</v>
      </c>
      <c r="K82">
        <v>0</v>
      </c>
      <c r="L82" s="560">
        <f>Stiffness!BC81/144</f>
        <v>34717864.535397708</v>
      </c>
      <c r="M82">
        <v>0</v>
      </c>
      <c r="N82">
        <v>0</v>
      </c>
      <c r="O82">
        <v>0</v>
      </c>
      <c r="P82">
        <v>0</v>
      </c>
      <c r="Q82">
        <v>0</v>
      </c>
      <c r="R82">
        <f>'Weight '!BT83*'Weight '!$E$36/Stiffness!D81</f>
        <v>18.208895997597601</v>
      </c>
      <c r="S82">
        <f ca="1">'Weight '!BU83-$AL81*$AM81</f>
        <v>0.8674327192047715</v>
      </c>
      <c r="T82" s="2">
        <v>0</v>
      </c>
      <c r="U82">
        <v>0</v>
      </c>
      <c r="V82">
        <v>0</v>
      </c>
      <c r="W82">
        <v>0</v>
      </c>
      <c r="X82">
        <v>0</v>
      </c>
      <c r="Y82">
        <v>0</v>
      </c>
      <c r="Z82">
        <f ca="1">Stiffness!CV81-AL82*AM82</f>
        <v>0.39504817786755608</v>
      </c>
      <c r="AA82">
        <v>0</v>
      </c>
      <c r="AB82">
        <v>0</v>
      </c>
      <c r="AC82" s="207">
        <v>0</v>
      </c>
      <c r="AD82">
        <f t="shared" si="13"/>
        <v>2E-3</v>
      </c>
      <c r="AE82">
        <f t="shared" si="14"/>
        <v>2E-3</v>
      </c>
      <c r="AF82">
        <f t="shared" ca="1" si="15"/>
        <v>0</v>
      </c>
      <c r="AG82">
        <f t="shared" si="16"/>
        <v>0.39840798519000004</v>
      </c>
      <c r="AH82" s="565">
        <f>Sizing!AD97*(Sizing!CO97+Sizing!CP97) / (12^3)</f>
        <v>5.1125904009882636E-3</v>
      </c>
      <c r="AI82">
        <f t="shared" si="9"/>
        <v>0</v>
      </c>
      <c r="AJ82">
        <f t="shared" si="17"/>
        <v>0</v>
      </c>
      <c r="AK82">
        <f t="shared" si="18"/>
        <v>0</v>
      </c>
      <c r="AL82" s="207">
        <f>Loads!C57</f>
        <v>4.4267553910000004</v>
      </c>
      <c r="AM82">
        <f ca="1">OFFSET('ASWING AERO'!$F$24,((ROW('ASWING AERO'!$A61)-ROW('ASWING AERO'!$A$24))*16/100),0)</f>
        <v>0.25</v>
      </c>
      <c r="AN82" s="207">
        <f ca="1">OFFSET('ASWING AERO'!$J$24,((ROW('ASWING AERO'!$A61)-ROW('ASWING AERO'!$A$24))*16/100),0)</f>
        <v>5.85</v>
      </c>
      <c r="AO82" s="207">
        <f ca="1">OFFSET('ASWING AERO'!$N$24,((ROW('ASWING AERO'!$A61)-ROW('ASWING AERO'!$A$24))*16/100),0)</f>
        <v>-0.15</v>
      </c>
      <c r="AP82" s="207">
        <f ca="1">OFFSET('ASWING AERO'!$O$24,((ROW('ASWING AERO'!$A61)-ROW('ASWING AERO'!$A$24))*16/100),0)</f>
        <v>1.85</v>
      </c>
      <c r="AQ82" s="207">
        <f ca="1">OFFSET('ASWING AERO'!$P$24,((ROW('ASWING AERO'!$A61)-ROW('ASWING AERO'!$A$24))*16/100),0)</f>
        <v>-1.55</v>
      </c>
      <c r="AR82" s="8">
        <f ca="1">OFFSET('ASWING AERO'!$M$24,((ROW('ASWING AERO'!$A61)-ROW('ASWING AERO'!$A$24))*16/100),0)</f>
        <v>5.9690260418206069</v>
      </c>
    </row>
    <row r="83" spans="1:44" x14ac:dyDescent="0.25">
      <c r="A83">
        <f>Loads!A58</f>
        <v>38</v>
      </c>
      <c r="B83">
        <v>38</v>
      </c>
      <c r="C83">
        <f t="shared" si="10"/>
        <v>0.16908629150000001</v>
      </c>
      <c r="D83">
        <f>Loads!B58</f>
        <v>9.1509189279999994</v>
      </c>
      <c r="E83">
        <f t="shared" si="11"/>
        <v>0</v>
      </c>
      <c r="F83">
        <f t="shared" si="12"/>
        <v>0</v>
      </c>
      <c r="G83" s="560">
        <f>Stiffness!AQ82/144</f>
        <v>936401.00776623457</v>
      </c>
      <c r="H83" s="560">
        <f>Stiffness!AV82/144</f>
        <v>4103975.529489561</v>
      </c>
      <c r="I83">
        <v>0</v>
      </c>
      <c r="J83">
        <v>0</v>
      </c>
      <c r="K83">
        <v>0</v>
      </c>
      <c r="L83" s="560">
        <f>Stiffness!BC82/144</f>
        <v>34300777.971538179</v>
      </c>
      <c r="M83">
        <v>0</v>
      </c>
      <c r="N83">
        <v>0</v>
      </c>
      <c r="O83">
        <v>0</v>
      </c>
      <c r="P83">
        <v>0</v>
      </c>
      <c r="Q83">
        <v>0</v>
      </c>
      <c r="R83">
        <f>'Weight '!BT84*'Weight '!$E$36/Stiffness!D82</f>
        <v>18.146700491751417</v>
      </c>
      <c r="S83">
        <f ca="1">'Weight '!BU84-$AL82*$AM82</f>
        <v>0.86341715034358346</v>
      </c>
      <c r="T83" s="2">
        <v>0</v>
      </c>
      <c r="U83">
        <v>0</v>
      </c>
      <c r="V83">
        <v>0</v>
      </c>
      <c r="W83">
        <v>0</v>
      </c>
      <c r="X83">
        <v>0</v>
      </c>
      <c r="Y83">
        <v>0</v>
      </c>
      <c r="Z83">
        <f ca="1">Stiffness!CV82-AL83*AM83</f>
        <v>0.39345505469589859</v>
      </c>
      <c r="AA83">
        <v>0</v>
      </c>
      <c r="AB83">
        <v>0</v>
      </c>
      <c r="AC83" s="207">
        <v>0</v>
      </c>
      <c r="AD83">
        <f t="shared" si="13"/>
        <v>2E-3</v>
      </c>
      <c r="AE83">
        <f t="shared" si="14"/>
        <v>2E-3</v>
      </c>
      <c r="AF83">
        <f t="shared" ca="1" si="15"/>
        <v>0</v>
      </c>
      <c r="AG83">
        <f t="shared" si="16"/>
        <v>0.39680611506000002</v>
      </c>
      <c r="AH83" s="565">
        <f>Sizing!AD98*(Sizing!CO98+Sizing!CP98) / (12^3)</f>
        <v>5.0715608931974649E-3</v>
      </c>
      <c r="AI83">
        <f t="shared" si="9"/>
        <v>0</v>
      </c>
      <c r="AJ83">
        <f t="shared" si="17"/>
        <v>0</v>
      </c>
      <c r="AK83">
        <f t="shared" si="18"/>
        <v>0</v>
      </c>
      <c r="AL83" s="207">
        <f>Loads!C58</f>
        <v>4.4089568340000005</v>
      </c>
      <c r="AM83">
        <f ca="1">OFFSET('ASWING AERO'!$F$24,((ROW('ASWING AERO'!$A62)-ROW('ASWING AERO'!$A$24))*16/100),0)</f>
        <v>0.25</v>
      </c>
      <c r="AN83" s="207">
        <f ca="1">OFFSET('ASWING AERO'!$J$24,((ROW('ASWING AERO'!$A62)-ROW('ASWING AERO'!$A$24))*16/100),0)</f>
        <v>5.35</v>
      </c>
      <c r="AO83" s="207">
        <f ca="1">OFFSET('ASWING AERO'!$N$24,((ROW('ASWING AERO'!$A62)-ROW('ASWING AERO'!$A$24))*16/100),0)</f>
        <v>-0.15</v>
      </c>
      <c r="AP83" s="207">
        <f ca="1">OFFSET('ASWING AERO'!$O$24,((ROW('ASWING AERO'!$A62)-ROW('ASWING AERO'!$A$24))*16/100),0)</f>
        <v>1.85</v>
      </c>
      <c r="AQ83" s="207">
        <f ca="1">OFFSET('ASWING AERO'!$P$24,((ROW('ASWING AERO'!$A62)-ROW('ASWING AERO'!$A$24))*16/100),0)</f>
        <v>-1.55</v>
      </c>
      <c r="AR83" s="8">
        <f ca="1">OFFSET('ASWING AERO'!$M$24,((ROW('ASWING AERO'!$A62)-ROW('ASWING AERO'!$A$24))*16/100),0)</f>
        <v>5.9690260418206069</v>
      </c>
    </row>
    <row r="84" spans="1:44" x14ac:dyDescent="0.25">
      <c r="A84">
        <f>Loads!A59</f>
        <v>39</v>
      </c>
      <c r="B84">
        <v>39</v>
      </c>
      <c r="C84">
        <f t="shared" si="10"/>
        <v>0.17353593075000001</v>
      </c>
      <c r="D84">
        <f>Loads!B59</f>
        <v>9.3917325839999997</v>
      </c>
      <c r="E84">
        <f t="shared" si="11"/>
        <v>0</v>
      </c>
      <c r="F84">
        <f t="shared" si="12"/>
        <v>0</v>
      </c>
      <c r="G84" s="560">
        <f>Stiffness!AQ83/144</f>
        <v>913552.43450222025</v>
      </c>
      <c r="H84" s="560">
        <f>Stiffness!AV83/144</f>
        <v>4070907.6599474568</v>
      </c>
      <c r="I84">
        <v>0</v>
      </c>
      <c r="J84">
        <v>0</v>
      </c>
      <c r="K84">
        <v>0</v>
      </c>
      <c r="L84" s="560">
        <f>Stiffness!BC83/144</f>
        <v>33887045.330884777</v>
      </c>
      <c r="M84">
        <v>0</v>
      </c>
      <c r="N84">
        <v>0</v>
      </c>
      <c r="O84">
        <v>0</v>
      </c>
      <c r="P84">
        <v>0</v>
      </c>
      <c r="Q84">
        <v>0</v>
      </c>
      <c r="R84">
        <f>'Weight '!BT85*'Weight '!$E$36/Stiffness!D83</f>
        <v>18.08450498590523</v>
      </c>
      <c r="S84">
        <f ca="1">'Weight '!BU85-$AL83*$AM83</f>
        <v>0.85940220536078504</v>
      </c>
      <c r="T84" s="2">
        <v>0</v>
      </c>
      <c r="U84">
        <v>0</v>
      </c>
      <c r="V84">
        <v>0</v>
      </c>
      <c r="W84">
        <v>0</v>
      </c>
      <c r="X84">
        <v>0</v>
      </c>
      <c r="Y84">
        <v>0</v>
      </c>
      <c r="Z84">
        <f ca="1">Stiffness!CV83-AL84*AM84</f>
        <v>0.39186165423747177</v>
      </c>
      <c r="AA84">
        <v>0</v>
      </c>
      <c r="AB84">
        <v>0</v>
      </c>
      <c r="AC84" s="207">
        <v>0</v>
      </c>
      <c r="AD84">
        <f t="shared" si="13"/>
        <v>2E-3</v>
      </c>
      <c r="AE84">
        <f t="shared" si="14"/>
        <v>2E-3</v>
      </c>
      <c r="AF84">
        <f t="shared" ca="1" si="15"/>
        <v>0</v>
      </c>
      <c r="AG84">
        <f t="shared" si="16"/>
        <v>0.39520424493000006</v>
      </c>
      <c r="AH84" s="565">
        <f>Sizing!AD99*(Sizing!CO99+Sizing!CP99) / (12^3)</f>
        <v>5.0306966841430914E-3</v>
      </c>
      <c r="AI84">
        <f t="shared" si="9"/>
        <v>0</v>
      </c>
      <c r="AJ84">
        <f t="shared" si="17"/>
        <v>0</v>
      </c>
      <c r="AK84">
        <f t="shared" si="18"/>
        <v>0</v>
      </c>
      <c r="AL84" s="207">
        <f>Loads!C59</f>
        <v>4.3911582770000006</v>
      </c>
      <c r="AM84">
        <f ca="1">OFFSET('ASWING AERO'!$F$24,((ROW('ASWING AERO'!$A63)-ROW('ASWING AERO'!$A$24))*16/100),0)</f>
        <v>0.25</v>
      </c>
      <c r="AN84" s="207">
        <f ca="1">OFFSET('ASWING AERO'!$J$24,((ROW('ASWING AERO'!$A63)-ROW('ASWING AERO'!$A$24))*16/100),0)</f>
        <v>5.35</v>
      </c>
      <c r="AO84" s="207">
        <f ca="1">OFFSET('ASWING AERO'!$N$24,((ROW('ASWING AERO'!$A63)-ROW('ASWING AERO'!$A$24))*16/100),0)</f>
        <v>-0.15</v>
      </c>
      <c r="AP84" s="207">
        <f ca="1">OFFSET('ASWING AERO'!$O$24,((ROW('ASWING AERO'!$A63)-ROW('ASWING AERO'!$A$24))*16/100),0)</f>
        <v>1.85</v>
      </c>
      <c r="AQ84" s="207">
        <f ca="1">OFFSET('ASWING AERO'!$P$24,((ROW('ASWING AERO'!$A63)-ROW('ASWING AERO'!$A$24))*16/100),0)</f>
        <v>-1.55</v>
      </c>
      <c r="AR84" s="8">
        <f ca="1">OFFSET('ASWING AERO'!$M$24,((ROW('ASWING AERO'!$A63)-ROW('ASWING AERO'!$A$24))*16/100),0)</f>
        <v>5.9690260418206069</v>
      </c>
    </row>
    <row r="85" spans="1:44" x14ac:dyDescent="0.25">
      <c r="A85">
        <f>Loads!A60</f>
        <v>40</v>
      </c>
      <c r="B85">
        <v>40</v>
      </c>
      <c r="C85">
        <f t="shared" si="10"/>
        <v>0.17798557000000004</v>
      </c>
      <c r="D85">
        <f>Loads!B60</f>
        <v>9.6325462399999999</v>
      </c>
      <c r="E85">
        <f t="shared" si="11"/>
        <v>0</v>
      </c>
      <c r="F85">
        <f t="shared" si="12"/>
        <v>0</v>
      </c>
      <c r="G85" s="560">
        <f>Stiffness!AQ84/144</f>
        <v>731336.24484476144</v>
      </c>
      <c r="H85" s="560">
        <f>Stiffness!AV84/144</f>
        <v>2979721.3509768923</v>
      </c>
      <c r="I85">
        <v>0</v>
      </c>
      <c r="J85">
        <v>0</v>
      </c>
      <c r="K85">
        <v>0</v>
      </c>
      <c r="L85" s="560">
        <f>Stiffness!BC84/144</f>
        <v>33476653.073955163</v>
      </c>
      <c r="M85">
        <v>0</v>
      </c>
      <c r="N85">
        <v>0</v>
      </c>
      <c r="O85">
        <v>0</v>
      </c>
      <c r="P85">
        <v>0</v>
      </c>
      <c r="Q85">
        <v>0</v>
      </c>
      <c r="R85">
        <f>'Weight '!BT86*'Weight '!$E$36/Stiffness!D84</f>
        <v>17.279037802826601</v>
      </c>
      <c r="S85">
        <f ca="1">'Weight '!BU86-$AL84*$AM84</f>
        <v>0.89168516215018045</v>
      </c>
      <c r="T85" s="2">
        <v>0</v>
      </c>
      <c r="U85">
        <v>0</v>
      </c>
      <c r="V85">
        <v>0</v>
      </c>
      <c r="W85">
        <v>0</v>
      </c>
      <c r="X85">
        <v>0</v>
      </c>
      <c r="Y85">
        <v>0</v>
      </c>
      <c r="Z85">
        <f ca="1">Stiffness!CV84-AL85*AM85</f>
        <v>0.39026800574497278</v>
      </c>
      <c r="AA85">
        <v>0</v>
      </c>
      <c r="AB85">
        <v>0</v>
      </c>
      <c r="AC85" s="207">
        <v>0</v>
      </c>
      <c r="AD85">
        <f t="shared" si="13"/>
        <v>2E-3</v>
      </c>
      <c r="AE85">
        <f t="shared" si="14"/>
        <v>2E-3</v>
      </c>
      <c r="AF85">
        <f t="shared" ca="1" si="15"/>
        <v>0</v>
      </c>
      <c r="AG85">
        <f t="shared" si="16"/>
        <v>0.39360237480000004</v>
      </c>
      <c r="AH85" s="565">
        <f>Sizing!AD100*(Sizing!CO100+Sizing!CP100) / (12^3)</f>
        <v>4.9899977738251406E-3</v>
      </c>
      <c r="AI85">
        <f t="shared" si="9"/>
        <v>0</v>
      </c>
      <c r="AJ85">
        <f t="shared" si="17"/>
        <v>0</v>
      </c>
      <c r="AK85">
        <f t="shared" si="18"/>
        <v>0</v>
      </c>
      <c r="AL85" s="207">
        <f>Loads!C60</f>
        <v>4.3733597200000007</v>
      </c>
      <c r="AM85">
        <f ca="1">OFFSET('ASWING AERO'!$F$24,((ROW('ASWING AERO'!$A64)-ROW('ASWING AERO'!$A$24))*16/100),0)</f>
        <v>0.25</v>
      </c>
      <c r="AN85" s="207">
        <f ca="1">OFFSET('ASWING AERO'!$J$24,((ROW('ASWING AERO'!$A64)-ROW('ASWING AERO'!$A$24))*16/100),0)</f>
        <v>5.35</v>
      </c>
      <c r="AO85" s="207">
        <f ca="1">OFFSET('ASWING AERO'!$N$24,((ROW('ASWING AERO'!$A64)-ROW('ASWING AERO'!$A$24))*16/100),0)</f>
        <v>-0.15</v>
      </c>
      <c r="AP85" s="207">
        <f ca="1">OFFSET('ASWING AERO'!$O$24,((ROW('ASWING AERO'!$A64)-ROW('ASWING AERO'!$A$24))*16/100),0)</f>
        <v>1.85</v>
      </c>
      <c r="AQ85" s="207">
        <f ca="1">OFFSET('ASWING AERO'!$P$24,((ROW('ASWING AERO'!$A64)-ROW('ASWING AERO'!$A$24))*16/100),0)</f>
        <v>-1.55</v>
      </c>
      <c r="AR85" s="8">
        <f ca="1">OFFSET('ASWING AERO'!$M$24,((ROW('ASWING AERO'!$A64)-ROW('ASWING AERO'!$A$24))*16/100),0)</f>
        <v>5.9690260418206069</v>
      </c>
    </row>
    <row r="86" spans="1:44" x14ac:dyDescent="0.25">
      <c r="A86">
        <f>Loads!A61</f>
        <v>41</v>
      </c>
      <c r="B86">
        <v>41</v>
      </c>
      <c r="C86">
        <f t="shared" si="10"/>
        <v>0.18243520925000001</v>
      </c>
      <c r="D86">
        <f>Loads!B61</f>
        <v>9.8733598959999984</v>
      </c>
      <c r="E86">
        <f t="shared" si="11"/>
        <v>0</v>
      </c>
      <c r="F86">
        <f t="shared" si="12"/>
        <v>0</v>
      </c>
      <c r="G86" s="560">
        <f>Stiffness!AQ85/144</f>
        <v>714134.22882225562</v>
      </c>
      <c r="H86" s="560">
        <f>Stiffness!AV85/144</f>
        <v>2955517.1582425344</v>
      </c>
      <c r="I86">
        <v>0</v>
      </c>
      <c r="J86">
        <v>0</v>
      </c>
      <c r="K86">
        <v>0</v>
      </c>
      <c r="L86" s="560">
        <f>Stiffness!BC85/144</f>
        <v>33069587.661266942</v>
      </c>
      <c r="M86">
        <v>0</v>
      </c>
      <c r="N86">
        <v>0</v>
      </c>
      <c r="O86">
        <v>0</v>
      </c>
      <c r="P86">
        <v>0</v>
      </c>
      <c r="Q86">
        <v>0</v>
      </c>
      <c r="R86">
        <f>'Weight '!BT87*'Weight '!$E$36/Stiffness!D85</f>
        <v>17.21684229698041</v>
      </c>
      <c r="S86">
        <f ca="1">'Weight '!BU87-$AL85*$AM85</f>
        <v>0.88763214785033595</v>
      </c>
      <c r="T86" s="2">
        <v>0</v>
      </c>
      <c r="U86">
        <v>0</v>
      </c>
      <c r="V86">
        <v>0</v>
      </c>
      <c r="W86">
        <v>0</v>
      </c>
      <c r="X86">
        <v>0</v>
      </c>
      <c r="Y86">
        <v>0</v>
      </c>
      <c r="Z86">
        <f ca="1">Stiffness!CV85-AL86*AM86</f>
        <v>0.38867413617816937</v>
      </c>
      <c r="AA86">
        <v>0</v>
      </c>
      <c r="AB86">
        <v>0</v>
      </c>
      <c r="AC86" s="207">
        <v>0</v>
      </c>
      <c r="AD86">
        <f t="shared" si="13"/>
        <v>2E-3</v>
      </c>
      <c r="AE86">
        <f t="shared" si="14"/>
        <v>2E-3</v>
      </c>
      <c r="AF86">
        <f t="shared" ca="1" si="15"/>
        <v>0</v>
      </c>
      <c r="AG86">
        <f t="shared" si="16"/>
        <v>0.39200050467000008</v>
      </c>
      <c r="AH86" s="565">
        <f>Sizing!AD101*(Sizing!CO101+Sizing!CP101) / (12^3)</f>
        <v>4.9494641622436124E-3</v>
      </c>
      <c r="AI86">
        <f t="shared" si="9"/>
        <v>0</v>
      </c>
      <c r="AJ86">
        <f t="shared" si="17"/>
        <v>0</v>
      </c>
      <c r="AK86">
        <f t="shared" si="18"/>
        <v>0</v>
      </c>
      <c r="AL86" s="207">
        <f>Loads!C61</f>
        <v>4.3555611630000008</v>
      </c>
      <c r="AM86">
        <f ca="1">OFFSET('ASWING AERO'!$F$24,((ROW('ASWING AERO'!$A65)-ROW('ASWING AERO'!$A$24))*16/100),0)</f>
        <v>0.25</v>
      </c>
      <c r="AN86" s="207">
        <f ca="1">OFFSET('ASWING AERO'!$J$24,((ROW('ASWING AERO'!$A65)-ROW('ASWING AERO'!$A$24))*16/100),0)</f>
        <v>5.35</v>
      </c>
      <c r="AO86" s="207">
        <f ca="1">OFFSET('ASWING AERO'!$N$24,((ROW('ASWING AERO'!$A65)-ROW('ASWING AERO'!$A$24))*16/100),0)</f>
        <v>-0.15</v>
      </c>
      <c r="AP86" s="207">
        <f ca="1">OFFSET('ASWING AERO'!$O$24,((ROW('ASWING AERO'!$A65)-ROW('ASWING AERO'!$A$24))*16/100),0)</f>
        <v>1.85</v>
      </c>
      <c r="AQ86" s="207">
        <f ca="1">OFFSET('ASWING AERO'!$P$24,((ROW('ASWING AERO'!$A65)-ROW('ASWING AERO'!$A$24))*16/100),0)</f>
        <v>-1.55</v>
      </c>
      <c r="AR86" s="8">
        <f ca="1">OFFSET('ASWING AERO'!$M$24,((ROW('ASWING AERO'!$A65)-ROW('ASWING AERO'!$A$24))*16/100),0)</f>
        <v>5.9690260418206069</v>
      </c>
    </row>
    <row r="87" spans="1:44" x14ac:dyDescent="0.25">
      <c r="A87">
        <f>Loads!A62</f>
        <v>42</v>
      </c>
      <c r="B87">
        <v>42</v>
      </c>
      <c r="C87">
        <f t="shared" si="10"/>
        <v>0.18688484850000001</v>
      </c>
      <c r="D87">
        <f>Loads!B62</f>
        <v>10.114173551999999</v>
      </c>
      <c r="E87">
        <f t="shared" si="11"/>
        <v>0</v>
      </c>
      <c r="F87">
        <f t="shared" si="12"/>
        <v>0</v>
      </c>
      <c r="G87" s="560">
        <f>Stiffness!AQ86/144</f>
        <v>697136.9349565967</v>
      </c>
      <c r="H87" s="560">
        <f>Stiffness!AV86/144</f>
        <v>2931411.6717995456</v>
      </c>
      <c r="I87">
        <v>0</v>
      </c>
      <c r="J87">
        <v>0</v>
      </c>
      <c r="K87">
        <v>0</v>
      </c>
      <c r="L87" s="560">
        <f>Stiffness!BC86/144</f>
        <v>32665835.553337719</v>
      </c>
      <c r="M87">
        <v>0</v>
      </c>
      <c r="N87">
        <v>0</v>
      </c>
      <c r="O87">
        <v>0</v>
      </c>
      <c r="P87">
        <v>0</v>
      </c>
      <c r="Q87">
        <v>0</v>
      </c>
      <c r="R87">
        <f>'Weight '!BT88*'Weight '!$E$36/Stiffness!D86</f>
        <v>17.154646791134223</v>
      </c>
      <c r="S87">
        <f ca="1">'Weight '!BU88-$AL86*$AM86</f>
        <v>0.88357951972316506</v>
      </c>
      <c r="T87" s="2">
        <v>0</v>
      </c>
      <c r="U87">
        <v>0</v>
      </c>
      <c r="V87">
        <v>0</v>
      </c>
      <c r="W87">
        <v>0</v>
      </c>
      <c r="X87">
        <v>0</v>
      </c>
      <c r="Y87">
        <v>0</v>
      </c>
      <c r="Z87">
        <f ca="1">Stiffness!CV86-AL87*AM87</f>
        <v>0.38708007031617631</v>
      </c>
      <c r="AA87">
        <v>0</v>
      </c>
      <c r="AB87">
        <v>0</v>
      </c>
      <c r="AC87" s="207">
        <v>0</v>
      </c>
      <c r="AD87">
        <f t="shared" si="13"/>
        <v>2E-3</v>
      </c>
      <c r="AE87">
        <f t="shared" si="14"/>
        <v>2E-3</v>
      </c>
      <c r="AF87">
        <f t="shared" ca="1" si="15"/>
        <v>0</v>
      </c>
      <c r="AG87">
        <f t="shared" si="16"/>
        <v>0.39039863454000001</v>
      </c>
      <c r="AH87" s="565">
        <f>Sizing!AD102*(Sizing!CO102+Sizing!CP102) / (12^3)</f>
        <v>4.9090958493985051E-3</v>
      </c>
      <c r="AI87">
        <f t="shared" si="9"/>
        <v>0</v>
      </c>
      <c r="AJ87">
        <f t="shared" si="17"/>
        <v>0</v>
      </c>
      <c r="AK87">
        <f t="shared" si="18"/>
        <v>0</v>
      </c>
      <c r="AL87" s="207">
        <f>Loads!C62</f>
        <v>4.3377626060000001</v>
      </c>
      <c r="AM87">
        <f ca="1">OFFSET('ASWING AERO'!$F$24,((ROW('ASWING AERO'!$A66)-ROW('ASWING AERO'!$A$24))*16/100),0)</f>
        <v>0.25</v>
      </c>
      <c r="AN87" s="207">
        <f ca="1">OFFSET('ASWING AERO'!$J$24,((ROW('ASWING AERO'!$A66)-ROW('ASWING AERO'!$A$24))*16/100),0)</f>
        <v>5.35</v>
      </c>
      <c r="AO87" s="207">
        <f ca="1">OFFSET('ASWING AERO'!$N$24,((ROW('ASWING AERO'!$A66)-ROW('ASWING AERO'!$A$24))*16/100),0)</f>
        <v>-0.15</v>
      </c>
      <c r="AP87" s="207">
        <f ca="1">OFFSET('ASWING AERO'!$O$24,((ROW('ASWING AERO'!$A66)-ROW('ASWING AERO'!$A$24))*16/100),0)</f>
        <v>1.85</v>
      </c>
      <c r="AQ87" s="207">
        <f ca="1">OFFSET('ASWING AERO'!$P$24,((ROW('ASWING AERO'!$A66)-ROW('ASWING AERO'!$A$24))*16/100),0)</f>
        <v>-1.55</v>
      </c>
      <c r="AR87" s="8">
        <f ca="1">OFFSET('ASWING AERO'!$M$24,((ROW('ASWING AERO'!$A66)-ROW('ASWING AERO'!$A$24))*16/100),0)</f>
        <v>5.9690260418206069</v>
      </c>
    </row>
    <row r="88" spans="1:44" x14ac:dyDescent="0.25">
      <c r="A88">
        <f>Loads!A63</f>
        <v>43</v>
      </c>
      <c r="B88">
        <v>43</v>
      </c>
      <c r="C88">
        <f t="shared" si="10"/>
        <v>0.19133448775</v>
      </c>
      <c r="D88">
        <f>Loads!B63</f>
        <v>10.354987207999999</v>
      </c>
      <c r="E88">
        <f t="shared" si="11"/>
        <v>0</v>
      </c>
      <c r="F88">
        <f t="shared" si="12"/>
        <v>0</v>
      </c>
      <c r="G88" s="560">
        <f>Stiffness!AQ87/144</f>
        <v>680344.36324778723</v>
      </c>
      <c r="H88" s="560">
        <f>Stiffness!AV87/144</f>
        <v>2907404.8916479326</v>
      </c>
      <c r="I88">
        <v>0</v>
      </c>
      <c r="J88">
        <v>0</v>
      </c>
      <c r="K88">
        <v>0</v>
      </c>
      <c r="L88" s="560">
        <f>Stiffness!BC87/144</f>
        <v>32265383.210685179</v>
      </c>
      <c r="M88">
        <v>0</v>
      </c>
      <c r="N88">
        <v>0</v>
      </c>
      <c r="O88">
        <v>0</v>
      </c>
      <c r="P88">
        <v>0</v>
      </c>
      <c r="Q88">
        <v>0</v>
      </c>
      <c r="R88">
        <f>'Weight '!BT89*'Weight '!$E$36/Stiffness!D87</f>
        <v>17.092451285288035</v>
      </c>
      <c r="S88">
        <f ca="1">'Weight '!BU89-$AL87*$AM87</f>
        <v>0.87952728198425012</v>
      </c>
      <c r="T88" s="2">
        <v>0</v>
      </c>
      <c r="U88">
        <v>0</v>
      </c>
      <c r="V88">
        <v>0</v>
      </c>
      <c r="W88">
        <v>0</v>
      </c>
      <c r="X88">
        <v>0</v>
      </c>
      <c r="Y88">
        <v>0</v>
      </c>
      <c r="Z88">
        <f ca="1">Stiffness!CV87-AL88*AM88</f>
        <v>0.38548583086725974</v>
      </c>
      <c r="AA88">
        <v>0</v>
      </c>
      <c r="AB88">
        <v>0</v>
      </c>
      <c r="AC88" s="207">
        <v>0</v>
      </c>
      <c r="AD88">
        <f t="shared" si="13"/>
        <v>2E-3</v>
      </c>
      <c r="AE88">
        <f t="shared" si="14"/>
        <v>2E-3</v>
      </c>
      <c r="AF88">
        <f t="shared" ca="1" si="15"/>
        <v>0</v>
      </c>
      <c r="AG88">
        <f t="shared" si="16"/>
        <v>0.38879676441</v>
      </c>
      <c r="AH88" s="565">
        <f>Sizing!AD103*(Sizing!CO103+Sizing!CP103) / (12^3)</f>
        <v>4.8688928352898266E-3</v>
      </c>
      <c r="AI88">
        <f t="shared" si="9"/>
        <v>0</v>
      </c>
      <c r="AJ88">
        <f t="shared" si="17"/>
        <v>0</v>
      </c>
      <c r="AK88">
        <f t="shared" si="18"/>
        <v>0</v>
      </c>
      <c r="AL88" s="207">
        <f>Loads!C63</f>
        <v>4.3199640490000002</v>
      </c>
      <c r="AM88">
        <f ca="1">OFFSET('ASWING AERO'!$F$24,((ROW('ASWING AERO'!$A67)-ROW('ASWING AERO'!$A$24))*16/100),0)</f>
        <v>0.25</v>
      </c>
      <c r="AN88" s="207">
        <f ca="1">OFFSET('ASWING AERO'!$J$24,((ROW('ASWING AERO'!$A67)-ROW('ASWING AERO'!$A$24))*16/100),0)</f>
        <v>5.35</v>
      </c>
      <c r="AO88" s="207">
        <f ca="1">OFFSET('ASWING AERO'!$N$24,((ROW('ASWING AERO'!$A67)-ROW('ASWING AERO'!$A$24))*16/100),0)</f>
        <v>-0.15</v>
      </c>
      <c r="AP88" s="207">
        <f ca="1">OFFSET('ASWING AERO'!$O$24,((ROW('ASWING AERO'!$A67)-ROW('ASWING AERO'!$A$24))*16/100),0)</f>
        <v>1.85</v>
      </c>
      <c r="AQ88" s="207">
        <f ca="1">OFFSET('ASWING AERO'!$P$24,((ROW('ASWING AERO'!$A67)-ROW('ASWING AERO'!$A$24))*16/100),0)</f>
        <v>-1.55</v>
      </c>
      <c r="AR88" s="8">
        <f ca="1">OFFSET('ASWING AERO'!$M$24,((ROW('ASWING AERO'!$A67)-ROW('ASWING AERO'!$A$24))*16/100),0)</f>
        <v>5.9690260418206069</v>
      </c>
    </row>
    <row r="89" spans="1:44" x14ac:dyDescent="0.25">
      <c r="A89">
        <f>Loads!A64</f>
        <v>44</v>
      </c>
      <c r="B89">
        <v>44</v>
      </c>
      <c r="C89">
        <f t="shared" si="10"/>
        <v>0.19578412700000003</v>
      </c>
      <c r="D89">
        <f>Loads!B64</f>
        <v>10.595800863999999</v>
      </c>
      <c r="E89">
        <f t="shared" si="11"/>
        <v>0</v>
      </c>
      <c r="F89">
        <f t="shared" si="12"/>
        <v>0</v>
      </c>
      <c r="G89" s="560">
        <f>Stiffness!AQ88/144</f>
        <v>663756.51369582489</v>
      </c>
      <c r="H89" s="560">
        <f>Stiffness!AV88/144</f>
        <v>2883496.817787691</v>
      </c>
      <c r="I89">
        <v>0</v>
      </c>
      <c r="J89">
        <v>0</v>
      </c>
      <c r="K89">
        <v>0</v>
      </c>
      <c r="L89" s="560">
        <f>Stiffness!BC88/144</f>
        <v>31868217.093826875</v>
      </c>
      <c r="M89">
        <v>0</v>
      </c>
      <c r="N89">
        <v>0</v>
      </c>
      <c r="O89">
        <v>0</v>
      </c>
      <c r="P89">
        <v>0</v>
      </c>
      <c r="Q89">
        <v>0</v>
      </c>
      <c r="R89">
        <f>'Weight '!BT90*'Weight '!$E$36/Stiffness!D88</f>
        <v>17.030255779441841</v>
      </c>
      <c r="S89">
        <f ca="1">'Weight '!BU90-$AL88*$AM88</f>
        <v>0.87547543891075241</v>
      </c>
      <c r="T89" s="2">
        <v>0</v>
      </c>
      <c r="U89">
        <v>0</v>
      </c>
      <c r="V89">
        <v>0</v>
      </c>
      <c r="W89">
        <v>0</v>
      </c>
      <c r="X89">
        <v>0</v>
      </c>
      <c r="Y89">
        <v>0</v>
      </c>
      <c r="Z89">
        <f ca="1">Stiffness!CV88-AL89*AM89</f>
        <v>0.38389143857619956</v>
      </c>
      <c r="AA89">
        <v>0</v>
      </c>
      <c r="AB89">
        <v>0</v>
      </c>
      <c r="AC89" s="207">
        <v>0</v>
      </c>
      <c r="AD89">
        <f t="shared" si="13"/>
        <v>2E-3</v>
      </c>
      <c r="AE89">
        <f t="shared" si="14"/>
        <v>2E-3</v>
      </c>
      <c r="AF89">
        <f t="shared" ca="1" si="15"/>
        <v>0</v>
      </c>
      <c r="AG89">
        <f t="shared" si="16"/>
        <v>0.38719489428000003</v>
      </c>
      <c r="AH89" s="565">
        <f>Sizing!AD104*(Sizing!CO104+Sizing!CP104) / (12^3)</f>
        <v>4.828855119917568E-3</v>
      </c>
      <c r="AI89">
        <f t="shared" si="9"/>
        <v>0</v>
      </c>
      <c r="AJ89">
        <f t="shared" si="17"/>
        <v>0</v>
      </c>
      <c r="AK89">
        <f t="shared" si="18"/>
        <v>0</v>
      </c>
      <c r="AL89" s="207">
        <f>Loads!C64</f>
        <v>4.3021654920000003</v>
      </c>
      <c r="AM89">
        <f ca="1">OFFSET('ASWING AERO'!$F$24,((ROW('ASWING AERO'!$A68)-ROW('ASWING AERO'!$A$24))*16/100),0)</f>
        <v>0.25</v>
      </c>
      <c r="AN89" s="207">
        <f ca="1">OFFSET('ASWING AERO'!$J$24,((ROW('ASWING AERO'!$A68)-ROW('ASWING AERO'!$A$24))*16/100),0)</f>
        <v>4.8499999999999996</v>
      </c>
      <c r="AO89" s="207">
        <f ca="1">OFFSET('ASWING AERO'!$N$24,((ROW('ASWING AERO'!$A68)-ROW('ASWING AERO'!$A$24))*16/100),0)</f>
        <v>-0.15</v>
      </c>
      <c r="AP89" s="207">
        <f ca="1">OFFSET('ASWING AERO'!$O$24,((ROW('ASWING AERO'!$A68)-ROW('ASWING AERO'!$A$24))*16/100),0)</f>
        <v>1.85</v>
      </c>
      <c r="AQ89" s="207">
        <f ca="1">OFFSET('ASWING AERO'!$P$24,((ROW('ASWING AERO'!$A68)-ROW('ASWING AERO'!$A$24))*16/100),0)</f>
        <v>-1.55</v>
      </c>
      <c r="AR89" s="8">
        <f ca="1">OFFSET('ASWING AERO'!$M$24,((ROW('ASWING AERO'!$A68)-ROW('ASWING AERO'!$A$24))*16/100),0)</f>
        <v>5.9690260418206069</v>
      </c>
    </row>
    <row r="90" spans="1:44" x14ac:dyDescent="0.25">
      <c r="A90">
        <f>Loads!A65</f>
        <v>45</v>
      </c>
      <c r="B90">
        <v>45</v>
      </c>
      <c r="C90">
        <f t="shared" si="10"/>
        <v>0.20023376625000003</v>
      </c>
      <c r="D90">
        <f>Loads!B65</f>
        <v>10.836614519999999</v>
      </c>
      <c r="E90">
        <f t="shared" si="11"/>
        <v>0</v>
      </c>
      <c r="F90">
        <f t="shared" si="12"/>
        <v>0</v>
      </c>
      <c r="G90" s="560">
        <f>Stiffness!AQ89/144</f>
        <v>647373.38630071038</v>
      </c>
      <c r="H90" s="560">
        <f>Stiffness!AV89/144</f>
        <v>2859687.4502188219</v>
      </c>
      <c r="I90">
        <v>0</v>
      </c>
      <c r="J90">
        <v>0</v>
      </c>
      <c r="K90">
        <v>0</v>
      </c>
      <c r="L90" s="560">
        <f>Stiffness!BC89/144</f>
        <v>31474323.663280442</v>
      </c>
      <c r="M90">
        <v>0</v>
      </c>
      <c r="N90">
        <v>0</v>
      </c>
      <c r="O90">
        <v>0</v>
      </c>
      <c r="P90">
        <v>0</v>
      </c>
      <c r="Q90">
        <v>0</v>
      </c>
      <c r="R90">
        <f>'Weight '!BT91*'Weight '!$E$36/Stiffness!D89</f>
        <v>16.968060273595658</v>
      </c>
      <c r="S90">
        <f ca="1">'Weight '!BU91-$AL89*$AM89</f>
        <v>0.8714239948425484</v>
      </c>
      <c r="T90" s="2">
        <v>0</v>
      </c>
      <c r="U90">
        <v>0</v>
      </c>
      <c r="V90">
        <v>0</v>
      </c>
      <c r="W90">
        <v>0</v>
      </c>
      <c r="X90">
        <v>0</v>
      </c>
      <c r="Y90">
        <v>0</v>
      </c>
      <c r="Z90">
        <f ca="1">Stiffness!CV89-AL90*AM90</f>
        <v>0.38229691232923524</v>
      </c>
      <c r="AA90">
        <v>0</v>
      </c>
      <c r="AB90">
        <v>0</v>
      </c>
      <c r="AC90" s="207">
        <v>0</v>
      </c>
      <c r="AD90">
        <f t="shared" si="13"/>
        <v>2E-3</v>
      </c>
      <c r="AE90">
        <f t="shared" si="14"/>
        <v>2E-3</v>
      </c>
      <c r="AF90">
        <f t="shared" ca="1" si="15"/>
        <v>0</v>
      </c>
      <c r="AG90">
        <f t="shared" si="16"/>
        <v>0.38559302415000002</v>
      </c>
      <c r="AH90" s="565">
        <f>Sizing!AD105*(Sizing!CO105+Sizing!CP105) / (12^3)</f>
        <v>4.7889827032817339E-3</v>
      </c>
      <c r="AI90">
        <f t="shared" si="9"/>
        <v>0</v>
      </c>
      <c r="AJ90">
        <f t="shared" si="17"/>
        <v>0</v>
      </c>
      <c r="AK90">
        <f t="shared" si="18"/>
        <v>0</v>
      </c>
      <c r="AL90" s="207">
        <f>Loads!C65</f>
        <v>4.2843669350000004</v>
      </c>
      <c r="AM90">
        <f ca="1">OFFSET('ASWING AERO'!$F$24,((ROW('ASWING AERO'!$A69)-ROW('ASWING AERO'!$A$24))*16/100),0)</f>
        <v>0.25</v>
      </c>
      <c r="AN90" s="207">
        <f ca="1">OFFSET('ASWING AERO'!$J$24,((ROW('ASWING AERO'!$A69)-ROW('ASWING AERO'!$A$24))*16/100),0)</f>
        <v>4.8499999999999996</v>
      </c>
      <c r="AO90" s="207">
        <f ca="1">OFFSET('ASWING AERO'!$N$24,((ROW('ASWING AERO'!$A69)-ROW('ASWING AERO'!$A$24))*16/100),0)</f>
        <v>-0.15</v>
      </c>
      <c r="AP90" s="207">
        <f ca="1">OFFSET('ASWING AERO'!$O$24,((ROW('ASWING AERO'!$A69)-ROW('ASWING AERO'!$A$24))*16/100),0)</f>
        <v>1.85</v>
      </c>
      <c r="AQ90" s="207">
        <f ca="1">OFFSET('ASWING AERO'!$P$24,((ROW('ASWING AERO'!$A69)-ROW('ASWING AERO'!$A$24))*16/100),0)</f>
        <v>-1.55</v>
      </c>
      <c r="AR90" s="8">
        <f ca="1">OFFSET('ASWING AERO'!$M$24,((ROW('ASWING AERO'!$A69)-ROW('ASWING AERO'!$A$24))*16/100),0)</f>
        <v>5.9690260418206069</v>
      </c>
    </row>
    <row r="91" spans="1:44" x14ac:dyDescent="0.25">
      <c r="A91">
        <f>Loads!A66</f>
        <v>46</v>
      </c>
      <c r="B91">
        <v>46</v>
      </c>
      <c r="C91">
        <f t="shared" si="10"/>
        <v>0.20468340550000003</v>
      </c>
      <c r="D91">
        <f>Loads!B66</f>
        <v>11.077428176</v>
      </c>
      <c r="E91">
        <f t="shared" si="11"/>
        <v>0</v>
      </c>
      <c r="F91">
        <f t="shared" si="12"/>
        <v>0</v>
      </c>
      <c r="G91" s="560">
        <f>Stiffness!AQ90/144</f>
        <v>631194.98106244428</v>
      </c>
      <c r="H91" s="560">
        <f>Stiffness!AV90/144</f>
        <v>2835976.7889413256</v>
      </c>
      <c r="I91">
        <v>0</v>
      </c>
      <c r="J91">
        <v>0</v>
      </c>
      <c r="K91">
        <v>0</v>
      </c>
      <c r="L91" s="560">
        <f>Stiffness!BC90/144</f>
        <v>31083689.379563551</v>
      </c>
      <c r="M91">
        <v>0</v>
      </c>
      <c r="N91">
        <v>0</v>
      </c>
      <c r="O91">
        <v>0</v>
      </c>
      <c r="P91">
        <v>0</v>
      </c>
      <c r="Q91">
        <v>0</v>
      </c>
      <c r="R91">
        <f>'Weight '!BT92*'Weight '!$E$36/Stiffness!D90</f>
        <v>16.905864767749463</v>
      </c>
      <c r="S91">
        <f ca="1">'Weight '!BU92-$AL90*$AM90</f>
        <v>0.86737295418337501</v>
      </c>
      <c r="T91" s="2">
        <v>0</v>
      </c>
      <c r="U91">
        <v>0</v>
      </c>
      <c r="V91">
        <v>0</v>
      </c>
      <c r="W91">
        <v>0</v>
      </c>
      <c r="X91">
        <v>0</v>
      </c>
      <c r="Y91">
        <v>0</v>
      </c>
      <c r="Z91">
        <f ca="1">Stiffness!CV90-AL91*AM91</f>
        <v>0.38070226925661732</v>
      </c>
      <c r="AA91">
        <v>0</v>
      </c>
      <c r="AB91">
        <v>0</v>
      </c>
      <c r="AC91" s="207">
        <v>0</v>
      </c>
      <c r="AD91">
        <f t="shared" si="13"/>
        <v>2E-3</v>
      </c>
      <c r="AE91">
        <f t="shared" si="14"/>
        <v>2E-3</v>
      </c>
      <c r="AF91">
        <f t="shared" ca="1" si="15"/>
        <v>0</v>
      </c>
      <c r="AG91">
        <f t="shared" si="16"/>
        <v>0.38399115402000006</v>
      </c>
      <c r="AH91" s="565">
        <f>Sizing!AD106*(Sizing!CO106+Sizing!CP106) / (12^3)</f>
        <v>4.7492755853823241E-3</v>
      </c>
      <c r="AI91">
        <f t="shared" si="9"/>
        <v>0</v>
      </c>
      <c r="AJ91">
        <f t="shared" si="17"/>
        <v>0</v>
      </c>
      <c r="AK91">
        <f t="shared" si="18"/>
        <v>0</v>
      </c>
      <c r="AL91" s="207">
        <f>Loads!C66</f>
        <v>4.2665683780000005</v>
      </c>
      <c r="AM91">
        <f ca="1">OFFSET('ASWING AERO'!$F$24,((ROW('ASWING AERO'!$A70)-ROW('ASWING AERO'!$A$24))*16/100),0)</f>
        <v>0.25</v>
      </c>
      <c r="AN91" s="207">
        <f ca="1">OFFSET('ASWING AERO'!$J$24,((ROW('ASWING AERO'!$A70)-ROW('ASWING AERO'!$A$24))*16/100),0)</f>
        <v>4.8499999999999996</v>
      </c>
      <c r="AO91" s="207">
        <f ca="1">OFFSET('ASWING AERO'!$N$24,((ROW('ASWING AERO'!$A70)-ROW('ASWING AERO'!$A$24))*16/100),0)</f>
        <v>-0.15</v>
      </c>
      <c r="AP91" s="207">
        <f ca="1">OFFSET('ASWING AERO'!$O$24,((ROW('ASWING AERO'!$A70)-ROW('ASWING AERO'!$A$24))*16/100),0)</f>
        <v>1.85</v>
      </c>
      <c r="AQ91" s="207">
        <f ca="1">OFFSET('ASWING AERO'!$P$24,((ROW('ASWING AERO'!$A70)-ROW('ASWING AERO'!$A$24))*16/100),0)</f>
        <v>-1.55</v>
      </c>
      <c r="AR91" s="8">
        <f ca="1">OFFSET('ASWING AERO'!$M$24,((ROW('ASWING AERO'!$A70)-ROW('ASWING AERO'!$A$24))*16/100),0)</f>
        <v>5.9690260418206069</v>
      </c>
    </row>
    <row r="92" spans="1:44" x14ac:dyDescent="0.25">
      <c r="A92">
        <f>Loads!A67</f>
        <v>47</v>
      </c>
      <c r="B92">
        <v>47</v>
      </c>
      <c r="C92">
        <f t="shared" si="10"/>
        <v>0.20913304475</v>
      </c>
      <c r="D92">
        <f>Loads!B67</f>
        <v>11.318241831999998</v>
      </c>
      <c r="E92">
        <f t="shared" si="11"/>
        <v>0</v>
      </c>
      <c r="F92">
        <f t="shared" si="12"/>
        <v>0</v>
      </c>
      <c r="G92" s="560">
        <f>Stiffness!AQ91/144</f>
        <v>615221.29798102519</v>
      </c>
      <c r="H92" s="560">
        <f>Stiffness!AV91/144</f>
        <v>2812364.8339552013</v>
      </c>
      <c r="I92">
        <v>0</v>
      </c>
      <c r="J92">
        <v>0</v>
      </c>
      <c r="K92">
        <v>0</v>
      </c>
      <c r="L92" s="560">
        <f>Stiffness!BC91/144</f>
        <v>30696300.703193758</v>
      </c>
      <c r="M92">
        <v>0</v>
      </c>
      <c r="N92">
        <v>0</v>
      </c>
      <c r="O92">
        <v>0</v>
      </c>
      <c r="P92">
        <v>0</v>
      </c>
      <c r="Q92">
        <v>0</v>
      </c>
      <c r="R92">
        <f>'Weight '!BT93*'Weight '!$E$36/Stiffness!D91</f>
        <v>16.843669261903287</v>
      </c>
      <c r="S92">
        <f ca="1">'Weight '!BU93-$AL91*$AM91</f>
        <v>0.86332232140201426</v>
      </c>
      <c r="T92" s="2">
        <v>0</v>
      </c>
      <c r="U92">
        <v>0</v>
      </c>
      <c r="V92">
        <v>0</v>
      </c>
      <c r="W92">
        <v>0</v>
      </c>
      <c r="X92">
        <v>0</v>
      </c>
      <c r="Y92">
        <v>0</v>
      </c>
      <c r="Z92">
        <f ca="1">Stiffness!CV91-AL92*AM92</f>
        <v>0.37910752483279353</v>
      </c>
      <c r="AA92">
        <v>0</v>
      </c>
      <c r="AB92">
        <v>0</v>
      </c>
      <c r="AC92" s="207">
        <v>0</v>
      </c>
      <c r="AD92">
        <f t="shared" si="13"/>
        <v>2E-3</v>
      </c>
      <c r="AE92">
        <f t="shared" si="14"/>
        <v>2E-3</v>
      </c>
      <c r="AF92">
        <f t="shared" ca="1" si="15"/>
        <v>0</v>
      </c>
      <c r="AG92">
        <f t="shared" si="16"/>
        <v>0.38238928389000004</v>
      </c>
      <c r="AH92" s="565">
        <f>Sizing!AD107*(Sizing!CO107+Sizing!CP107) / (12^3)</f>
        <v>4.709733766219336E-3</v>
      </c>
      <c r="AI92">
        <f t="shared" si="9"/>
        <v>0</v>
      </c>
      <c r="AJ92">
        <f t="shared" si="17"/>
        <v>0</v>
      </c>
      <c r="AK92">
        <f t="shared" si="18"/>
        <v>0</v>
      </c>
      <c r="AL92" s="207">
        <f>Loads!C67</f>
        <v>4.2487698210000007</v>
      </c>
      <c r="AM92">
        <f ca="1">OFFSET('ASWING AERO'!$F$24,((ROW('ASWING AERO'!$A71)-ROW('ASWING AERO'!$A$24))*16/100),0)</f>
        <v>0.25</v>
      </c>
      <c r="AN92" s="207">
        <f ca="1">OFFSET('ASWING AERO'!$J$24,((ROW('ASWING AERO'!$A71)-ROW('ASWING AERO'!$A$24))*16/100),0)</f>
        <v>4.8499999999999996</v>
      </c>
      <c r="AO92" s="207">
        <f ca="1">OFFSET('ASWING AERO'!$N$24,((ROW('ASWING AERO'!$A71)-ROW('ASWING AERO'!$A$24))*16/100),0)</f>
        <v>-0.15</v>
      </c>
      <c r="AP92" s="207">
        <f ca="1">OFFSET('ASWING AERO'!$O$24,((ROW('ASWING AERO'!$A71)-ROW('ASWING AERO'!$A$24))*16/100),0)</f>
        <v>1.85</v>
      </c>
      <c r="AQ92" s="207">
        <f ca="1">OFFSET('ASWING AERO'!$P$24,((ROW('ASWING AERO'!$A71)-ROW('ASWING AERO'!$A$24))*16/100),0)</f>
        <v>-1.55</v>
      </c>
      <c r="AR92" s="8">
        <f ca="1">OFFSET('ASWING AERO'!$M$24,((ROW('ASWING AERO'!$A71)-ROW('ASWING AERO'!$A$24))*16/100),0)</f>
        <v>5.9690260418206069</v>
      </c>
    </row>
    <row r="93" spans="1:44" x14ac:dyDescent="0.25">
      <c r="A93">
        <f>Loads!A68</f>
        <v>48</v>
      </c>
      <c r="B93">
        <v>48</v>
      </c>
      <c r="C93">
        <f t="shared" si="10"/>
        <v>0.21358268400000002</v>
      </c>
      <c r="D93">
        <f>Loads!B68</f>
        <v>11.559055487999998</v>
      </c>
      <c r="E93">
        <f t="shared" si="11"/>
        <v>0</v>
      </c>
      <c r="F93">
        <f t="shared" si="12"/>
        <v>0</v>
      </c>
      <c r="G93" s="560">
        <f>Stiffness!AQ92/144</f>
        <v>599452.33705645381</v>
      </c>
      <c r="H93" s="560">
        <f>Stiffness!AV92/144</f>
        <v>2788851.5852604494</v>
      </c>
      <c r="I93">
        <v>0</v>
      </c>
      <c r="J93">
        <v>0</v>
      </c>
      <c r="K93">
        <v>0</v>
      </c>
      <c r="L93" s="560">
        <f>Stiffness!BC92/144</f>
        <v>30312144.094688728</v>
      </c>
      <c r="M93">
        <v>0</v>
      </c>
      <c r="N93">
        <v>0</v>
      </c>
      <c r="O93">
        <v>0</v>
      </c>
      <c r="P93">
        <v>0</v>
      </c>
      <c r="Q93">
        <v>0</v>
      </c>
      <c r="R93">
        <f>'Weight '!BT94*'Weight '!$E$36/Stiffness!D92</f>
        <v>16.781473756057093</v>
      </c>
      <c r="S93">
        <f ca="1">'Weight '!BU94-$AL92*$AM92</f>
        <v>0.85927210103349827</v>
      </c>
      <c r="T93" s="2">
        <v>0</v>
      </c>
      <c r="U93">
        <v>0</v>
      </c>
      <c r="V93">
        <v>0</v>
      </c>
      <c r="W93">
        <v>0</v>
      </c>
      <c r="X93">
        <v>0</v>
      </c>
      <c r="Y93">
        <v>0</v>
      </c>
      <c r="Z93">
        <f ca="1">Stiffness!CV92-AL93*AM93</f>
        <v>0.37751269297425383</v>
      </c>
      <c r="AA93">
        <v>0</v>
      </c>
      <c r="AB93">
        <v>0</v>
      </c>
      <c r="AC93" s="207">
        <v>0</v>
      </c>
      <c r="AD93">
        <f t="shared" si="13"/>
        <v>2E-3</v>
      </c>
      <c r="AE93">
        <f t="shared" si="14"/>
        <v>2E-3</v>
      </c>
      <c r="AF93">
        <f t="shared" ca="1" si="15"/>
        <v>0</v>
      </c>
      <c r="AG93">
        <f t="shared" si="16"/>
        <v>0.38078741376000008</v>
      </c>
      <c r="AH93" s="565">
        <f>Sizing!AD108*(Sizing!CO108+Sizing!CP108) / (12^3)</f>
        <v>4.6703572457927724E-3</v>
      </c>
      <c r="AI93">
        <f t="shared" si="9"/>
        <v>0</v>
      </c>
      <c r="AJ93">
        <f t="shared" si="17"/>
        <v>0</v>
      </c>
      <c r="AK93">
        <f t="shared" si="18"/>
        <v>0</v>
      </c>
      <c r="AL93" s="207">
        <f>Loads!C68</f>
        <v>4.2309712640000008</v>
      </c>
      <c r="AM93">
        <f ca="1">OFFSET('ASWING AERO'!$F$24,((ROW('ASWING AERO'!$A72)-ROW('ASWING AERO'!$A$24))*16/100),0)</f>
        <v>0.25</v>
      </c>
      <c r="AN93" s="207">
        <f ca="1">OFFSET('ASWING AERO'!$J$24,((ROW('ASWING AERO'!$A72)-ROW('ASWING AERO'!$A$24))*16/100),0)</f>
        <v>4.8499999999999996</v>
      </c>
      <c r="AO93" s="207">
        <f ca="1">OFFSET('ASWING AERO'!$N$24,((ROW('ASWING AERO'!$A72)-ROW('ASWING AERO'!$A$24))*16/100),0)</f>
        <v>-0.15</v>
      </c>
      <c r="AP93" s="207">
        <f ca="1">OFFSET('ASWING AERO'!$O$24,((ROW('ASWING AERO'!$A72)-ROW('ASWING AERO'!$A$24))*16/100),0)</f>
        <v>1.85</v>
      </c>
      <c r="AQ93" s="207">
        <f ca="1">OFFSET('ASWING AERO'!$P$24,((ROW('ASWING AERO'!$A72)-ROW('ASWING AERO'!$A$24))*16/100),0)</f>
        <v>-1.55</v>
      </c>
      <c r="AR93" s="8">
        <f ca="1">OFFSET('ASWING AERO'!$M$24,((ROW('ASWING AERO'!$A72)-ROW('ASWING AERO'!$A$24))*16/100),0)</f>
        <v>5.9690260418206069</v>
      </c>
    </row>
    <row r="94" spans="1:44" x14ac:dyDescent="0.25">
      <c r="A94">
        <f>Loads!A69</f>
        <v>49</v>
      </c>
      <c r="B94">
        <v>49</v>
      </c>
      <c r="C94">
        <f t="shared" si="10"/>
        <v>0.21803232325000002</v>
      </c>
      <c r="D94">
        <f>Loads!B69</f>
        <v>11.799869143999999</v>
      </c>
      <c r="E94">
        <f t="shared" si="11"/>
        <v>0</v>
      </c>
      <c r="F94">
        <f t="shared" si="12"/>
        <v>0</v>
      </c>
      <c r="G94" s="560">
        <f>Stiffness!AQ93/144</f>
        <v>583888.09828873037</v>
      </c>
      <c r="H94" s="560">
        <f>Stiffness!AV93/144</f>
        <v>2765437.0428570672</v>
      </c>
      <c r="I94">
        <v>0</v>
      </c>
      <c r="J94">
        <v>0</v>
      </c>
      <c r="K94">
        <v>0</v>
      </c>
      <c r="L94" s="560">
        <f>Stiffness!BC93/144</f>
        <v>29931206.014566049</v>
      </c>
      <c r="M94">
        <v>0</v>
      </c>
      <c r="N94">
        <v>0</v>
      </c>
      <c r="O94">
        <v>0</v>
      </c>
      <c r="P94">
        <v>0</v>
      </c>
      <c r="Q94">
        <v>0</v>
      </c>
      <c r="R94">
        <f>'Weight '!BT95*'Weight '!$E$36/Stiffness!D93</f>
        <v>16.719278250210905</v>
      </c>
      <c r="S94">
        <f ca="1">'Weight '!BU95-$AL93*$AM93</f>
        <v>0.8552222976803372</v>
      </c>
      <c r="T94" s="2">
        <v>0</v>
      </c>
      <c r="U94">
        <v>0</v>
      </c>
      <c r="V94">
        <v>0</v>
      </c>
      <c r="W94">
        <v>0</v>
      </c>
      <c r="X94">
        <v>0</v>
      </c>
      <c r="Y94">
        <v>0</v>
      </c>
      <c r="Z94">
        <f ca="1">Stiffness!CV93-AL94*AM94</f>
        <v>0.37591778613506377</v>
      </c>
      <c r="AA94">
        <v>0</v>
      </c>
      <c r="AB94">
        <v>0</v>
      </c>
      <c r="AC94" s="207">
        <v>0</v>
      </c>
      <c r="AD94">
        <f t="shared" si="13"/>
        <v>2E-3</v>
      </c>
      <c r="AE94">
        <f t="shared" si="14"/>
        <v>2E-3</v>
      </c>
      <c r="AF94">
        <f t="shared" ca="1" si="15"/>
        <v>0</v>
      </c>
      <c r="AG94">
        <f t="shared" si="16"/>
        <v>0.37918554363000001</v>
      </c>
      <c r="AH94" s="565">
        <f>Sizing!AD109*(Sizing!CO109+Sizing!CP109) / (12^3)</f>
        <v>4.6311460241026297E-3</v>
      </c>
      <c r="AI94">
        <f t="shared" si="9"/>
        <v>0</v>
      </c>
      <c r="AJ94">
        <f t="shared" si="17"/>
        <v>0</v>
      </c>
      <c r="AK94">
        <f t="shared" si="18"/>
        <v>0</v>
      </c>
      <c r="AL94" s="207">
        <f>Loads!C69</f>
        <v>4.213172707</v>
      </c>
      <c r="AM94">
        <f ca="1">OFFSET('ASWING AERO'!$F$24,((ROW('ASWING AERO'!$A73)-ROW('ASWING AERO'!$A$24))*16/100),0)</f>
        <v>0.25</v>
      </c>
      <c r="AN94" s="207">
        <f ca="1">OFFSET('ASWING AERO'!$J$24,((ROW('ASWING AERO'!$A73)-ROW('ASWING AERO'!$A$24))*16/100),0)</f>
        <v>4.8499999999999996</v>
      </c>
      <c r="AO94" s="207">
        <f ca="1">OFFSET('ASWING AERO'!$N$24,((ROW('ASWING AERO'!$A73)-ROW('ASWING AERO'!$A$24))*16/100),0)</f>
        <v>-0.15</v>
      </c>
      <c r="AP94" s="207">
        <f ca="1">OFFSET('ASWING AERO'!$O$24,((ROW('ASWING AERO'!$A73)-ROW('ASWING AERO'!$A$24))*16/100),0)</f>
        <v>1.85</v>
      </c>
      <c r="AQ94" s="207">
        <f ca="1">OFFSET('ASWING AERO'!$P$24,((ROW('ASWING AERO'!$A73)-ROW('ASWING AERO'!$A$24))*16/100),0)</f>
        <v>-1.55</v>
      </c>
      <c r="AR94" s="8">
        <f ca="1">OFFSET('ASWING AERO'!$M$24,((ROW('ASWING AERO'!$A73)-ROW('ASWING AERO'!$A$24))*16/100),0)</f>
        <v>5.9690260418206069</v>
      </c>
    </row>
    <row r="95" spans="1:44" x14ac:dyDescent="0.25">
      <c r="A95">
        <f>Loads!A70</f>
        <v>50</v>
      </c>
      <c r="B95">
        <v>50</v>
      </c>
      <c r="C95">
        <f t="shared" si="10"/>
        <v>0.22248196250000002</v>
      </c>
      <c r="D95">
        <f>Loads!B70</f>
        <v>12.040682799999999</v>
      </c>
      <c r="E95">
        <f t="shared" si="11"/>
        <v>0</v>
      </c>
      <c r="F95">
        <f t="shared" si="12"/>
        <v>0</v>
      </c>
      <c r="G95" s="560">
        <f>Stiffness!AQ94/144</f>
        <v>1210377.6922793328</v>
      </c>
      <c r="H95" s="560">
        <f>Stiffness!AV94/144</f>
        <v>1906511.76824249</v>
      </c>
      <c r="I95">
        <v>0</v>
      </c>
      <c r="J95">
        <v>0</v>
      </c>
      <c r="K95">
        <v>0</v>
      </c>
      <c r="L95" s="560">
        <f>Stiffness!BC94/144</f>
        <v>29553472.923343398</v>
      </c>
      <c r="M95">
        <v>0</v>
      </c>
      <c r="N95">
        <v>0</v>
      </c>
      <c r="O95">
        <v>0</v>
      </c>
      <c r="P95">
        <v>0</v>
      </c>
      <c r="Q95">
        <v>0</v>
      </c>
      <c r="R95">
        <f>'Weight '!BT96*'Weight '!$E$36/Stiffness!D94</f>
        <v>11.81624484354697</v>
      </c>
      <c r="S95">
        <f ca="1">'Weight '!BU96-$AL94*$AM94</f>
        <v>0.86333706859233539</v>
      </c>
      <c r="T95" s="2">
        <v>0</v>
      </c>
      <c r="U95">
        <v>0</v>
      </c>
      <c r="V95">
        <v>0</v>
      </c>
      <c r="W95">
        <v>0</v>
      </c>
      <c r="X95">
        <v>0</v>
      </c>
      <c r="Y95">
        <v>0</v>
      </c>
      <c r="Z95">
        <f ca="1">Stiffness!CV94-AL95*AM95</f>
        <v>0.37432281540010703</v>
      </c>
      <c r="AA95">
        <v>0</v>
      </c>
      <c r="AB95">
        <v>0</v>
      </c>
      <c r="AC95" s="207">
        <v>0</v>
      </c>
      <c r="AD95">
        <f t="shared" si="13"/>
        <v>2E-3</v>
      </c>
      <c r="AE95">
        <f t="shared" si="14"/>
        <v>2E-3</v>
      </c>
      <c r="AF95">
        <f t="shared" ca="1" si="15"/>
        <v>0</v>
      </c>
      <c r="AG95">
        <f t="shared" si="16"/>
        <v>0.37758367349999999</v>
      </c>
      <c r="AH95" s="565">
        <f>Sizing!AD110*(Sizing!CO110+Sizing!CP110) / (12^3)</f>
        <v>4.5921001011489113E-3</v>
      </c>
      <c r="AI95">
        <f t="shared" si="9"/>
        <v>0</v>
      </c>
      <c r="AJ95">
        <f t="shared" si="17"/>
        <v>0</v>
      </c>
      <c r="AK95">
        <f t="shared" si="18"/>
        <v>0</v>
      </c>
      <c r="AL95" s="207">
        <f>Loads!C70</f>
        <v>4.1953741500000001</v>
      </c>
      <c r="AM95">
        <f ca="1">OFFSET('ASWING AERO'!$F$24,((ROW('ASWING AERO'!$A74)-ROW('ASWING AERO'!$A$24))*16/100),0)</f>
        <v>0.25</v>
      </c>
      <c r="AN95" s="207">
        <f ca="1">OFFSET('ASWING AERO'!$J$24,((ROW('ASWING AERO'!$A74)-ROW('ASWING AERO'!$A$24))*16/100),0)</f>
        <v>4.45</v>
      </c>
      <c r="AO95" s="207">
        <f ca="1">OFFSET('ASWING AERO'!$N$24,((ROW('ASWING AERO'!$A74)-ROW('ASWING AERO'!$A$24))*16/100),0)</f>
        <v>-0.15</v>
      </c>
      <c r="AP95" s="207">
        <f ca="1">OFFSET('ASWING AERO'!$O$24,((ROW('ASWING AERO'!$A74)-ROW('ASWING AERO'!$A$24))*16/100),0)</f>
        <v>1.85</v>
      </c>
      <c r="AQ95" s="207">
        <f ca="1">OFFSET('ASWING AERO'!$P$24,((ROW('ASWING AERO'!$A74)-ROW('ASWING AERO'!$A$24))*16/100),0)</f>
        <v>-1.55</v>
      </c>
      <c r="AR95" s="8">
        <f ca="1">OFFSET('ASWING AERO'!$M$24,((ROW('ASWING AERO'!$A74)-ROW('ASWING AERO'!$A$24))*16/100),0)</f>
        <v>5.9690260418206069</v>
      </c>
    </row>
    <row r="96" spans="1:44" x14ac:dyDescent="0.25">
      <c r="A96">
        <f>Loads!A71</f>
        <v>51</v>
      </c>
      <c r="B96">
        <v>51</v>
      </c>
      <c r="C96">
        <f t="shared" si="10"/>
        <v>0.22693160175000002</v>
      </c>
      <c r="D96">
        <f>Loads!B71</f>
        <v>12.281496455999999</v>
      </c>
      <c r="E96">
        <f t="shared" si="11"/>
        <v>0</v>
      </c>
      <c r="F96">
        <f t="shared" si="12"/>
        <v>0</v>
      </c>
      <c r="G96" s="560">
        <f>Stiffness!AQ95/144</f>
        <v>1192052.8774759527</v>
      </c>
      <c r="H96" s="560">
        <f>Stiffness!AV95/144</f>
        <v>1890369.618464801</v>
      </c>
      <c r="I96">
        <v>0</v>
      </c>
      <c r="J96">
        <v>0</v>
      </c>
      <c r="K96">
        <v>0</v>
      </c>
      <c r="L96" s="560">
        <f>Stiffness!BC95/144</f>
        <v>29178931.28153833</v>
      </c>
      <c r="M96">
        <v>0</v>
      </c>
      <c r="N96">
        <v>0</v>
      </c>
      <c r="O96">
        <v>0</v>
      </c>
      <c r="P96">
        <v>0</v>
      </c>
      <c r="Q96">
        <v>0</v>
      </c>
      <c r="R96">
        <f>'Weight '!BT97*'Weight '!$E$36/Stiffness!D95</f>
        <v>11.771904572630071</v>
      </c>
      <c r="S96">
        <f ca="1">'Weight '!BU97-$AL95*$AM95</f>
        <v>0.85924640442912081</v>
      </c>
      <c r="T96" s="2">
        <v>0</v>
      </c>
      <c r="U96">
        <v>0</v>
      </c>
      <c r="V96">
        <v>0</v>
      </c>
      <c r="W96">
        <v>0</v>
      </c>
      <c r="X96">
        <v>0</v>
      </c>
      <c r="Y96">
        <v>0</v>
      </c>
      <c r="Z96">
        <f ca="1">Stiffness!CV95-AL96*AM96</f>
        <v>0.37272779057606686</v>
      </c>
      <c r="AA96">
        <v>0</v>
      </c>
      <c r="AB96">
        <v>0</v>
      </c>
      <c r="AC96" s="207">
        <v>0</v>
      </c>
      <c r="AD96">
        <f t="shared" si="13"/>
        <v>2E-3</v>
      </c>
      <c r="AE96">
        <f t="shared" si="14"/>
        <v>2E-3</v>
      </c>
      <c r="AF96">
        <f t="shared" ca="1" si="15"/>
        <v>0</v>
      </c>
      <c r="AG96">
        <f t="shared" si="16"/>
        <v>0.37598180337000003</v>
      </c>
      <c r="AH96" s="565">
        <f>Sizing!AD111*(Sizing!CO111+Sizing!CP111) / (12^3)</f>
        <v>4.5532194769316173E-3</v>
      </c>
      <c r="AI96">
        <f t="shared" si="9"/>
        <v>0</v>
      </c>
      <c r="AJ96">
        <f t="shared" si="17"/>
        <v>0</v>
      </c>
      <c r="AK96">
        <f t="shared" si="18"/>
        <v>0</v>
      </c>
      <c r="AL96" s="207">
        <f>Loads!C71</f>
        <v>4.1775755930000003</v>
      </c>
      <c r="AM96">
        <f ca="1">OFFSET('ASWING AERO'!$F$24,((ROW('ASWING AERO'!$A75)-ROW('ASWING AERO'!$A$24))*16/100),0)</f>
        <v>0.25</v>
      </c>
      <c r="AN96" s="207">
        <f ca="1">OFFSET('ASWING AERO'!$J$24,((ROW('ASWING AERO'!$A75)-ROW('ASWING AERO'!$A$24))*16/100),0)</f>
        <v>4.45</v>
      </c>
      <c r="AO96" s="207">
        <f ca="1">OFFSET('ASWING AERO'!$N$24,((ROW('ASWING AERO'!$A75)-ROW('ASWING AERO'!$A$24))*16/100),0)</f>
        <v>-0.15</v>
      </c>
      <c r="AP96" s="207">
        <f ca="1">OFFSET('ASWING AERO'!$O$24,((ROW('ASWING AERO'!$A75)-ROW('ASWING AERO'!$A$24))*16/100),0)</f>
        <v>1.85</v>
      </c>
      <c r="AQ96" s="207">
        <f ca="1">OFFSET('ASWING AERO'!$P$24,((ROW('ASWING AERO'!$A75)-ROW('ASWING AERO'!$A$24))*16/100),0)</f>
        <v>-1.55</v>
      </c>
      <c r="AR96" s="8">
        <f ca="1">OFFSET('ASWING AERO'!$M$24,((ROW('ASWING AERO'!$A75)-ROW('ASWING AERO'!$A$24))*16/100),0)</f>
        <v>5.9690260418206069</v>
      </c>
    </row>
    <row r="97" spans="1:44" x14ac:dyDescent="0.25">
      <c r="A97">
        <f>Loads!A72</f>
        <v>52</v>
      </c>
      <c r="B97">
        <v>52</v>
      </c>
      <c r="C97">
        <f t="shared" si="10"/>
        <v>0.23138124100000002</v>
      </c>
      <c r="D97">
        <f>Loads!B72</f>
        <v>12.522310112</v>
      </c>
      <c r="E97">
        <f t="shared" si="11"/>
        <v>0</v>
      </c>
      <c r="F97">
        <f t="shared" si="12"/>
        <v>0</v>
      </c>
      <c r="G97" s="560">
        <f>Stiffness!AQ96/144</f>
        <v>1173867.8393330034</v>
      </c>
      <c r="H97" s="560">
        <f>Stiffness!AV96/144</f>
        <v>1874296.0961079721</v>
      </c>
      <c r="I97">
        <v>0</v>
      </c>
      <c r="J97">
        <v>0</v>
      </c>
      <c r="K97">
        <v>0</v>
      </c>
      <c r="L97" s="560">
        <f>Stiffness!BC96/144</f>
        <v>28807567.549668521</v>
      </c>
      <c r="M97">
        <v>0</v>
      </c>
      <c r="N97">
        <v>0</v>
      </c>
      <c r="O97">
        <v>0</v>
      </c>
      <c r="P97">
        <v>0</v>
      </c>
      <c r="Q97">
        <v>0</v>
      </c>
      <c r="R97">
        <f>'Weight '!BT98*'Weight '!$E$36/Stiffness!D96</f>
        <v>11.727564301713171</v>
      </c>
      <c r="S97">
        <f ca="1">'Weight '!BU98-$AL96*$AM96</f>
        <v>0.85515614593142319</v>
      </c>
      <c r="T97" s="2">
        <v>0</v>
      </c>
      <c r="U97">
        <v>0</v>
      </c>
      <c r="V97">
        <v>0</v>
      </c>
      <c r="W97">
        <v>0</v>
      </c>
      <c r="X97">
        <v>0</v>
      </c>
      <c r="Y97">
        <v>0</v>
      </c>
      <c r="Z97">
        <f ca="1">Stiffness!CV96-AL97*AM97</f>
        <v>0.37113272028017552</v>
      </c>
      <c r="AA97">
        <v>0</v>
      </c>
      <c r="AB97">
        <v>0</v>
      </c>
      <c r="AC97" s="207">
        <v>0</v>
      </c>
      <c r="AD97">
        <f t="shared" si="13"/>
        <v>2E-3</v>
      </c>
      <c r="AE97">
        <f t="shared" si="14"/>
        <v>2E-3</v>
      </c>
      <c r="AF97">
        <f t="shared" ca="1" si="15"/>
        <v>0</v>
      </c>
      <c r="AG97">
        <f t="shared" si="16"/>
        <v>0.37437993324000002</v>
      </c>
      <c r="AH97" s="565">
        <f>Sizing!AD112*(Sizing!CO112+Sizing!CP112) / (12^3)</f>
        <v>4.5145041514507477E-3</v>
      </c>
      <c r="AI97">
        <f t="shared" si="9"/>
        <v>0</v>
      </c>
      <c r="AJ97">
        <f t="shared" si="17"/>
        <v>0</v>
      </c>
      <c r="AK97">
        <f t="shared" si="18"/>
        <v>0</v>
      </c>
      <c r="AL97" s="207">
        <f>Loads!C72</f>
        <v>4.1597770360000004</v>
      </c>
      <c r="AM97">
        <f ca="1">OFFSET('ASWING AERO'!$F$24,((ROW('ASWING AERO'!$A76)-ROW('ASWING AERO'!$A$24))*16/100),0)</f>
        <v>0.25</v>
      </c>
      <c r="AN97" s="207">
        <f ca="1">OFFSET('ASWING AERO'!$J$24,((ROW('ASWING AERO'!$A76)-ROW('ASWING AERO'!$A$24))*16/100),0)</f>
        <v>4.45</v>
      </c>
      <c r="AO97" s="207">
        <f ca="1">OFFSET('ASWING AERO'!$N$24,((ROW('ASWING AERO'!$A76)-ROW('ASWING AERO'!$A$24))*16/100),0)</f>
        <v>-0.15</v>
      </c>
      <c r="AP97" s="207">
        <f ca="1">OFFSET('ASWING AERO'!$O$24,((ROW('ASWING AERO'!$A76)-ROW('ASWING AERO'!$A$24))*16/100),0)</f>
        <v>1.85</v>
      </c>
      <c r="AQ97" s="207">
        <f ca="1">OFFSET('ASWING AERO'!$P$24,((ROW('ASWING AERO'!$A76)-ROW('ASWING AERO'!$A$24))*16/100),0)</f>
        <v>-1.55</v>
      </c>
      <c r="AR97" s="8">
        <f ca="1">OFFSET('ASWING AERO'!$M$24,((ROW('ASWING AERO'!$A76)-ROW('ASWING AERO'!$A$24))*16/100),0)</f>
        <v>5.9690260418206069</v>
      </c>
    </row>
    <row r="98" spans="1:44" x14ac:dyDescent="0.25">
      <c r="A98">
        <f>Loads!A73</f>
        <v>53</v>
      </c>
      <c r="B98">
        <v>53</v>
      </c>
      <c r="C98">
        <f t="shared" si="10"/>
        <v>0.23583088025000004</v>
      </c>
      <c r="D98">
        <f>Loads!B73</f>
        <v>12.763123768</v>
      </c>
      <c r="E98">
        <f t="shared" si="11"/>
        <v>0</v>
      </c>
      <c r="F98">
        <f t="shared" si="12"/>
        <v>0</v>
      </c>
      <c r="G98" s="560">
        <f>Stiffness!AQ97/144</f>
        <v>1155822.5778504857</v>
      </c>
      <c r="H98" s="560">
        <f>Stiffness!AV97/144</f>
        <v>1858291.2011720007</v>
      </c>
      <c r="I98">
        <v>0</v>
      </c>
      <c r="J98">
        <v>0</v>
      </c>
      <c r="K98">
        <v>0</v>
      </c>
      <c r="L98" s="560">
        <f>Stiffness!BC97/144</f>
        <v>28439368.188251588</v>
      </c>
      <c r="M98">
        <v>0</v>
      </c>
      <c r="N98">
        <v>0</v>
      </c>
      <c r="O98">
        <v>0</v>
      </c>
      <c r="P98">
        <v>0</v>
      </c>
      <c r="Q98">
        <v>0</v>
      </c>
      <c r="R98">
        <f>'Weight '!BT99*'Weight '!$E$36/Stiffness!D97</f>
        <v>11.683224030796268</v>
      </c>
      <c r="S98">
        <f ca="1">'Weight '!BU99-$AL97*$AM97</f>
        <v>0.85106629771799347</v>
      </c>
      <c r="T98" s="2">
        <v>0</v>
      </c>
      <c r="U98">
        <v>0</v>
      </c>
      <c r="V98">
        <v>0</v>
      </c>
      <c r="W98">
        <v>0</v>
      </c>
      <c r="X98">
        <v>0</v>
      </c>
      <c r="Y98">
        <v>0</v>
      </c>
      <c r="Z98">
        <f ca="1">Stiffness!CV97-AL98*AM98</f>
        <v>0.36953761202675328</v>
      </c>
      <c r="AA98">
        <v>0</v>
      </c>
      <c r="AB98">
        <v>0</v>
      </c>
      <c r="AC98" s="207">
        <v>0</v>
      </c>
      <c r="AD98">
        <f t="shared" si="13"/>
        <v>2E-3</v>
      </c>
      <c r="AE98">
        <f t="shared" si="14"/>
        <v>2E-3</v>
      </c>
      <c r="AF98">
        <f t="shared" ca="1" si="15"/>
        <v>0</v>
      </c>
      <c r="AG98">
        <f t="shared" si="16"/>
        <v>0.37277806311000006</v>
      </c>
      <c r="AH98" s="565">
        <f>Sizing!AD113*(Sizing!CO113+Sizing!CP113) / (12^3)</f>
        <v>4.4759541247063007E-3</v>
      </c>
      <c r="AI98">
        <f t="shared" si="9"/>
        <v>0</v>
      </c>
      <c r="AJ98">
        <f t="shared" si="17"/>
        <v>0</v>
      </c>
      <c r="AK98">
        <f t="shared" si="18"/>
        <v>0</v>
      </c>
      <c r="AL98" s="207">
        <f>Loads!C73</f>
        <v>4.1419784790000005</v>
      </c>
      <c r="AM98">
        <f ca="1">OFFSET('ASWING AERO'!$F$24,((ROW('ASWING AERO'!$A77)-ROW('ASWING AERO'!$A$24))*16/100),0)</f>
        <v>0.25</v>
      </c>
      <c r="AN98" s="207">
        <f ca="1">OFFSET('ASWING AERO'!$J$24,((ROW('ASWING AERO'!$A77)-ROW('ASWING AERO'!$A$24))*16/100),0)</f>
        <v>4.45</v>
      </c>
      <c r="AO98" s="207">
        <f ca="1">OFFSET('ASWING AERO'!$N$24,((ROW('ASWING AERO'!$A77)-ROW('ASWING AERO'!$A$24))*16/100),0)</f>
        <v>-0.15</v>
      </c>
      <c r="AP98" s="207">
        <f ca="1">OFFSET('ASWING AERO'!$O$24,((ROW('ASWING AERO'!$A77)-ROW('ASWING AERO'!$A$24))*16/100),0)</f>
        <v>1.85</v>
      </c>
      <c r="AQ98" s="207">
        <f ca="1">OFFSET('ASWING AERO'!$P$24,((ROW('ASWING AERO'!$A77)-ROW('ASWING AERO'!$A$24))*16/100),0)</f>
        <v>-1.55</v>
      </c>
      <c r="AR98" s="8">
        <f ca="1">OFFSET('ASWING AERO'!$M$24,((ROW('ASWING AERO'!$A77)-ROW('ASWING AERO'!$A$24))*16/100),0)</f>
        <v>5.9690260418206069</v>
      </c>
    </row>
    <row r="99" spans="1:44" x14ac:dyDescent="0.25">
      <c r="A99">
        <f>Loads!A74</f>
        <v>54</v>
      </c>
      <c r="B99">
        <v>54</v>
      </c>
      <c r="C99">
        <f t="shared" si="10"/>
        <v>0.24028051950000004</v>
      </c>
      <c r="D99">
        <f>Loads!B74</f>
        <v>13.003937424</v>
      </c>
      <c r="E99">
        <f t="shared" si="11"/>
        <v>0</v>
      </c>
      <c r="F99">
        <f t="shared" si="12"/>
        <v>0</v>
      </c>
      <c r="G99" s="560">
        <f>Stiffness!AQ98/144</f>
        <v>1137917.0930283985</v>
      </c>
      <c r="H99" s="560">
        <f>Stiffness!AV98/144</f>
        <v>1842354.9336568881</v>
      </c>
      <c r="I99">
        <v>0</v>
      </c>
      <c r="J99">
        <v>0</v>
      </c>
      <c r="K99">
        <v>0</v>
      </c>
      <c r="L99" s="560">
        <f>Stiffness!BC98/144</f>
        <v>28074319.657805122</v>
      </c>
      <c r="M99">
        <v>0</v>
      </c>
      <c r="N99">
        <v>0</v>
      </c>
      <c r="O99">
        <v>0</v>
      </c>
      <c r="P99">
        <v>0</v>
      </c>
      <c r="Q99">
        <v>0</v>
      </c>
      <c r="R99">
        <f>'Weight '!BT100*'Weight '!$E$36/Stiffness!D98</f>
        <v>11.638883759879366</v>
      </c>
      <c r="S99">
        <f ca="1">'Weight '!BU100-$AL98*$AM98</f>
        <v>0.84697686447797382</v>
      </c>
      <c r="T99" s="2">
        <v>0</v>
      </c>
      <c r="U99">
        <v>0</v>
      </c>
      <c r="V99">
        <v>0</v>
      </c>
      <c r="W99">
        <v>0</v>
      </c>
      <c r="X99">
        <v>0</v>
      </c>
      <c r="Y99">
        <v>0</v>
      </c>
      <c r="Z99">
        <f ca="1">Stiffness!CV98-AL99*AM99</f>
        <v>0.36794247231156607</v>
      </c>
      <c r="AA99">
        <v>0</v>
      </c>
      <c r="AB99">
        <v>0</v>
      </c>
      <c r="AC99" s="207">
        <v>0</v>
      </c>
      <c r="AD99">
        <f t="shared" si="13"/>
        <v>2E-3</v>
      </c>
      <c r="AE99">
        <f t="shared" si="14"/>
        <v>2E-3</v>
      </c>
      <c r="AF99">
        <f t="shared" ca="1" si="15"/>
        <v>0</v>
      </c>
      <c r="AG99">
        <f t="shared" si="16"/>
        <v>0.37117619298000004</v>
      </c>
      <c r="AH99" s="565">
        <f>Sizing!AD114*(Sizing!CO114+Sizing!CP114) / (12^3)</f>
        <v>4.4375693966982772E-3</v>
      </c>
      <c r="AI99">
        <f t="shared" si="9"/>
        <v>0</v>
      </c>
      <c r="AJ99">
        <f t="shared" si="17"/>
        <v>0</v>
      </c>
      <c r="AK99">
        <f t="shared" si="18"/>
        <v>0</v>
      </c>
      <c r="AL99" s="207">
        <f>Loads!C74</f>
        <v>4.1241799220000006</v>
      </c>
      <c r="AM99">
        <f ca="1">OFFSET('ASWING AERO'!$F$24,((ROW('ASWING AERO'!$A78)-ROW('ASWING AERO'!$A$24))*16/100),0)</f>
        <v>0.25</v>
      </c>
      <c r="AN99" s="207">
        <f ca="1">OFFSET('ASWING AERO'!$J$24,((ROW('ASWING AERO'!$A78)-ROW('ASWING AERO'!$A$24))*16/100),0)</f>
        <v>4.45</v>
      </c>
      <c r="AO99" s="207">
        <f ca="1">OFFSET('ASWING AERO'!$N$24,((ROW('ASWING AERO'!$A78)-ROW('ASWING AERO'!$A$24))*16/100),0)</f>
        <v>-0.15</v>
      </c>
      <c r="AP99" s="207">
        <f ca="1">OFFSET('ASWING AERO'!$O$24,((ROW('ASWING AERO'!$A78)-ROW('ASWING AERO'!$A$24))*16/100),0)</f>
        <v>1.85</v>
      </c>
      <c r="AQ99" s="207">
        <f ca="1">OFFSET('ASWING AERO'!$P$24,((ROW('ASWING AERO'!$A78)-ROW('ASWING AERO'!$A$24))*16/100),0)</f>
        <v>-1.55</v>
      </c>
      <c r="AR99" s="8">
        <f ca="1">OFFSET('ASWING AERO'!$M$24,((ROW('ASWING AERO'!$A78)-ROW('ASWING AERO'!$A$24))*16/100),0)</f>
        <v>5.9690260418206069</v>
      </c>
    </row>
    <row r="100" spans="1:44" x14ac:dyDescent="0.25">
      <c r="A100">
        <f>Loads!A75</f>
        <v>55</v>
      </c>
      <c r="B100">
        <v>55</v>
      </c>
      <c r="C100">
        <f t="shared" si="10"/>
        <v>0.24473015875000004</v>
      </c>
      <c r="D100">
        <f>Loads!B75</f>
        <v>13.24475108</v>
      </c>
      <c r="E100">
        <f t="shared" si="11"/>
        <v>0</v>
      </c>
      <c r="F100">
        <f t="shared" si="12"/>
        <v>0</v>
      </c>
      <c r="G100" s="560">
        <f>Stiffness!AQ99/144</f>
        <v>1120151.384866741</v>
      </c>
      <c r="H100" s="560">
        <f>Stiffness!AV99/144</f>
        <v>1826487.2935626344</v>
      </c>
      <c r="I100">
        <v>0</v>
      </c>
      <c r="J100">
        <v>0</v>
      </c>
      <c r="K100">
        <v>0</v>
      </c>
      <c r="L100" s="560">
        <f>Stiffness!BC99/144</f>
        <v>27712408.418846771</v>
      </c>
      <c r="M100">
        <v>0</v>
      </c>
      <c r="N100">
        <v>0</v>
      </c>
      <c r="O100">
        <v>0</v>
      </c>
      <c r="P100">
        <v>0</v>
      </c>
      <c r="Q100">
        <v>0</v>
      </c>
      <c r="R100">
        <f>'Weight '!BT101*'Weight '!$E$36/Stiffness!D99</f>
        <v>11.594543488962463</v>
      </c>
      <c r="S100">
        <f ca="1">'Weight '!BU101-$AL99*$AM99</f>
        <v>0.8428878509722324</v>
      </c>
      <c r="T100" s="2">
        <v>0</v>
      </c>
      <c r="U100">
        <v>0</v>
      </c>
      <c r="V100">
        <v>0</v>
      </c>
      <c r="W100">
        <v>0</v>
      </c>
      <c r="X100">
        <v>0</v>
      </c>
      <c r="Y100">
        <v>0</v>
      </c>
      <c r="Z100">
        <f ca="1">Stiffness!CV99-AL100*AM100</f>
        <v>0.36634730669403193</v>
      </c>
      <c r="AA100">
        <v>0</v>
      </c>
      <c r="AB100">
        <v>0</v>
      </c>
      <c r="AC100" s="207">
        <v>0</v>
      </c>
      <c r="AD100">
        <f t="shared" si="13"/>
        <v>2E-3</v>
      </c>
      <c r="AE100">
        <f t="shared" si="14"/>
        <v>2E-3</v>
      </c>
      <c r="AF100">
        <f t="shared" ca="1" si="15"/>
        <v>0</v>
      </c>
      <c r="AG100">
        <f t="shared" si="16"/>
        <v>0.36957432285000003</v>
      </c>
      <c r="AH100" s="565">
        <f>Sizing!AD115*(Sizing!CO115+Sizing!CP115) / (12^3)</f>
        <v>4.3993499674266755E-3</v>
      </c>
      <c r="AI100">
        <f t="shared" si="9"/>
        <v>0</v>
      </c>
      <c r="AJ100">
        <f t="shared" si="17"/>
        <v>0</v>
      </c>
      <c r="AK100">
        <f t="shared" si="18"/>
        <v>0</v>
      </c>
      <c r="AL100" s="207">
        <f>Loads!C75</f>
        <v>4.1063813650000007</v>
      </c>
      <c r="AM100">
        <f ca="1">OFFSET('ASWING AERO'!$F$24,((ROW('ASWING AERO'!$A79)-ROW('ASWING AERO'!$A$24))*16/100),0)</f>
        <v>0.25</v>
      </c>
      <c r="AN100" s="207">
        <f ca="1">OFFSET('ASWING AERO'!$J$24,((ROW('ASWING AERO'!$A79)-ROW('ASWING AERO'!$A$24))*16/100),0)</f>
        <v>4.45</v>
      </c>
      <c r="AO100" s="207">
        <f ca="1">OFFSET('ASWING AERO'!$N$24,((ROW('ASWING AERO'!$A79)-ROW('ASWING AERO'!$A$24))*16/100),0)</f>
        <v>-0.15</v>
      </c>
      <c r="AP100" s="207">
        <f ca="1">OFFSET('ASWING AERO'!$O$24,((ROW('ASWING AERO'!$A79)-ROW('ASWING AERO'!$A$24))*16/100),0)</f>
        <v>1.85</v>
      </c>
      <c r="AQ100" s="207">
        <f ca="1">OFFSET('ASWING AERO'!$P$24,((ROW('ASWING AERO'!$A79)-ROW('ASWING AERO'!$A$24))*16/100),0)</f>
        <v>-1.55</v>
      </c>
      <c r="AR100" s="8">
        <f ca="1">OFFSET('ASWING AERO'!$M$24,((ROW('ASWING AERO'!$A79)-ROW('ASWING AERO'!$A$24))*16/100),0)</f>
        <v>5.9690260418206069</v>
      </c>
    </row>
    <row r="101" spans="1:44" x14ac:dyDescent="0.25">
      <c r="A101">
        <f>Loads!A76</f>
        <v>56</v>
      </c>
      <c r="B101">
        <v>56</v>
      </c>
      <c r="C101">
        <f t="shared" si="10"/>
        <v>0.24917979800000004</v>
      </c>
      <c r="D101">
        <f>Loads!B76</f>
        <v>13.485564736000001</v>
      </c>
      <c r="E101">
        <f t="shared" si="11"/>
        <v>0</v>
      </c>
      <c r="F101">
        <f t="shared" si="12"/>
        <v>0</v>
      </c>
      <c r="G101" s="560">
        <f>Stiffness!AQ100/144</f>
        <v>1102525.4533655134</v>
      </c>
      <c r="H101" s="560">
        <f>Stiffness!AV100/144</f>
        <v>1810688.2808892375</v>
      </c>
      <c r="I101">
        <v>0</v>
      </c>
      <c r="J101">
        <v>0</v>
      </c>
      <c r="K101">
        <v>0</v>
      </c>
      <c r="L101" s="560">
        <f>Stiffness!BC100/144</f>
        <v>27353620.931894116</v>
      </c>
      <c r="M101">
        <v>0</v>
      </c>
      <c r="N101">
        <v>0</v>
      </c>
      <c r="O101">
        <v>0</v>
      </c>
      <c r="P101">
        <v>0</v>
      </c>
      <c r="Q101">
        <v>0</v>
      </c>
      <c r="R101">
        <f>'Weight '!BT102*'Weight '!$E$36/Stiffness!D100</f>
        <v>11.550203218045564</v>
      </c>
      <c r="S101">
        <f ca="1">'Weight '!BU102-$AL100*$AM100</f>
        <v>0.83879926203474264</v>
      </c>
      <c r="T101" s="2">
        <v>0</v>
      </c>
      <c r="U101">
        <v>0</v>
      </c>
      <c r="V101">
        <v>0</v>
      </c>
      <c r="W101">
        <v>0</v>
      </c>
      <c r="X101">
        <v>0</v>
      </c>
      <c r="Y101">
        <v>0</v>
      </c>
      <c r="Z101">
        <f ca="1">Stiffness!CV100-AL101*AM101</f>
        <v>0.36475211987729805</v>
      </c>
      <c r="AA101">
        <v>0</v>
      </c>
      <c r="AB101">
        <v>0</v>
      </c>
      <c r="AC101" s="207">
        <v>0</v>
      </c>
      <c r="AD101">
        <f t="shared" si="13"/>
        <v>2E-3</v>
      </c>
      <c r="AE101">
        <f t="shared" si="14"/>
        <v>2E-3</v>
      </c>
      <c r="AF101">
        <f t="shared" ca="1" si="15"/>
        <v>0</v>
      </c>
      <c r="AG101">
        <f t="shared" si="16"/>
        <v>0.36797245272000001</v>
      </c>
      <c r="AH101" s="565">
        <f>Sizing!AD116*(Sizing!CO116+Sizing!CP116) / (12^3)</f>
        <v>4.3612958368914956E-3</v>
      </c>
      <c r="AI101">
        <f t="shared" si="9"/>
        <v>0</v>
      </c>
      <c r="AJ101">
        <f t="shared" si="17"/>
        <v>0</v>
      </c>
      <c r="AK101">
        <f t="shared" si="18"/>
        <v>0</v>
      </c>
      <c r="AL101" s="207">
        <f>Loads!C76</f>
        <v>4.088582808</v>
      </c>
      <c r="AM101">
        <f ca="1">OFFSET('ASWING AERO'!$F$24,((ROW('ASWING AERO'!$A80)-ROW('ASWING AERO'!$A$24))*16/100),0)</f>
        <v>0.25</v>
      </c>
      <c r="AN101" s="207">
        <f ca="1">OFFSET('ASWING AERO'!$J$24,((ROW('ASWING AERO'!$A80)-ROW('ASWING AERO'!$A$24))*16/100),0)</f>
        <v>4.45</v>
      </c>
      <c r="AO101" s="207">
        <f ca="1">OFFSET('ASWING AERO'!$N$24,((ROW('ASWING AERO'!$A80)-ROW('ASWING AERO'!$A$24))*16/100),0)</f>
        <v>-0.15</v>
      </c>
      <c r="AP101" s="207">
        <f ca="1">OFFSET('ASWING AERO'!$O$24,((ROW('ASWING AERO'!$A80)-ROW('ASWING AERO'!$A$24))*16/100),0)</f>
        <v>1.85</v>
      </c>
      <c r="AQ101" s="207">
        <f ca="1">OFFSET('ASWING AERO'!$P$24,((ROW('ASWING AERO'!$A80)-ROW('ASWING AERO'!$A$24))*16/100),0)</f>
        <v>-1.55</v>
      </c>
      <c r="AR101" s="8">
        <f ca="1">OFFSET('ASWING AERO'!$M$24,((ROW('ASWING AERO'!$A80)-ROW('ASWING AERO'!$A$24))*16/100),0)</f>
        <v>5.9690260418206069</v>
      </c>
    </row>
    <row r="102" spans="1:44" x14ac:dyDescent="0.25">
      <c r="A102">
        <f>Loads!A77</f>
        <v>57</v>
      </c>
      <c r="B102">
        <v>57</v>
      </c>
      <c r="C102">
        <f t="shared" si="10"/>
        <v>0.25362943724999998</v>
      </c>
      <c r="D102">
        <f>Loads!B77</f>
        <v>13.726378391999997</v>
      </c>
      <c r="E102">
        <f t="shared" si="11"/>
        <v>0</v>
      </c>
      <c r="F102">
        <f t="shared" si="12"/>
        <v>0</v>
      </c>
      <c r="G102" s="560">
        <f>Stiffness!AQ101/144</f>
        <v>1085039.298524718</v>
      </c>
      <c r="H102" s="560">
        <f>Stiffness!AV101/144</f>
        <v>1794957.8956367015</v>
      </c>
      <c r="I102">
        <v>0</v>
      </c>
      <c r="J102">
        <v>0</v>
      </c>
      <c r="K102">
        <v>0</v>
      </c>
      <c r="L102" s="560">
        <f>Stiffness!BC101/144</f>
        <v>26997943.65746484</v>
      </c>
      <c r="M102">
        <v>0</v>
      </c>
      <c r="N102">
        <v>0</v>
      </c>
      <c r="O102">
        <v>0</v>
      </c>
      <c r="P102">
        <v>0</v>
      </c>
      <c r="Q102">
        <v>0</v>
      </c>
      <c r="R102">
        <f>'Weight '!BT103*'Weight '!$E$36/Stiffness!D101</f>
        <v>11.505862947128662</v>
      </c>
      <c r="S102">
        <f ca="1">'Weight '!BU103-$AL101*$AM101</f>
        <v>0.83471110257399772</v>
      </c>
      <c r="T102" s="2">
        <v>0</v>
      </c>
      <c r="U102">
        <v>0</v>
      </c>
      <c r="V102">
        <v>0</v>
      </c>
      <c r="W102">
        <v>0</v>
      </c>
      <c r="X102">
        <v>0</v>
      </c>
      <c r="Y102">
        <v>0</v>
      </c>
      <c r="Z102">
        <f ca="1">Stiffness!CV101-AL102*AM102</f>
        <v>0.36315691578622133</v>
      </c>
      <c r="AA102">
        <v>0</v>
      </c>
      <c r="AB102">
        <v>0</v>
      </c>
      <c r="AC102" s="207">
        <v>0</v>
      </c>
      <c r="AD102">
        <f t="shared" si="13"/>
        <v>2E-3</v>
      </c>
      <c r="AE102">
        <f t="shared" si="14"/>
        <v>2E-3</v>
      </c>
      <c r="AF102">
        <f t="shared" ca="1" si="15"/>
        <v>0</v>
      </c>
      <c r="AG102">
        <f t="shared" si="16"/>
        <v>0.36637058258999999</v>
      </c>
      <c r="AH102" s="565">
        <f>Sizing!AD117*(Sizing!CO117+Sizing!CP117) / (12^3)</f>
        <v>4.3234070050927427E-3</v>
      </c>
      <c r="AI102">
        <f t="shared" si="9"/>
        <v>0</v>
      </c>
      <c r="AJ102">
        <f t="shared" si="17"/>
        <v>0</v>
      </c>
      <c r="AK102">
        <f t="shared" si="18"/>
        <v>0</v>
      </c>
      <c r="AL102" s="207">
        <f>Loads!C77</f>
        <v>4.0707842510000001</v>
      </c>
      <c r="AM102">
        <f ca="1">OFFSET('ASWING AERO'!$F$24,((ROW('ASWING AERO'!$A81)-ROW('ASWING AERO'!$A$24))*16/100),0)</f>
        <v>0.25</v>
      </c>
      <c r="AN102" s="207">
        <f ca="1">OFFSET('ASWING AERO'!$J$24,((ROW('ASWING AERO'!$A81)-ROW('ASWING AERO'!$A$24))*16/100),0)</f>
        <v>4.45</v>
      </c>
      <c r="AO102" s="207">
        <f ca="1">OFFSET('ASWING AERO'!$N$24,((ROW('ASWING AERO'!$A81)-ROW('ASWING AERO'!$A$24))*16/100),0)</f>
        <v>-0.15</v>
      </c>
      <c r="AP102" s="207">
        <f ca="1">OFFSET('ASWING AERO'!$O$24,((ROW('ASWING AERO'!$A81)-ROW('ASWING AERO'!$A$24))*16/100),0)</f>
        <v>1.85</v>
      </c>
      <c r="AQ102" s="207">
        <f ca="1">OFFSET('ASWING AERO'!$P$24,((ROW('ASWING AERO'!$A81)-ROW('ASWING AERO'!$A$24))*16/100),0)</f>
        <v>-1.55</v>
      </c>
      <c r="AR102" s="8">
        <f ca="1">OFFSET('ASWING AERO'!$M$24,((ROW('ASWING AERO'!$A81)-ROW('ASWING AERO'!$A$24))*16/100),0)</f>
        <v>5.9690260418206069</v>
      </c>
    </row>
    <row r="103" spans="1:44" x14ac:dyDescent="0.25">
      <c r="A103">
        <f>Loads!A78</f>
        <v>58</v>
      </c>
      <c r="B103">
        <v>58</v>
      </c>
      <c r="C103">
        <f t="shared" si="10"/>
        <v>0.2580790765</v>
      </c>
      <c r="D103">
        <f>Loads!B78</f>
        <v>13.967192047999998</v>
      </c>
      <c r="E103">
        <f t="shared" si="11"/>
        <v>0</v>
      </c>
      <c r="F103">
        <f t="shared" si="12"/>
        <v>0</v>
      </c>
      <c r="G103" s="560">
        <f>Stiffness!AQ102/144</f>
        <v>1067692.9203443525</v>
      </c>
      <c r="H103" s="560">
        <f>Stiffness!AV102/144</f>
        <v>1779296.1378050232</v>
      </c>
      <c r="I103">
        <v>0</v>
      </c>
      <c r="J103">
        <v>0</v>
      </c>
      <c r="K103">
        <v>0</v>
      </c>
      <c r="L103" s="560">
        <f>Stiffness!BC102/144</f>
        <v>26645363.056076534</v>
      </c>
      <c r="M103">
        <v>0</v>
      </c>
      <c r="N103">
        <v>0</v>
      </c>
      <c r="O103">
        <v>0</v>
      </c>
      <c r="P103">
        <v>0</v>
      </c>
      <c r="Q103">
        <v>0</v>
      </c>
      <c r="R103">
        <f>'Weight '!BT104*'Weight '!$E$36/Stiffness!D102</f>
        <v>11.461522676211754</v>
      </c>
      <c r="S103">
        <f ca="1">'Weight '!BU104-$AL102*$AM102</f>
        <v>0.83062337757444205</v>
      </c>
      <c r="T103" s="2">
        <v>0</v>
      </c>
      <c r="U103">
        <v>0</v>
      </c>
      <c r="V103">
        <v>0</v>
      </c>
      <c r="W103">
        <v>0</v>
      </c>
      <c r="X103">
        <v>0</v>
      </c>
      <c r="Y103">
        <v>0</v>
      </c>
      <c r="Z103">
        <f ca="1">Stiffness!CV102-AL103*AM103</f>
        <v>0.36156169764327406</v>
      </c>
      <c r="AA103">
        <v>0</v>
      </c>
      <c r="AB103">
        <v>0</v>
      </c>
      <c r="AC103" s="207">
        <v>0</v>
      </c>
      <c r="AD103">
        <f t="shared" si="13"/>
        <v>2E-3</v>
      </c>
      <c r="AE103">
        <f t="shared" si="14"/>
        <v>2E-3</v>
      </c>
      <c r="AF103">
        <f t="shared" ca="1" si="15"/>
        <v>0</v>
      </c>
      <c r="AG103">
        <f t="shared" si="16"/>
        <v>0.36476871245999998</v>
      </c>
      <c r="AH103" s="565">
        <f>Sizing!AD118*(Sizing!CO118+Sizing!CP118) / (12^3)</f>
        <v>4.2856834720304115E-3</v>
      </c>
      <c r="AI103">
        <f t="shared" si="9"/>
        <v>0</v>
      </c>
      <c r="AJ103">
        <f t="shared" si="17"/>
        <v>0</v>
      </c>
      <c r="AK103">
        <f t="shared" si="18"/>
        <v>0</v>
      </c>
      <c r="AL103" s="207">
        <f>Loads!C78</f>
        <v>4.0529856940000002</v>
      </c>
      <c r="AM103">
        <f ca="1">OFFSET('ASWING AERO'!$F$24,((ROW('ASWING AERO'!$A82)-ROW('ASWING AERO'!$A$24))*16/100),0)</f>
        <v>0.25</v>
      </c>
      <c r="AN103" s="207">
        <f ca="1">OFFSET('ASWING AERO'!$J$24,((ROW('ASWING AERO'!$A82)-ROW('ASWING AERO'!$A$24))*16/100),0)</f>
        <v>4.45</v>
      </c>
      <c r="AO103" s="207">
        <f ca="1">OFFSET('ASWING AERO'!$N$24,((ROW('ASWING AERO'!$A82)-ROW('ASWING AERO'!$A$24))*16/100),0)</f>
        <v>-0.15</v>
      </c>
      <c r="AP103" s="207">
        <f ca="1">OFFSET('ASWING AERO'!$O$24,((ROW('ASWING AERO'!$A82)-ROW('ASWING AERO'!$A$24))*16/100),0)</f>
        <v>1.85</v>
      </c>
      <c r="AQ103" s="207">
        <f ca="1">OFFSET('ASWING AERO'!$P$24,((ROW('ASWING AERO'!$A82)-ROW('ASWING AERO'!$A$24))*16/100),0)</f>
        <v>-1.55</v>
      </c>
      <c r="AR103" s="8">
        <f ca="1">OFFSET('ASWING AERO'!$M$24,((ROW('ASWING AERO'!$A82)-ROW('ASWING AERO'!$A$24))*16/100),0)</f>
        <v>5.9690260418206069</v>
      </c>
    </row>
    <row r="104" spans="1:44" x14ac:dyDescent="0.25">
      <c r="A104">
        <f>Loads!A79</f>
        <v>59</v>
      </c>
      <c r="B104">
        <v>59</v>
      </c>
      <c r="C104">
        <f t="shared" si="10"/>
        <v>0.26252871575000003</v>
      </c>
      <c r="D104">
        <f>Loads!B79</f>
        <v>14.208005703999998</v>
      </c>
      <c r="E104">
        <f t="shared" si="11"/>
        <v>0</v>
      </c>
      <c r="F104">
        <f t="shared" si="12"/>
        <v>0</v>
      </c>
      <c r="G104" s="560">
        <f>Stiffness!AQ103/144</f>
        <v>1050486.3188244179</v>
      </c>
      <c r="H104" s="560">
        <f>Stiffness!AV103/144</f>
        <v>1763703.0073942048</v>
      </c>
      <c r="I104">
        <v>0</v>
      </c>
      <c r="J104">
        <v>0</v>
      </c>
      <c r="K104">
        <v>0</v>
      </c>
      <c r="L104" s="560">
        <f>Stiffness!BC103/144</f>
        <v>26295865.588246822</v>
      </c>
      <c r="M104">
        <v>0</v>
      </c>
      <c r="N104">
        <v>0</v>
      </c>
      <c r="O104">
        <v>0</v>
      </c>
      <c r="P104">
        <v>0</v>
      </c>
      <c r="Q104">
        <v>0</v>
      </c>
      <c r="R104">
        <f>'Weight '!BT105*'Weight '!$E$36/Stiffness!D103</f>
        <v>11.417182405294854</v>
      </c>
      <c r="S104">
        <f ca="1">'Weight '!BU105-$AL103*$AM103</f>
        <v>0.8265360920979532</v>
      </c>
      <c r="T104" s="2">
        <v>0</v>
      </c>
      <c r="U104">
        <v>0</v>
      </c>
      <c r="V104">
        <v>0</v>
      </c>
      <c r="W104">
        <v>0</v>
      </c>
      <c r="X104">
        <v>0</v>
      </c>
      <c r="Y104">
        <v>0</v>
      </c>
      <c r="Z104">
        <f ca="1">Stiffness!CV103-AL104*AM104</f>
        <v>0.35996646804241039</v>
      </c>
      <c r="AA104">
        <v>0</v>
      </c>
      <c r="AB104">
        <v>0</v>
      </c>
      <c r="AC104" s="207">
        <v>0</v>
      </c>
      <c r="AD104">
        <f t="shared" si="13"/>
        <v>2E-3</v>
      </c>
      <c r="AE104">
        <f t="shared" si="14"/>
        <v>2E-3</v>
      </c>
      <c r="AF104">
        <f t="shared" ca="1" si="15"/>
        <v>0</v>
      </c>
      <c r="AG104">
        <f t="shared" si="16"/>
        <v>0.36316684233000002</v>
      </c>
      <c r="AH104" s="565">
        <f>Sizing!AD119*(Sizing!CO119+Sizing!CP119) / (12^3)</f>
        <v>4.2481252377045038E-3</v>
      </c>
      <c r="AI104">
        <f t="shared" si="9"/>
        <v>0</v>
      </c>
      <c r="AJ104">
        <f t="shared" si="17"/>
        <v>0</v>
      </c>
      <c r="AK104">
        <f t="shared" si="18"/>
        <v>0</v>
      </c>
      <c r="AL104" s="207">
        <f>Loads!C79</f>
        <v>4.0351871370000003</v>
      </c>
      <c r="AM104">
        <f ca="1">OFFSET('ASWING AERO'!$F$24,((ROW('ASWING AERO'!$A83)-ROW('ASWING AERO'!$A$24))*16/100),0)</f>
        <v>0.25</v>
      </c>
      <c r="AN104" s="207">
        <f ca="1">OFFSET('ASWING AERO'!$J$24,((ROW('ASWING AERO'!$A83)-ROW('ASWING AERO'!$A$24))*16/100),0)</f>
        <v>4.45</v>
      </c>
      <c r="AO104" s="207">
        <f ca="1">OFFSET('ASWING AERO'!$N$24,((ROW('ASWING AERO'!$A83)-ROW('ASWING AERO'!$A$24))*16/100),0)</f>
        <v>-0.15</v>
      </c>
      <c r="AP104" s="207">
        <f ca="1">OFFSET('ASWING AERO'!$O$24,((ROW('ASWING AERO'!$A83)-ROW('ASWING AERO'!$A$24))*16/100),0)</f>
        <v>1.85</v>
      </c>
      <c r="AQ104" s="207">
        <f ca="1">OFFSET('ASWING AERO'!$P$24,((ROW('ASWING AERO'!$A83)-ROW('ASWING AERO'!$A$24))*16/100),0)</f>
        <v>-1.55</v>
      </c>
      <c r="AR104" s="8">
        <f ca="1">OFFSET('ASWING AERO'!$M$24,((ROW('ASWING AERO'!$A83)-ROW('ASWING AERO'!$A$24))*16/100),0)</f>
        <v>5.9690260418206069</v>
      </c>
    </row>
    <row r="105" spans="1:44" x14ac:dyDescent="0.25">
      <c r="A105">
        <f>Loads!A80</f>
        <v>60</v>
      </c>
      <c r="B105">
        <v>60</v>
      </c>
      <c r="C105">
        <f t="shared" si="10"/>
        <v>0.266978355</v>
      </c>
      <c r="D105">
        <f>Loads!B80</f>
        <v>14.448819359999998</v>
      </c>
      <c r="E105">
        <f t="shared" si="11"/>
        <v>0</v>
      </c>
      <c r="F105">
        <f t="shared" si="12"/>
        <v>0</v>
      </c>
      <c r="G105" s="560">
        <f>Stiffness!AQ104/144</f>
        <v>701278.95789646823</v>
      </c>
      <c r="H105" s="560">
        <f>Stiffness!AV104/144</f>
        <v>1115357.7608958003</v>
      </c>
      <c r="I105">
        <v>0</v>
      </c>
      <c r="J105">
        <v>0</v>
      </c>
      <c r="K105">
        <v>0</v>
      </c>
      <c r="L105" s="560">
        <f>Stiffness!BC104/144</f>
        <v>25949437.714493349</v>
      </c>
      <c r="M105">
        <v>0</v>
      </c>
      <c r="N105">
        <v>0</v>
      </c>
      <c r="O105">
        <v>0</v>
      </c>
      <c r="P105">
        <v>0</v>
      </c>
      <c r="Q105">
        <v>0</v>
      </c>
      <c r="R105">
        <f>'Weight '!BT106*'Weight '!$E$36/Stiffness!D104</f>
        <v>10.870846400878094</v>
      </c>
      <c r="S105">
        <f ca="1">'Weight '!BU106-$AL104*$AM104</f>
        <v>0.85992012225763359</v>
      </c>
      <c r="T105" s="2">
        <v>0</v>
      </c>
      <c r="U105">
        <v>0</v>
      </c>
      <c r="V105">
        <v>0</v>
      </c>
      <c r="W105">
        <v>0</v>
      </c>
      <c r="X105">
        <v>0</v>
      </c>
      <c r="Y105">
        <v>0</v>
      </c>
      <c r="Z105">
        <f ca="1">Stiffness!CV104-AL105*AM105</f>
        <v>0.3583712290209129</v>
      </c>
      <c r="AA105">
        <v>0</v>
      </c>
      <c r="AB105">
        <v>0</v>
      </c>
      <c r="AC105" s="207">
        <v>0</v>
      </c>
      <c r="AD105">
        <f t="shared" si="13"/>
        <v>2E-3</v>
      </c>
      <c r="AE105">
        <f t="shared" si="14"/>
        <v>2E-3</v>
      </c>
      <c r="AF105">
        <f t="shared" ca="1" si="15"/>
        <v>0</v>
      </c>
      <c r="AG105">
        <f t="shared" si="16"/>
        <v>0.3615649722</v>
      </c>
      <c r="AH105" s="565">
        <f>Sizing!AD120*(Sizing!CO120+Sizing!CP120) / (12^3)</f>
        <v>4.2107323021150214E-3</v>
      </c>
      <c r="AI105">
        <f t="shared" si="9"/>
        <v>0</v>
      </c>
      <c r="AJ105">
        <f t="shared" si="17"/>
        <v>0</v>
      </c>
      <c r="AK105">
        <f t="shared" si="18"/>
        <v>0</v>
      </c>
      <c r="AL105" s="207">
        <f>Loads!C80</f>
        <v>4.0173885800000004</v>
      </c>
      <c r="AM105">
        <f ca="1">OFFSET('ASWING AERO'!$F$24,((ROW('ASWING AERO'!$A84)-ROW('ASWING AERO'!$A$24))*16/100),0)</f>
        <v>0.25</v>
      </c>
      <c r="AN105" s="207">
        <f ca="1">OFFSET('ASWING AERO'!$J$24,((ROW('ASWING AERO'!$A84)-ROW('ASWING AERO'!$A$24))*16/100),0)</f>
        <v>4.45</v>
      </c>
      <c r="AO105" s="207">
        <f ca="1">OFFSET('ASWING AERO'!$N$24,((ROW('ASWING AERO'!$A84)-ROW('ASWING AERO'!$A$24))*16/100),0)</f>
        <v>-0.15</v>
      </c>
      <c r="AP105" s="207">
        <f ca="1">OFFSET('ASWING AERO'!$O$24,((ROW('ASWING AERO'!$A84)-ROW('ASWING AERO'!$A$24))*16/100),0)</f>
        <v>1.85</v>
      </c>
      <c r="AQ105" s="207">
        <f ca="1">OFFSET('ASWING AERO'!$P$24,((ROW('ASWING AERO'!$A84)-ROW('ASWING AERO'!$A$24))*16/100),0)</f>
        <v>-1.55</v>
      </c>
      <c r="AR105" s="8">
        <f ca="1">OFFSET('ASWING AERO'!$M$24,((ROW('ASWING AERO'!$A84)-ROW('ASWING AERO'!$A$24))*16/100),0)</f>
        <v>5.9690260418206069</v>
      </c>
    </row>
    <row r="106" spans="1:44" x14ac:dyDescent="0.25">
      <c r="A106">
        <f>Loads!A81</f>
        <v>61</v>
      </c>
      <c r="B106">
        <v>61</v>
      </c>
      <c r="C106">
        <f t="shared" si="10"/>
        <v>0.27142799425000003</v>
      </c>
      <c r="D106">
        <f>Loads!B81</f>
        <v>14.689633015999998</v>
      </c>
      <c r="E106">
        <f t="shared" si="11"/>
        <v>0</v>
      </c>
      <c r="F106">
        <f t="shared" si="12"/>
        <v>0</v>
      </c>
      <c r="G106" s="560">
        <f>Stiffness!AQ105/144</f>
        <v>690245.84162096353</v>
      </c>
      <c r="H106" s="560">
        <f>Stiffness!AV105/144</f>
        <v>1105496.7365644712</v>
      </c>
      <c r="I106">
        <v>0</v>
      </c>
      <c r="J106">
        <v>0</v>
      </c>
      <c r="K106">
        <v>0</v>
      </c>
      <c r="L106" s="560">
        <f>Stiffness!BC105/144</f>
        <v>25606065.895333692</v>
      </c>
      <c r="M106">
        <v>0</v>
      </c>
      <c r="N106">
        <v>0</v>
      </c>
      <c r="O106">
        <v>0</v>
      </c>
      <c r="P106">
        <v>0</v>
      </c>
      <c r="Q106">
        <v>0</v>
      </c>
      <c r="R106">
        <f>'Weight '!BT107*'Weight '!$E$36/Stiffness!D105</f>
        <v>10.826506129961189</v>
      </c>
      <c r="S106">
        <f ca="1">'Weight '!BU107-$AL105*$AM105</f>
        <v>0.8558008948713669</v>
      </c>
      <c r="T106" s="2">
        <v>0</v>
      </c>
      <c r="U106">
        <v>0</v>
      </c>
      <c r="V106">
        <v>0</v>
      </c>
      <c r="W106">
        <v>0</v>
      </c>
      <c r="X106">
        <v>0</v>
      </c>
      <c r="Y106">
        <v>0</v>
      </c>
      <c r="Z106">
        <f ca="1">Stiffness!CV105-AL106*AM106</f>
        <v>0.35677598212925399</v>
      </c>
      <c r="AA106">
        <v>0</v>
      </c>
      <c r="AB106">
        <v>0</v>
      </c>
      <c r="AC106" s="207">
        <v>0</v>
      </c>
      <c r="AD106">
        <f t="shared" si="13"/>
        <v>2E-3</v>
      </c>
      <c r="AE106">
        <f t="shared" si="14"/>
        <v>2E-3</v>
      </c>
      <c r="AF106">
        <f t="shared" ca="1" si="15"/>
        <v>0</v>
      </c>
      <c r="AG106">
        <f t="shared" si="16"/>
        <v>0.35996310207000004</v>
      </c>
      <c r="AH106" s="565">
        <f>Sizing!AD121*(Sizing!CO121+Sizing!CP121) / (12^3)</f>
        <v>4.1735046652619607E-3</v>
      </c>
      <c r="AI106">
        <f t="shared" si="9"/>
        <v>0</v>
      </c>
      <c r="AJ106">
        <f t="shared" si="17"/>
        <v>0</v>
      </c>
      <c r="AK106">
        <f t="shared" si="18"/>
        <v>0</v>
      </c>
      <c r="AL106" s="207">
        <f>Loads!C81</f>
        <v>3.9995900230000005</v>
      </c>
      <c r="AM106">
        <f ca="1">OFFSET('ASWING AERO'!$F$24,((ROW('ASWING AERO'!$A85)-ROW('ASWING AERO'!$A$24))*16/100),0)</f>
        <v>0.25</v>
      </c>
      <c r="AN106" s="207">
        <f ca="1">OFFSET('ASWING AERO'!$J$24,((ROW('ASWING AERO'!$A85)-ROW('ASWING AERO'!$A$24))*16/100),0)</f>
        <v>4.45</v>
      </c>
      <c r="AO106" s="207">
        <f ca="1">OFFSET('ASWING AERO'!$N$24,((ROW('ASWING AERO'!$A85)-ROW('ASWING AERO'!$A$24))*16/100),0)</f>
        <v>-0.15</v>
      </c>
      <c r="AP106" s="207">
        <f ca="1">OFFSET('ASWING AERO'!$O$24,((ROW('ASWING AERO'!$A85)-ROW('ASWING AERO'!$A$24))*16/100),0)</f>
        <v>1.85</v>
      </c>
      <c r="AQ106" s="207">
        <f ca="1">OFFSET('ASWING AERO'!$P$24,((ROW('ASWING AERO'!$A85)-ROW('ASWING AERO'!$A$24))*16/100),0)</f>
        <v>-1.55</v>
      </c>
      <c r="AR106" s="8">
        <f ca="1">OFFSET('ASWING AERO'!$M$24,((ROW('ASWING AERO'!$A85)-ROW('ASWING AERO'!$A$24))*16/100),0)</f>
        <v>5.9690260418206069</v>
      </c>
    </row>
    <row r="107" spans="1:44" x14ac:dyDescent="0.25">
      <c r="A107">
        <f>Loads!A82</f>
        <v>62</v>
      </c>
      <c r="B107">
        <v>62</v>
      </c>
      <c r="C107">
        <f t="shared" si="10"/>
        <v>0.2758776335</v>
      </c>
      <c r="D107">
        <f>Loads!B82</f>
        <v>14.930446671999999</v>
      </c>
      <c r="E107">
        <f t="shared" si="11"/>
        <v>0</v>
      </c>
      <c r="F107">
        <f t="shared" si="12"/>
        <v>0</v>
      </c>
      <c r="G107" s="560">
        <f>Stiffness!AQ106/144</f>
        <v>679300.20604864834</v>
      </c>
      <c r="H107" s="560">
        <f>Stiffness!AV106/144</f>
        <v>1095679.4973078764</v>
      </c>
      <c r="I107">
        <v>0</v>
      </c>
      <c r="J107">
        <v>0</v>
      </c>
      <c r="K107">
        <v>0</v>
      </c>
      <c r="L107" s="560">
        <f>Stiffness!BC106/144</f>
        <v>25265736.591285512</v>
      </c>
      <c r="M107">
        <v>0</v>
      </c>
      <c r="N107">
        <v>0</v>
      </c>
      <c r="O107">
        <v>0</v>
      </c>
      <c r="P107">
        <v>0</v>
      </c>
      <c r="Q107">
        <v>0</v>
      </c>
      <c r="R107">
        <f>'Weight '!BT108*'Weight '!$E$36/Stiffness!D106</f>
        <v>10.782165859044289</v>
      </c>
      <c r="S107">
        <f ca="1">'Weight '!BU108-$AL106*$AM106</f>
        <v>0.85168187379488414</v>
      </c>
      <c r="T107" s="2">
        <v>0</v>
      </c>
      <c r="U107">
        <v>0</v>
      </c>
      <c r="V107">
        <v>0</v>
      </c>
      <c r="W107">
        <v>0</v>
      </c>
      <c r="X107">
        <v>0</v>
      </c>
      <c r="Y107">
        <v>0</v>
      </c>
      <c r="Z107">
        <f ca="1">Stiffness!CV106-AL107*AM107</f>
        <v>0.35518072849899673</v>
      </c>
      <c r="AA107">
        <v>0</v>
      </c>
      <c r="AB107">
        <v>0</v>
      </c>
      <c r="AC107" s="207">
        <v>0</v>
      </c>
      <c r="AD107">
        <f t="shared" si="13"/>
        <v>2E-3</v>
      </c>
      <c r="AE107">
        <f t="shared" si="14"/>
        <v>2E-3</v>
      </c>
      <c r="AF107">
        <f t="shared" ca="1" si="15"/>
        <v>0</v>
      </c>
      <c r="AG107">
        <f t="shared" si="16"/>
        <v>0.35836123194000002</v>
      </c>
      <c r="AH107" s="565">
        <f>Sizing!AD122*(Sizing!CO122+Sizing!CP122) / (12^3)</f>
        <v>4.1364423271453227E-3</v>
      </c>
      <c r="AI107">
        <f t="shared" si="9"/>
        <v>0</v>
      </c>
      <c r="AJ107">
        <f t="shared" si="17"/>
        <v>0</v>
      </c>
      <c r="AK107">
        <f t="shared" si="18"/>
        <v>0</v>
      </c>
      <c r="AL107" s="207">
        <f>Loads!C82</f>
        <v>3.9817914660000007</v>
      </c>
      <c r="AM107">
        <f ca="1">OFFSET('ASWING AERO'!$F$24,((ROW('ASWING AERO'!$A86)-ROW('ASWING AERO'!$A$24))*16/100),0)</f>
        <v>0.25</v>
      </c>
      <c r="AN107" s="207">
        <f ca="1">OFFSET('ASWING AERO'!$J$24,((ROW('ASWING AERO'!$A86)-ROW('ASWING AERO'!$A$24))*16/100),0)</f>
        <v>4.45</v>
      </c>
      <c r="AO107" s="207">
        <f ca="1">OFFSET('ASWING AERO'!$N$24,((ROW('ASWING AERO'!$A86)-ROW('ASWING AERO'!$A$24))*16/100),0)</f>
        <v>-0.15</v>
      </c>
      <c r="AP107" s="207">
        <f ca="1">OFFSET('ASWING AERO'!$O$24,((ROW('ASWING AERO'!$A86)-ROW('ASWING AERO'!$A$24))*16/100),0)</f>
        <v>1.85</v>
      </c>
      <c r="AQ107" s="207">
        <f ca="1">OFFSET('ASWING AERO'!$P$24,((ROW('ASWING AERO'!$A86)-ROW('ASWING AERO'!$A$24))*16/100),0)</f>
        <v>-1.55</v>
      </c>
      <c r="AR107" s="8">
        <f ca="1">OFFSET('ASWING AERO'!$M$24,((ROW('ASWING AERO'!$A86)-ROW('ASWING AERO'!$A$24))*16/100),0)</f>
        <v>5.9690260418206069</v>
      </c>
    </row>
    <row r="108" spans="1:44" x14ac:dyDescent="0.25">
      <c r="A108">
        <f>Loads!A83</f>
        <v>63</v>
      </c>
      <c r="B108">
        <v>63</v>
      </c>
      <c r="C108">
        <f t="shared" si="10"/>
        <v>0.28032727275000002</v>
      </c>
      <c r="D108">
        <f>Loads!B83</f>
        <v>15.171260327999999</v>
      </c>
      <c r="E108">
        <f t="shared" si="11"/>
        <v>0</v>
      </c>
      <c r="F108">
        <f t="shared" si="12"/>
        <v>0</v>
      </c>
      <c r="G108" s="560">
        <f>Stiffness!AQ107/144</f>
        <v>668442.05117952218</v>
      </c>
      <c r="H108" s="560">
        <f>Stiffness!AV107/144</f>
        <v>1085906.0431260159</v>
      </c>
      <c r="I108">
        <v>0</v>
      </c>
      <c r="J108">
        <v>0</v>
      </c>
      <c r="K108">
        <v>0</v>
      </c>
      <c r="L108" s="560">
        <f>Stiffness!BC107/144</f>
        <v>24928436.262866385</v>
      </c>
      <c r="M108">
        <v>0</v>
      </c>
      <c r="N108">
        <v>0</v>
      </c>
      <c r="O108">
        <v>0</v>
      </c>
      <c r="P108">
        <v>0</v>
      </c>
      <c r="Q108">
        <v>0</v>
      </c>
      <c r="R108">
        <f>'Weight '!BT109*'Weight '!$E$36/Stiffness!D107</f>
        <v>10.737825588127384</v>
      </c>
      <c r="S108">
        <f ca="1">'Weight '!BU109-$AL107*$AM107</f>
        <v>0.84756306158396355</v>
      </c>
      <c r="T108" s="2">
        <v>0</v>
      </c>
      <c r="U108">
        <v>0</v>
      </c>
      <c r="V108">
        <v>0</v>
      </c>
      <c r="W108">
        <v>0</v>
      </c>
      <c r="X108">
        <v>0</v>
      </c>
      <c r="Y108">
        <v>0</v>
      </c>
      <c r="Z108">
        <f ca="1">Stiffness!CV107-AL108*AM108</f>
        <v>0.35358546890876597</v>
      </c>
      <c r="AA108">
        <v>0</v>
      </c>
      <c r="AB108">
        <v>0</v>
      </c>
      <c r="AC108" s="207">
        <v>0</v>
      </c>
      <c r="AD108">
        <f t="shared" si="13"/>
        <v>2E-3</v>
      </c>
      <c r="AE108">
        <f t="shared" si="14"/>
        <v>2E-3</v>
      </c>
      <c r="AF108">
        <f t="shared" ca="1" si="15"/>
        <v>0</v>
      </c>
      <c r="AG108">
        <f t="shared" si="16"/>
        <v>0.35675936181000001</v>
      </c>
      <c r="AH108" s="565">
        <f>Sizing!AD123*(Sizing!CO123+Sizing!CP123) / (12^3)</f>
        <v>4.0995452877651091E-3</v>
      </c>
      <c r="AI108">
        <f t="shared" si="9"/>
        <v>0</v>
      </c>
      <c r="AJ108">
        <f t="shared" si="17"/>
        <v>0</v>
      </c>
      <c r="AK108">
        <f t="shared" si="18"/>
        <v>0</v>
      </c>
      <c r="AL108" s="207">
        <f>Loads!C83</f>
        <v>3.9639929090000003</v>
      </c>
      <c r="AM108">
        <f ca="1">OFFSET('ASWING AERO'!$F$24,((ROW('ASWING AERO'!$A87)-ROW('ASWING AERO'!$A$24))*16/100),0)</f>
        <v>0.25</v>
      </c>
      <c r="AN108" s="207">
        <f ca="1">OFFSET('ASWING AERO'!$J$24,((ROW('ASWING AERO'!$A87)-ROW('ASWING AERO'!$A$24))*16/100),0)</f>
        <v>4.45</v>
      </c>
      <c r="AO108" s="207">
        <f ca="1">OFFSET('ASWING AERO'!$N$24,((ROW('ASWING AERO'!$A87)-ROW('ASWING AERO'!$A$24))*16/100),0)</f>
        <v>-0.15</v>
      </c>
      <c r="AP108" s="207">
        <f ca="1">OFFSET('ASWING AERO'!$O$24,((ROW('ASWING AERO'!$A87)-ROW('ASWING AERO'!$A$24))*16/100),0)</f>
        <v>1.85</v>
      </c>
      <c r="AQ108" s="207">
        <f ca="1">OFFSET('ASWING AERO'!$P$24,((ROW('ASWING AERO'!$A87)-ROW('ASWING AERO'!$A$24))*16/100),0)</f>
        <v>-1.55</v>
      </c>
      <c r="AR108" s="8">
        <f ca="1">OFFSET('ASWING AERO'!$M$24,((ROW('ASWING AERO'!$A87)-ROW('ASWING AERO'!$A$24))*16/100),0)</f>
        <v>5.9690260418206069</v>
      </c>
    </row>
    <row r="109" spans="1:44" x14ac:dyDescent="0.25">
      <c r="A109">
        <f>Loads!A84</f>
        <v>64</v>
      </c>
      <c r="B109">
        <v>64</v>
      </c>
      <c r="C109">
        <f t="shared" ref="C109:C140" si="19">B109/$B$145*($B$8-$B$7)</f>
        <v>0.28477691200000005</v>
      </c>
      <c r="D109">
        <f>Loads!B84</f>
        <v>15.412073983999999</v>
      </c>
      <c r="E109">
        <f t="shared" ref="E109:E140" si="20">D109/$D$145*($D$8-$D$7)</f>
        <v>0</v>
      </c>
      <c r="F109">
        <f t="shared" ref="F109:F145" si="21">($E$8-$E$7)*A109/$A$145</f>
        <v>0</v>
      </c>
      <c r="G109" s="560">
        <f>Stiffness!AQ108/144</f>
        <v>657671.37701358576</v>
      </c>
      <c r="H109" s="560">
        <f>Stiffness!AV108/144</f>
        <v>1076176.3740188899</v>
      </c>
      <c r="I109">
        <v>0</v>
      </c>
      <c r="J109">
        <v>0</v>
      </c>
      <c r="K109">
        <v>0</v>
      </c>
      <c r="L109" s="560">
        <f>Stiffness!BC108/144</f>
        <v>24594151.370593973</v>
      </c>
      <c r="M109">
        <v>0</v>
      </c>
      <c r="N109">
        <v>0</v>
      </c>
      <c r="O109">
        <v>0</v>
      </c>
      <c r="P109">
        <v>0</v>
      </c>
      <c r="Q109">
        <v>0</v>
      </c>
      <c r="R109">
        <f>'Weight '!BT110*'Weight '!$E$36/Stiffness!D108</f>
        <v>10.693485317210483</v>
      </c>
      <c r="S109">
        <f ca="1">'Weight '!BU110-$AL108*$AM108</f>
        <v>0.84344446083677072</v>
      </c>
      <c r="T109" s="2">
        <v>0</v>
      </c>
      <c r="U109">
        <v>0</v>
      </c>
      <c r="V109">
        <v>0</v>
      </c>
      <c r="W109">
        <v>0</v>
      </c>
      <c r="X109">
        <v>0</v>
      </c>
      <c r="Y109">
        <v>0</v>
      </c>
      <c r="Z109">
        <f ca="1">Stiffness!CV108-AL109*AM109</f>
        <v>0.35199020384831492</v>
      </c>
      <c r="AA109">
        <v>0</v>
      </c>
      <c r="AB109">
        <v>0</v>
      </c>
      <c r="AC109" s="207">
        <v>0</v>
      </c>
      <c r="AD109">
        <f t="shared" ref="AD109:AD145" si="22">$B$36</f>
        <v>2E-3</v>
      </c>
      <c r="AE109">
        <f t="shared" ref="AE109:AE145" si="23">$B$37</f>
        <v>2E-3</v>
      </c>
      <c r="AF109">
        <f t="shared" ref="AF109:AF145" ca="1" si="24">AL109*$B$12-AL109*AM109</f>
        <v>0</v>
      </c>
      <c r="AG109">
        <f t="shared" ref="AG109:AG145" si="25">AL109*$B$13/2</f>
        <v>0.35515749167999999</v>
      </c>
      <c r="AH109" s="565">
        <f>Sizing!AD124*(Sizing!CO124+Sizing!CP124) / (12^3)</f>
        <v>4.0628135471213181E-3</v>
      </c>
      <c r="AI109">
        <f t="shared" si="9"/>
        <v>0</v>
      </c>
      <c r="AJ109">
        <f t="shared" ref="AJ109:AJ145" si="26">$B$18</f>
        <v>0</v>
      </c>
      <c r="AK109">
        <f t="shared" ref="AK109:AK145" si="27">$B$19</f>
        <v>0</v>
      </c>
      <c r="AL109" s="207">
        <f>Loads!C84</f>
        <v>3.946194352</v>
      </c>
      <c r="AM109">
        <f ca="1">OFFSET('ASWING AERO'!$F$24,((ROW('ASWING AERO'!$A88)-ROW('ASWING AERO'!$A$24))*16/100),0)</f>
        <v>0.25</v>
      </c>
      <c r="AN109" s="207">
        <f ca="1">OFFSET('ASWING AERO'!$J$24,((ROW('ASWING AERO'!$A88)-ROW('ASWING AERO'!$A$24))*16/100),0)</f>
        <v>4.45</v>
      </c>
      <c r="AO109" s="207">
        <f ca="1">OFFSET('ASWING AERO'!$N$24,((ROW('ASWING AERO'!$A88)-ROW('ASWING AERO'!$A$24))*16/100),0)</f>
        <v>-0.15</v>
      </c>
      <c r="AP109" s="207">
        <f ca="1">OFFSET('ASWING AERO'!$O$24,((ROW('ASWING AERO'!$A88)-ROW('ASWING AERO'!$A$24))*16/100),0)</f>
        <v>1.85</v>
      </c>
      <c r="AQ109" s="207">
        <f ca="1">OFFSET('ASWING AERO'!$P$24,((ROW('ASWING AERO'!$A88)-ROW('ASWING AERO'!$A$24))*16/100),0)</f>
        <v>-1.55</v>
      </c>
      <c r="AR109" s="8">
        <f ca="1">OFFSET('ASWING AERO'!$M$24,((ROW('ASWING AERO'!$A88)-ROW('ASWING AERO'!$A$24))*16/100),0)</f>
        <v>5.9690260418206069</v>
      </c>
    </row>
    <row r="110" spans="1:44" x14ac:dyDescent="0.25">
      <c r="A110">
        <f>Loads!A85</f>
        <v>65</v>
      </c>
      <c r="B110">
        <v>65</v>
      </c>
      <c r="C110">
        <f t="shared" si="19"/>
        <v>0.28922655125000002</v>
      </c>
      <c r="D110">
        <f>Loads!B85</f>
        <v>15.652887639999999</v>
      </c>
      <c r="E110">
        <f t="shared" si="20"/>
        <v>0</v>
      </c>
      <c r="F110">
        <f t="shared" si="21"/>
        <v>0</v>
      </c>
      <c r="G110" s="560">
        <f>Stiffness!AQ109/144</f>
        <v>646988.18355083838</v>
      </c>
      <c r="H110" s="560">
        <f>Stiffness!AV109/144</f>
        <v>1066490.4899864995</v>
      </c>
      <c r="I110">
        <v>0</v>
      </c>
      <c r="J110">
        <v>0</v>
      </c>
      <c r="K110">
        <v>0</v>
      </c>
      <c r="L110" s="560">
        <f>Stiffness!BC109/144</f>
        <v>24262868.3749859</v>
      </c>
      <c r="M110">
        <v>0</v>
      </c>
      <c r="N110">
        <v>0</v>
      </c>
      <c r="O110">
        <v>0</v>
      </c>
      <c r="P110">
        <v>0</v>
      </c>
      <c r="Q110">
        <v>0</v>
      </c>
      <c r="R110">
        <f>'Weight '!BT111*'Weight '!$E$36/Stiffness!D109</f>
        <v>10.649145046293578</v>
      </c>
      <c r="S110">
        <f ca="1">'Weight '!BU111-$AL109*$AM109</f>
        <v>0.83932607419474881</v>
      </c>
      <c r="T110" s="2">
        <v>0</v>
      </c>
      <c r="U110">
        <v>0</v>
      </c>
      <c r="V110">
        <v>0</v>
      </c>
      <c r="W110">
        <v>0</v>
      </c>
      <c r="X110">
        <v>0</v>
      </c>
      <c r="Y110">
        <v>0</v>
      </c>
      <c r="Z110">
        <f ca="1">Stiffness!CV109-AL110*AM110</f>
        <v>0.35039493358072082</v>
      </c>
      <c r="AA110">
        <v>0</v>
      </c>
      <c r="AB110">
        <v>0</v>
      </c>
      <c r="AC110" s="207">
        <v>0</v>
      </c>
      <c r="AD110">
        <f t="shared" si="22"/>
        <v>2E-3</v>
      </c>
      <c r="AE110">
        <f t="shared" si="23"/>
        <v>2E-3</v>
      </c>
      <c r="AF110">
        <f t="shared" ca="1" si="24"/>
        <v>0</v>
      </c>
      <c r="AG110">
        <f t="shared" si="25"/>
        <v>0.35355562154999998</v>
      </c>
      <c r="AH110" s="565">
        <f>Sizing!AD125*(Sizing!CO125+Sizing!CP125) / (12^3)</f>
        <v>4.0262471052139506E-3</v>
      </c>
      <c r="AI110">
        <f t="shared" ref="AI110:AI145" si="28">$C$24</f>
        <v>0</v>
      </c>
      <c r="AJ110">
        <f t="shared" si="26"/>
        <v>0</v>
      </c>
      <c r="AK110">
        <f t="shared" si="27"/>
        <v>0</v>
      </c>
      <c r="AL110" s="207">
        <f>Loads!C85</f>
        <v>3.9283957950000001</v>
      </c>
      <c r="AM110">
        <f ca="1">OFFSET('ASWING AERO'!$F$24,((ROW('ASWING AERO'!$A89)-ROW('ASWING AERO'!$A$24))*16/100),0)</f>
        <v>0.25</v>
      </c>
      <c r="AN110" s="207">
        <f ca="1">OFFSET('ASWING AERO'!$J$24,((ROW('ASWING AERO'!$A89)-ROW('ASWING AERO'!$A$24))*16/100),0)</f>
        <v>4.45</v>
      </c>
      <c r="AO110" s="207">
        <f ca="1">OFFSET('ASWING AERO'!$N$24,((ROW('ASWING AERO'!$A89)-ROW('ASWING AERO'!$A$24))*16/100),0)</f>
        <v>-0.15</v>
      </c>
      <c r="AP110" s="207">
        <f ca="1">OFFSET('ASWING AERO'!$O$24,((ROW('ASWING AERO'!$A89)-ROW('ASWING AERO'!$A$24))*16/100),0)</f>
        <v>1.85</v>
      </c>
      <c r="AQ110" s="207">
        <f ca="1">OFFSET('ASWING AERO'!$P$24,((ROW('ASWING AERO'!$A89)-ROW('ASWING AERO'!$A$24))*16/100),0)</f>
        <v>-1.55</v>
      </c>
      <c r="AR110" s="8">
        <f ca="1">OFFSET('ASWING AERO'!$M$24,((ROW('ASWING AERO'!$A89)-ROW('ASWING AERO'!$A$24))*16/100),0)</f>
        <v>5.9690260418206069</v>
      </c>
    </row>
    <row r="111" spans="1:44" x14ac:dyDescent="0.25">
      <c r="A111">
        <f>Loads!A86</f>
        <v>66</v>
      </c>
      <c r="B111">
        <v>66</v>
      </c>
      <c r="C111">
        <f t="shared" si="19"/>
        <v>0.29367619050000004</v>
      </c>
      <c r="D111">
        <f>Loads!B86</f>
        <v>15.893701296</v>
      </c>
      <c r="E111">
        <f t="shared" si="20"/>
        <v>0</v>
      </c>
      <c r="F111">
        <f t="shared" si="21"/>
        <v>0</v>
      </c>
      <c r="G111" s="560">
        <f>Stiffness!AQ110/144</f>
        <v>636392.47079128027</v>
      </c>
      <c r="H111" s="560">
        <f>Stiffness!AV110/144</f>
        <v>1056848.3910288438</v>
      </c>
      <c r="I111">
        <v>0</v>
      </c>
      <c r="J111">
        <v>0</v>
      </c>
      <c r="K111">
        <v>0</v>
      </c>
      <c r="L111" s="560">
        <f>Stiffness!BC110/144</f>
        <v>23934573.736559782</v>
      </c>
      <c r="M111">
        <v>0</v>
      </c>
      <c r="N111">
        <v>0</v>
      </c>
      <c r="O111">
        <v>0</v>
      </c>
      <c r="P111">
        <v>0</v>
      </c>
      <c r="Q111">
        <v>0</v>
      </c>
      <c r="R111">
        <f>'Weight '!BT112*'Weight '!$E$36/Stiffness!D110</f>
        <v>10.604804775376678</v>
      </c>
      <c r="S111">
        <f ca="1">'Weight '!BU112-$AL110*$AM110</f>
        <v>0.83520790434351166</v>
      </c>
      <c r="T111" s="2">
        <v>0</v>
      </c>
      <c r="U111">
        <v>0</v>
      </c>
      <c r="V111">
        <v>0</v>
      </c>
      <c r="W111">
        <v>0</v>
      </c>
      <c r="X111">
        <v>0</v>
      </c>
      <c r="Y111">
        <v>0</v>
      </c>
      <c r="Z111">
        <f ca="1">Stiffness!CV110-AL111*AM111</f>
        <v>0.34879965820273262</v>
      </c>
      <c r="AA111">
        <v>0</v>
      </c>
      <c r="AB111">
        <v>0</v>
      </c>
      <c r="AC111" s="207">
        <v>0</v>
      </c>
      <c r="AD111">
        <f t="shared" si="22"/>
        <v>2E-3</v>
      </c>
      <c r="AE111">
        <f t="shared" si="23"/>
        <v>2E-3</v>
      </c>
      <c r="AF111">
        <f t="shared" ca="1" si="24"/>
        <v>0</v>
      </c>
      <c r="AG111">
        <f t="shared" si="25"/>
        <v>0.35195375142000002</v>
      </c>
      <c r="AH111" s="565">
        <f>Sizing!AD126*(Sizing!CO126+Sizing!CP126) / (12^3)</f>
        <v>3.9898459620430074E-3</v>
      </c>
      <c r="AI111">
        <f t="shared" si="28"/>
        <v>0</v>
      </c>
      <c r="AJ111">
        <f t="shared" si="26"/>
        <v>0</v>
      </c>
      <c r="AK111">
        <f t="shared" si="27"/>
        <v>0</v>
      </c>
      <c r="AL111" s="207">
        <f>Loads!C86</f>
        <v>3.9105972380000003</v>
      </c>
      <c r="AM111">
        <f ca="1">OFFSET('ASWING AERO'!$F$24,((ROW('ASWING AERO'!$A90)-ROW('ASWING AERO'!$A$24))*16/100),0)</f>
        <v>0.25</v>
      </c>
      <c r="AN111" s="207">
        <f ca="1">OFFSET('ASWING AERO'!$J$24,((ROW('ASWING AERO'!$A90)-ROW('ASWING AERO'!$A$24))*16/100),0)</f>
        <v>4.45</v>
      </c>
      <c r="AO111" s="207">
        <f ca="1">OFFSET('ASWING AERO'!$N$24,((ROW('ASWING AERO'!$A90)-ROW('ASWING AERO'!$A$24))*16/100),0)</f>
        <v>-0.15</v>
      </c>
      <c r="AP111" s="207">
        <f ca="1">OFFSET('ASWING AERO'!$O$24,((ROW('ASWING AERO'!$A90)-ROW('ASWING AERO'!$A$24))*16/100),0)</f>
        <v>1.85</v>
      </c>
      <c r="AQ111" s="207">
        <f ca="1">OFFSET('ASWING AERO'!$P$24,((ROW('ASWING AERO'!$A90)-ROW('ASWING AERO'!$A$24))*16/100),0)</f>
        <v>-1.55</v>
      </c>
      <c r="AR111" s="8">
        <f ca="1">OFFSET('ASWING AERO'!$M$24,((ROW('ASWING AERO'!$A90)-ROW('ASWING AERO'!$A$24))*16/100),0)</f>
        <v>5.9690260418206069</v>
      </c>
    </row>
    <row r="112" spans="1:44" x14ac:dyDescent="0.25">
      <c r="A112">
        <f>Loads!A87</f>
        <v>67</v>
      </c>
      <c r="B112">
        <v>67</v>
      </c>
      <c r="C112">
        <f t="shared" si="19"/>
        <v>0.29812582975000007</v>
      </c>
      <c r="D112">
        <f>Loads!B87</f>
        <v>16.134514952</v>
      </c>
      <c r="E112">
        <f t="shared" si="20"/>
        <v>0</v>
      </c>
      <c r="F112">
        <f t="shared" si="21"/>
        <v>0</v>
      </c>
      <c r="G112" s="560">
        <f>Stiffness!AQ111/144</f>
        <v>625884.23873491213</v>
      </c>
      <c r="H112" s="560">
        <f>Stiffness!AV111/144</f>
        <v>1047250.0771459225</v>
      </c>
      <c r="I112">
        <v>0</v>
      </c>
      <c r="J112">
        <v>0</v>
      </c>
      <c r="K112">
        <v>0</v>
      </c>
      <c r="L112" s="560">
        <f>Stiffness!BC111/144</f>
        <v>23609253.915833257</v>
      </c>
      <c r="M112">
        <v>0</v>
      </c>
      <c r="N112">
        <v>0</v>
      </c>
      <c r="O112">
        <v>0</v>
      </c>
      <c r="P112">
        <v>0</v>
      </c>
      <c r="Q112">
        <v>0</v>
      </c>
      <c r="R112">
        <f>'Weight '!BT113*'Weight '!$E$36/Stiffness!D111</f>
        <v>10.560464504459777</v>
      </c>
      <c r="S112">
        <f ca="1">'Weight '!BU113-$AL111*$AM111</f>
        <v>0.83108995401378216</v>
      </c>
      <c r="T112" s="2">
        <v>0</v>
      </c>
      <c r="U112">
        <v>0</v>
      </c>
      <c r="V112">
        <v>0</v>
      </c>
      <c r="W112">
        <v>0</v>
      </c>
      <c r="X112">
        <v>0</v>
      </c>
      <c r="Y112">
        <v>0</v>
      </c>
      <c r="Z112">
        <f ca="1">Stiffness!CV111-AL112*AM112</f>
        <v>0.34720437770330448</v>
      </c>
      <c r="AA112">
        <v>0</v>
      </c>
      <c r="AB112">
        <v>0</v>
      </c>
      <c r="AC112" s="207">
        <v>0</v>
      </c>
      <c r="AD112">
        <f t="shared" si="22"/>
        <v>2E-3</v>
      </c>
      <c r="AE112">
        <f t="shared" si="23"/>
        <v>2E-3</v>
      </c>
      <c r="AF112">
        <f t="shared" ca="1" si="24"/>
        <v>0</v>
      </c>
      <c r="AG112">
        <f t="shared" si="25"/>
        <v>0.35035188129</v>
      </c>
      <c r="AH112" s="565">
        <f>Sizing!AD127*(Sizing!CO127+Sizing!CP127) / (12^3)</f>
        <v>3.9536101176084878E-3</v>
      </c>
      <c r="AI112">
        <f t="shared" si="28"/>
        <v>0</v>
      </c>
      <c r="AJ112">
        <f t="shared" si="26"/>
        <v>0</v>
      </c>
      <c r="AK112">
        <f t="shared" si="27"/>
        <v>0</v>
      </c>
      <c r="AL112" s="207">
        <f>Loads!C87</f>
        <v>3.8927986810000004</v>
      </c>
      <c r="AM112">
        <f ca="1">OFFSET('ASWING AERO'!$F$24,((ROW('ASWING AERO'!$A91)-ROW('ASWING AERO'!$A$24))*16/100),0)</f>
        <v>0.25</v>
      </c>
      <c r="AN112" s="207">
        <f ca="1">OFFSET('ASWING AERO'!$J$24,((ROW('ASWING AERO'!$A91)-ROW('ASWING AERO'!$A$24))*16/100),0)</f>
        <v>4.45</v>
      </c>
      <c r="AO112" s="207">
        <f ca="1">OFFSET('ASWING AERO'!$N$24,((ROW('ASWING AERO'!$A91)-ROW('ASWING AERO'!$A$24))*16/100),0)</f>
        <v>-0.15</v>
      </c>
      <c r="AP112" s="207">
        <f ca="1">OFFSET('ASWING AERO'!$O$24,((ROW('ASWING AERO'!$A91)-ROW('ASWING AERO'!$A$24))*16/100),0)</f>
        <v>1.85</v>
      </c>
      <c r="AQ112" s="207">
        <f ca="1">OFFSET('ASWING AERO'!$P$24,((ROW('ASWING AERO'!$A91)-ROW('ASWING AERO'!$A$24))*16/100),0)</f>
        <v>-1.55</v>
      </c>
      <c r="AR112" s="8">
        <f ca="1">OFFSET('ASWING AERO'!$M$24,((ROW('ASWING AERO'!$A91)-ROW('ASWING AERO'!$A$24))*16/100),0)</f>
        <v>5.9690260418206069</v>
      </c>
    </row>
    <row r="113" spans="1:44" x14ac:dyDescent="0.25">
      <c r="A113">
        <f>Loads!A88</f>
        <v>68</v>
      </c>
      <c r="B113">
        <v>68</v>
      </c>
      <c r="C113">
        <f t="shared" si="19"/>
        <v>0.30257546900000004</v>
      </c>
      <c r="D113">
        <f>Loads!B88</f>
        <v>16.375328608</v>
      </c>
      <c r="E113">
        <f t="shared" si="20"/>
        <v>0</v>
      </c>
      <c r="F113">
        <f t="shared" si="21"/>
        <v>0</v>
      </c>
      <c r="G113" s="560">
        <f>Stiffness!AQ112/144</f>
        <v>615463.48738173326</v>
      </c>
      <c r="H113" s="560">
        <f>Stiffness!AV112/144</f>
        <v>1037695.5483377365</v>
      </c>
      <c r="I113">
        <v>0</v>
      </c>
      <c r="J113">
        <v>0</v>
      </c>
      <c r="K113">
        <v>0</v>
      </c>
      <c r="L113" s="560">
        <f>Stiffness!BC112/144</f>
        <v>23286895.373323902</v>
      </c>
      <c r="M113">
        <v>0</v>
      </c>
      <c r="N113">
        <v>0</v>
      </c>
      <c r="O113">
        <v>0</v>
      </c>
      <c r="P113">
        <v>0</v>
      </c>
      <c r="Q113">
        <v>0</v>
      </c>
      <c r="R113">
        <f>'Weight '!BT114*'Weight '!$E$36/Stiffness!D112</f>
        <v>10.516124233542877</v>
      </c>
      <c r="S113">
        <f ca="1">'Weight '!BU114-$AL112*$AM112</f>
        <v>0.82697222598233688</v>
      </c>
      <c r="T113" s="2">
        <v>0</v>
      </c>
      <c r="U113">
        <v>0</v>
      </c>
      <c r="V113">
        <v>0</v>
      </c>
      <c r="W113">
        <v>0</v>
      </c>
      <c r="X113">
        <v>0</v>
      </c>
      <c r="Y113">
        <v>0</v>
      </c>
      <c r="Z113">
        <f ca="1">Stiffness!CV112-AL113*AM113</f>
        <v>0.34560909202034207</v>
      </c>
      <c r="AA113">
        <v>0</v>
      </c>
      <c r="AB113">
        <v>0</v>
      </c>
      <c r="AC113" s="207">
        <v>0</v>
      </c>
      <c r="AD113">
        <f t="shared" si="22"/>
        <v>2E-3</v>
      </c>
      <c r="AE113">
        <f t="shared" si="23"/>
        <v>2E-3</v>
      </c>
      <c r="AF113">
        <f t="shared" ca="1" si="24"/>
        <v>0</v>
      </c>
      <c r="AG113">
        <f t="shared" si="25"/>
        <v>0.34875001116000004</v>
      </c>
      <c r="AH113" s="565">
        <f>Sizing!AD128*(Sizing!CO128+Sizing!CP128) / (12^3)</f>
        <v>3.9175395719103908E-3</v>
      </c>
      <c r="AI113">
        <f t="shared" si="28"/>
        <v>0</v>
      </c>
      <c r="AJ113">
        <f t="shared" si="26"/>
        <v>0</v>
      </c>
      <c r="AK113">
        <f t="shared" si="27"/>
        <v>0</v>
      </c>
      <c r="AL113" s="207">
        <f>Loads!C88</f>
        <v>3.8750001240000005</v>
      </c>
      <c r="AM113">
        <f ca="1">OFFSET('ASWING AERO'!$F$24,((ROW('ASWING AERO'!$A92)-ROW('ASWING AERO'!$A$24))*16/100),0)</f>
        <v>0.25</v>
      </c>
      <c r="AN113" s="207">
        <f ca="1">OFFSET('ASWING AERO'!$J$24,((ROW('ASWING AERO'!$A92)-ROW('ASWING AERO'!$A$24))*16/100),0)</f>
        <v>4.45</v>
      </c>
      <c r="AO113" s="207">
        <f ca="1">OFFSET('ASWING AERO'!$N$24,((ROW('ASWING AERO'!$A92)-ROW('ASWING AERO'!$A$24))*16/100),0)</f>
        <v>-0.15</v>
      </c>
      <c r="AP113" s="207">
        <f ca="1">OFFSET('ASWING AERO'!$O$24,((ROW('ASWING AERO'!$A92)-ROW('ASWING AERO'!$A$24))*16/100),0)</f>
        <v>1.85</v>
      </c>
      <c r="AQ113" s="207">
        <f ca="1">OFFSET('ASWING AERO'!$P$24,((ROW('ASWING AERO'!$A92)-ROW('ASWING AERO'!$A$24))*16/100),0)</f>
        <v>-1.55</v>
      </c>
      <c r="AR113" s="8">
        <f ca="1">OFFSET('ASWING AERO'!$M$24,((ROW('ASWING AERO'!$A92)-ROW('ASWING AERO'!$A$24))*16/100),0)</f>
        <v>5.9690260418206069</v>
      </c>
    </row>
    <row r="114" spans="1:44" x14ac:dyDescent="0.25">
      <c r="A114">
        <f>Loads!A89</f>
        <v>69</v>
      </c>
      <c r="B114">
        <v>69</v>
      </c>
      <c r="C114">
        <f t="shared" si="19"/>
        <v>0.30702510825000001</v>
      </c>
      <c r="D114">
        <f>Loads!B89</f>
        <v>16.616142263999997</v>
      </c>
      <c r="E114">
        <f t="shared" si="20"/>
        <v>0</v>
      </c>
      <c r="F114">
        <f t="shared" si="21"/>
        <v>0</v>
      </c>
      <c r="G114" s="560">
        <f>Stiffness!AQ113/144</f>
        <v>605130.21673174319</v>
      </c>
      <c r="H114" s="560">
        <f>Stiffness!AV113/144</f>
        <v>1028184.8046042847</v>
      </c>
      <c r="I114">
        <v>0</v>
      </c>
      <c r="J114">
        <v>0</v>
      </c>
      <c r="K114">
        <v>0</v>
      </c>
      <c r="L114" s="560">
        <f>Stiffness!BC113/144</f>
        <v>22967484.569549363</v>
      </c>
      <c r="M114">
        <v>0</v>
      </c>
      <c r="N114">
        <v>0</v>
      </c>
      <c r="O114">
        <v>0</v>
      </c>
      <c r="P114">
        <v>0</v>
      </c>
      <c r="Q114">
        <v>0</v>
      </c>
      <c r="R114">
        <f>'Weight '!BT115*'Weight '!$E$36/Stiffness!D113</f>
        <v>10.471783962625974</v>
      </c>
      <c r="S114">
        <f ca="1">'Weight '!BU115-$AL113*$AM113</f>
        <v>0.82285472307298368</v>
      </c>
      <c r="T114" s="2">
        <v>0</v>
      </c>
      <c r="U114">
        <v>0</v>
      </c>
      <c r="V114">
        <v>0</v>
      </c>
      <c r="W114">
        <v>0</v>
      </c>
      <c r="X114">
        <v>0</v>
      </c>
      <c r="Y114">
        <v>0</v>
      </c>
      <c r="Z114">
        <f ca="1">Stiffness!CV113-AL114*AM114</f>
        <v>0.34401380109569035</v>
      </c>
      <c r="AA114">
        <v>0</v>
      </c>
      <c r="AB114">
        <v>0</v>
      </c>
      <c r="AC114" s="207">
        <v>0</v>
      </c>
      <c r="AD114">
        <f t="shared" si="22"/>
        <v>2E-3</v>
      </c>
      <c r="AE114">
        <f t="shared" si="23"/>
        <v>2E-3</v>
      </c>
      <c r="AF114">
        <f t="shared" ca="1" si="24"/>
        <v>0</v>
      </c>
      <c r="AG114">
        <f t="shared" si="25"/>
        <v>0.34714814103000002</v>
      </c>
      <c r="AH114" s="565">
        <f>Sizing!AD129*(Sizing!CO129+Sizing!CP129) / (12^3)</f>
        <v>3.8816343249487178E-3</v>
      </c>
      <c r="AI114">
        <f t="shared" si="28"/>
        <v>0</v>
      </c>
      <c r="AJ114">
        <f t="shared" si="26"/>
        <v>0</v>
      </c>
      <c r="AK114">
        <f t="shared" si="27"/>
        <v>0</v>
      </c>
      <c r="AL114" s="207">
        <f>Loads!C89</f>
        <v>3.8572015670000006</v>
      </c>
      <c r="AM114">
        <f ca="1">OFFSET('ASWING AERO'!$F$24,((ROW('ASWING AERO'!$A93)-ROW('ASWING AERO'!$A$24))*16/100),0)</f>
        <v>0.25</v>
      </c>
      <c r="AN114" s="207">
        <f ca="1">OFFSET('ASWING AERO'!$J$24,((ROW('ASWING AERO'!$A93)-ROW('ASWING AERO'!$A$24))*16/100),0)</f>
        <v>4.4000000000000004</v>
      </c>
      <c r="AO114" s="207">
        <f ca="1">OFFSET('ASWING AERO'!$N$24,((ROW('ASWING AERO'!$A93)-ROW('ASWING AERO'!$A$24))*16/100),0)</f>
        <v>-0.15</v>
      </c>
      <c r="AP114" s="207">
        <f ca="1">OFFSET('ASWING AERO'!$O$24,((ROW('ASWING AERO'!$A93)-ROW('ASWING AERO'!$A$24))*16/100),0)</f>
        <v>1.85</v>
      </c>
      <c r="AQ114" s="207">
        <f ca="1">OFFSET('ASWING AERO'!$P$24,((ROW('ASWING AERO'!$A93)-ROW('ASWING AERO'!$A$24))*16/100),0)</f>
        <v>-1.55</v>
      </c>
      <c r="AR114" s="8">
        <f ca="1">OFFSET('ASWING AERO'!$M$24,((ROW('ASWING AERO'!$A93)-ROW('ASWING AERO'!$A$24))*16/100),0)</f>
        <v>5.9690260418206069</v>
      </c>
    </row>
    <row r="115" spans="1:44" x14ac:dyDescent="0.25">
      <c r="A115">
        <f>Loads!A90</f>
        <v>70</v>
      </c>
      <c r="B115">
        <v>70</v>
      </c>
      <c r="C115">
        <f t="shared" si="19"/>
        <v>0.31147474749999998</v>
      </c>
      <c r="D115">
        <f>Loads!B90</f>
        <v>16.856955919999997</v>
      </c>
      <c r="E115">
        <f t="shared" si="20"/>
        <v>0</v>
      </c>
      <c r="F115">
        <f t="shared" si="21"/>
        <v>0</v>
      </c>
      <c r="G115" s="560">
        <f>Stiffness!AQ114/144</f>
        <v>353205.72209822806</v>
      </c>
      <c r="H115" s="560">
        <f>Stiffness!AV114/144</f>
        <v>567915.41718012013</v>
      </c>
      <c r="I115">
        <v>0</v>
      </c>
      <c r="J115">
        <v>0</v>
      </c>
      <c r="K115">
        <v>0</v>
      </c>
      <c r="L115" s="560">
        <f>Stiffness!BC114/144</f>
        <v>22651007.965027247</v>
      </c>
      <c r="M115">
        <v>0</v>
      </c>
      <c r="N115">
        <v>0</v>
      </c>
      <c r="O115">
        <v>0</v>
      </c>
      <c r="P115">
        <v>0</v>
      </c>
      <c r="Q115">
        <v>0</v>
      </c>
      <c r="R115">
        <f>'Weight '!BT116*'Weight '!$E$36/Stiffness!D114</f>
        <v>10.046274647590483</v>
      </c>
      <c r="S115">
        <f ca="1">'Weight '!BU116-$AL114*$AM114</f>
        <v>0.84939427487459396</v>
      </c>
      <c r="T115" s="2">
        <v>0</v>
      </c>
      <c r="U115">
        <v>0</v>
      </c>
      <c r="V115">
        <v>0</v>
      </c>
      <c r="W115">
        <v>0</v>
      </c>
      <c r="X115">
        <v>0</v>
      </c>
      <c r="Y115">
        <v>0</v>
      </c>
      <c r="Z115">
        <f ca="1">Stiffness!CV114-AL115*AM115</f>
        <v>0.3424185049283931</v>
      </c>
      <c r="AA115">
        <v>0</v>
      </c>
      <c r="AB115">
        <v>0</v>
      </c>
      <c r="AC115" s="207">
        <v>0</v>
      </c>
      <c r="AD115">
        <f t="shared" si="22"/>
        <v>2E-3</v>
      </c>
      <c r="AE115">
        <f t="shared" si="23"/>
        <v>2E-3</v>
      </c>
      <c r="AF115">
        <f t="shared" ca="1" si="24"/>
        <v>0</v>
      </c>
      <c r="AG115">
        <f t="shared" si="25"/>
        <v>0.34554627090000001</v>
      </c>
      <c r="AH115" s="565">
        <f>Sizing!AD130*(Sizing!CO130+Sizing!CP130) / (12^3)</f>
        <v>3.8458943767234661E-3</v>
      </c>
      <c r="AI115">
        <f t="shared" si="28"/>
        <v>0</v>
      </c>
      <c r="AJ115">
        <f t="shared" si="26"/>
        <v>0</v>
      </c>
      <c r="AK115">
        <f t="shared" si="27"/>
        <v>0</v>
      </c>
      <c r="AL115" s="207">
        <f>Loads!C90</f>
        <v>3.8394030100000003</v>
      </c>
      <c r="AM115">
        <f ca="1">OFFSET('ASWING AERO'!$F$24,((ROW('ASWING AERO'!$A94)-ROW('ASWING AERO'!$A$24))*16/100),0)</f>
        <v>0.25</v>
      </c>
      <c r="AN115" s="207">
        <f ca="1">OFFSET('ASWING AERO'!$J$24,((ROW('ASWING AERO'!$A94)-ROW('ASWING AERO'!$A$24))*16/100),0)</f>
        <v>4.4000000000000004</v>
      </c>
      <c r="AO115" s="207">
        <f ca="1">OFFSET('ASWING AERO'!$N$24,((ROW('ASWING AERO'!$A94)-ROW('ASWING AERO'!$A$24))*16/100),0)</f>
        <v>-0.15</v>
      </c>
      <c r="AP115" s="207">
        <f ca="1">OFFSET('ASWING AERO'!$O$24,((ROW('ASWING AERO'!$A94)-ROW('ASWING AERO'!$A$24))*16/100),0)</f>
        <v>1.85</v>
      </c>
      <c r="AQ115" s="207">
        <f ca="1">OFFSET('ASWING AERO'!$P$24,((ROW('ASWING AERO'!$A94)-ROW('ASWING AERO'!$A$24))*16/100),0)</f>
        <v>-1.55</v>
      </c>
      <c r="AR115" s="8">
        <f ca="1">OFFSET('ASWING AERO'!$M$24,((ROW('ASWING AERO'!$A94)-ROW('ASWING AERO'!$A$24))*16/100),0)</f>
        <v>5.9690260418206069</v>
      </c>
    </row>
    <row r="116" spans="1:44" x14ac:dyDescent="0.25">
      <c r="A116">
        <f>Loads!A91</f>
        <v>71</v>
      </c>
      <c r="B116">
        <v>71</v>
      </c>
      <c r="C116">
        <f t="shared" si="19"/>
        <v>0.31592438675000001</v>
      </c>
      <c r="D116">
        <f>Loads!B91</f>
        <v>17.097769575999997</v>
      </c>
      <c r="E116">
        <f t="shared" si="20"/>
        <v>0</v>
      </c>
      <c r="F116">
        <f t="shared" si="21"/>
        <v>0</v>
      </c>
      <c r="G116" s="560">
        <f>Stiffness!AQ115/144</f>
        <v>347419.38389203919</v>
      </c>
      <c r="H116" s="560">
        <f>Stiffness!AV115/144</f>
        <v>562662.18089059507</v>
      </c>
      <c r="I116">
        <v>0</v>
      </c>
      <c r="J116">
        <v>0</v>
      </c>
      <c r="K116">
        <v>0</v>
      </c>
      <c r="L116" s="560">
        <f>Stiffness!BC115/144</f>
        <v>22337452.020275202</v>
      </c>
      <c r="M116">
        <v>0</v>
      </c>
      <c r="N116">
        <v>0</v>
      </c>
      <c r="O116">
        <v>0</v>
      </c>
      <c r="P116">
        <v>0</v>
      </c>
      <c r="Q116">
        <v>0</v>
      </c>
      <c r="R116">
        <f>'Weight '!BT117*'Weight '!$E$36/Stiffness!D115</f>
        <v>10.001934376673582</v>
      </c>
      <c r="S116">
        <f ca="1">'Weight '!BU117-$AL115*$AM115</f>
        <v>0.84525892114266654</v>
      </c>
      <c r="T116" s="2">
        <v>0</v>
      </c>
      <c r="U116">
        <v>0</v>
      </c>
      <c r="V116">
        <v>0</v>
      </c>
      <c r="W116">
        <v>0</v>
      </c>
      <c r="X116">
        <v>0</v>
      </c>
      <c r="Y116">
        <v>0</v>
      </c>
      <c r="Z116">
        <f ca="1">Stiffness!CV115-AL116*AM116</f>
        <v>0.34082320362625318</v>
      </c>
      <c r="AA116">
        <v>0</v>
      </c>
      <c r="AB116">
        <v>0</v>
      </c>
      <c r="AC116" s="207">
        <v>0</v>
      </c>
      <c r="AD116">
        <f t="shared" si="22"/>
        <v>2E-3</v>
      </c>
      <c r="AE116">
        <f t="shared" si="23"/>
        <v>2E-3</v>
      </c>
      <c r="AF116">
        <f t="shared" ca="1" si="24"/>
        <v>0</v>
      </c>
      <c r="AG116">
        <f t="shared" si="25"/>
        <v>0.34394440077000005</v>
      </c>
      <c r="AH116" s="565">
        <f>Sizing!AD131*(Sizing!CO131+Sizing!CP131) / (12^3)</f>
        <v>3.8103197272346379E-3</v>
      </c>
      <c r="AI116">
        <f t="shared" si="28"/>
        <v>0</v>
      </c>
      <c r="AJ116">
        <f t="shared" si="26"/>
        <v>0</v>
      </c>
      <c r="AK116">
        <f t="shared" si="27"/>
        <v>0</v>
      </c>
      <c r="AL116" s="207">
        <f>Loads!C91</f>
        <v>3.8216044530000004</v>
      </c>
      <c r="AM116">
        <f ca="1">OFFSET('ASWING AERO'!$F$24,((ROW('ASWING AERO'!$A95)-ROW('ASWING AERO'!$A$24))*16/100),0)</f>
        <v>0.25</v>
      </c>
      <c r="AN116" s="207">
        <f ca="1">OFFSET('ASWING AERO'!$J$24,((ROW('ASWING AERO'!$A95)-ROW('ASWING AERO'!$A$24))*16/100),0)</f>
        <v>4.4000000000000004</v>
      </c>
      <c r="AO116" s="207">
        <f ca="1">OFFSET('ASWING AERO'!$N$24,((ROW('ASWING AERO'!$A95)-ROW('ASWING AERO'!$A$24))*16/100),0)</f>
        <v>-0.15</v>
      </c>
      <c r="AP116" s="207">
        <f ca="1">OFFSET('ASWING AERO'!$O$24,((ROW('ASWING AERO'!$A95)-ROW('ASWING AERO'!$A$24))*16/100),0)</f>
        <v>1.85</v>
      </c>
      <c r="AQ116" s="207">
        <f ca="1">OFFSET('ASWING AERO'!$P$24,((ROW('ASWING AERO'!$A95)-ROW('ASWING AERO'!$A$24))*16/100),0)</f>
        <v>-1.55</v>
      </c>
      <c r="AR116" s="8">
        <f ca="1">OFFSET('ASWING AERO'!$M$24,((ROW('ASWING AERO'!$A95)-ROW('ASWING AERO'!$A$24))*16/100),0)</f>
        <v>5.9690260418206069</v>
      </c>
    </row>
    <row r="117" spans="1:44" x14ac:dyDescent="0.25">
      <c r="A117">
        <f>Loads!A92</f>
        <v>72</v>
      </c>
      <c r="B117">
        <v>72</v>
      </c>
      <c r="C117">
        <f t="shared" si="19"/>
        <v>0.32037402600000003</v>
      </c>
      <c r="D117">
        <f>Loads!B92</f>
        <v>17.338583231999998</v>
      </c>
      <c r="E117">
        <f t="shared" si="20"/>
        <v>0</v>
      </c>
      <c r="F117">
        <f t="shared" si="21"/>
        <v>0</v>
      </c>
      <c r="G117" s="560">
        <f>Stiffness!AQ116/144</f>
        <v>341680.83483942313</v>
      </c>
      <c r="H117" s="560">
        <f>Stiffness!AV116/144</f>
        <v>557433.35392999591</v>
      </c>
      <c r="I117">
        <v>0</v>
      </c>
      <c r="J117">
        <v>0</v>
      </c>
      <c r="K117">
        <v>0</v>
      </c>
      <c r="L117" s="560">
        <f>Stiffness!BC116/144</f>
        <v>22026803.195810869</v>
      </c>
      <c r="M117">
        <v>0</v>
      </c>
      <c r="N117">
        <v>0</v>
      </c>
      <c r="O117">
        <v>0</v>
      </c>
      <c r="P117">
        <v>0</v>
      </c>
      <c r="Q117">
        <v>0</v>
      </c>
      <c r="R117">
        <f>'Weight '!BT118*'Weight '!$E$36/Stiffness!D116</f>
        <v>9.9575941057566784</v>
      </c>
      <c r="S117">
        <f ca="1">'Weight '!BU118-$AL116*$AM116</f>
        <v>0.84112364718635757</v>
      </c>
      <c r="T117" s="2">
        <v>0</v>
      </c>
      <c r="U117">
        <v>0</v>
      </c>
      <c r="V117">
        <v>0</v>
      </c>
      <c r="W117">
        <v>0</v>
      </c>
      <c r="X117">
        <v>0</v>
      </c>
      <c r="Y117">
        <v>0</v>
      </c>
      <c r="Z117">
        <f ca="1">Stiffness!CV116-AL117*AM117</f>
        <v>0.33922789745572279</v>
      </c>
      <c r="AA117">
        <v>0</v>
      </c>
      <c r="AB117">
        <v>0</v>
      </c>
      <c r="AC117" s="207">
        <v>0</v>
      </c>
      <c r="AD117">
        <f t="shared" si="22"/>
        <v>2E-3</v>
      </c>
      <c r="AE117">
        <f t="shared" si="23"/>
        <v>2E-3</v>
      </c>
      <c r="AF117">
        <f t="shared" ca="1" si="24"/>
        <v>0</v>
      </c>
      <c r="AG117">
        <f t="shared" si="25"/>
        <v>0.34234253063999998</v>
      </c>
      <c r="AH117" s="565">
        <f>Sizing!AD132*(Sizing!CO132+Sizing!CP132) / (12^3)</f>
        <v>3.7749103764822345E-3</v>
      </c>
      <c r="AI117">
        <f t="shared" si="28"/>
        <v>0</v>
      </c>
      <c r="AJ117">
        <f t="shared" si="26"/>
        <v>0</v>
      </c>
      <c r="AK117">
        <f t="shared" si="27"/>
        <v>0</v>
      </c>
      <c r="AL117" s="207">
        <f>Loads!C92</f>
        <v>3.8038058960000001</v>
      </c>
      <c r="AM117">
        <f ca="1">OFFSET('ASWING AERO'!$F$24,((ROW('ASWING AERO'!$A96)-ROW('ASWING AERO'!$A$24))*16/100),0)</f>
        <v>0.25</v>
      </c>
      <c r="AN117" s="207">
        <f ca="1">OFFSET('ASWING AERO'!$J$24,((ROW('ASWING AERO'!$A96)-ROW('ASWING AERO'!$A$24))*16/100),0)</f>
        <v>4.4000000000000004</v>
      </c>
      <c r="AO117" s="207">
        <f ca="1">OFFSET('ASWING AERO'!$N$24,((ROW('ASWING AERO'!$A96)-ROW('ASWING AERO'!$A$24))*16/100),0)</f>
        <v>-0.15</v>
      </c>
      <c r="AP117" s="207">
        <f ca="1">OFFSET('ASWING AERO'!$O$24,((ROW('ASWING AERO'!$A96)-ROW('ASWING AERO'!$A$24))*16/100),0)</f>
        <v>1.85</v>
      </c>
      <c r="AQ117" s="207">
        <f ca="1">OFFSET('ASWING AERO'!$P$24,((ROW('ASWING AERO'!$A96)-ROW('ASWING AERO'!$A$24))*16/100),0)</f>
        <v>-1.55</v>
      </c>
      <c r="AR117" s="8">
        <f ca="1">OFFSET('ASWING AERO'!$M$24,((ROW('ASWING AERO'!$A96)-ROW('ASWING AERO'!$A$24))*16/100),0)</f>
        <v>5.9690260418206069</v>
      </c>
    </row>
    <row r="118" spans="1:44" x14ac:dyDescent="0.25">
      <c r="A118">
        <f>Loads!A93</f>
        <v>73</v>
      </c>
      <c r="B118">
        <v>73</v>
      </c>
      <c r="C118">
        <f t="shared" si="19"/>
        <v>0.32482366525</v>
      </c>
      <c r="D118">
        <f>Loads!B93</f>
        <v>17.579396887999998</v>
      </c>
      <c r="E118">
        <f t="shared" si="20"/>
        <v>0</v>
      </c>
      <c r="F118">
        <f t="shared" si="21"/>
        <v>0</v>
      </c>
      <c r="G118" s="560">
        <f>Stiffness!AQ117/144</f>
        <v>335990.07494038</v>
      </c>
      <c r="H118" s="560">
        <f>Stiffness!AV117/144</f>
        <v>552228.93629832251</v>
      </c>
      <c r="I118">
        <v>0</v>
      </c>
      <c r="J118">
        <v>0</v>
      </c>
      <c r="K118">
        <v>0</v>
      </c>
      <c r="L118" s="560">
        <f>Stiffness!BC117/144</f>
        <v>21719047.952151809</v>
      </c>
      <c r="M118">
        <v>0</v>
      </c>
      <c r="N118">
        <v>0</v>
      </c>
      <c r="O118">
        <v>0</v>
      </c>
      <c r="P118">
        <v>0</v>
      </c>
      <c r="Q118">
        <v>0</v>
      </c>
      <c r="R118">
        <f>'Weight '!BT119*'Weight '!$E$36/Stiffness!D117</f>
        <v>9.9132538348397752</v>
      </c>
      <c r="S118">
        <f ca="1">'Weight '!BU119-$AL117*$AM117</f>
        <v>0.83698845407613631</v>
      </c>
      <c r="T118" s="2">
        <v>0</v>
      </c>
      <c r="U118">
        <v>0</v>
      </c>
      <c r="V118">
        <v>0</v>
      </c>
      <c r="W118">
        <v>0</v>
      </c>
      <c r="X118">
        <v>0</v>
      </c>
      <c r="Y118">
        <v>0</v>
      </c>
      <c r="Z118">
        <f ca="1">Stiffness!CV117-AL118*AM118</f>
        <v>0.33763258689015241</v>
      </c>
      <c r="AA118">
        <v>0</v>
      </c>
      <c r="AB118">
        <v>0</v>
      </c>
      <c r="AC118" s="207">
        <v>0</v>
      </c>
      <c r="AD118">
        <f t="shared" si="22"/>
        <v>2E-3</v>
      </c>
      <c r="AE118">
        <f t="shared" si="23"/>
        <v>2E-3</v>
      </c>
      <c r="AF118">
        <f t="shared" ca="1" si="24"/>
        <v>0</v>
      </c>
      <c r="AG118">
        <f t="shared" si="25"/>
        <v>0.34074066051000002</v>
      </c>
      <c r="AH118" s="565">
        <f>Sizing!AD133*(Sizing!CO133+Sizing!CP133) / (12^3)</f>
        <v>3.7396663244662533E-3</v>
      </c>
      <c r="AI118">
        <f t="shared" si="28"/>
        <v>0</v>
      </c>
      <c r="AJ118">
        <f t="shared" si="26"/>
        <v>0</v>
      </c>
      <c r="AK118">
        <f t="shared" si="27"/>
        <v>0</v>
      </c>
      <c r="AL118" s="207">
        <f>Loads!C93</f>
        <v>3.7860073390000002</v>
      </c>
      <c r="AM118">
        <f ca="1">OFFSET('ASWING AERO'!$F$24,((ROW('ASWING AERO'!$A97)-ROW('ASWING AERO'!$A$24))*16/100),0)</f>
        <v>0.25</v>
      </c>
      <c r="AN118" s="207">
        <f ca="1">OFFSET('ASWING AERO'!$J$24,((ROW('ASWING AERO'!$A97)-ROW('ASWING AERO'!$A$24))*16/100),0)</f>
        <v>4.4000000000000004</v>
      </c>
      <c r="AO118" s="207">
        <f ca="1">OFFSET('ASWING AERO'!$N$24,((ROW('ASWING AERO'!$A97)-ROW('ASWING AERO'!$A$24))*16/100),0)</f>
        <v>-0.15</v>
      </c>
      <c r="AP118" s="207">
        <f ca="1">OFFSET('ASWING AERO'!$O$24,((ROW('ASWING AERO'!$A97)-ROW('ASWING AERO'!$A$24))*16/100),0)</f>
        <v>1.85</v>
      </c>
      <c r="AQ118" s="207">
        <f ca="1">OFFSET('ASWING AERO'!$P$24,((ROW('ASWING AERO'!$A97)-ROW('ASWING AERO'!$A$24))*16/100),0)</f>
        <v>-1.55</v>
      </c>
      <c r="AR118" s="8">
        <f ca="1">OFFSET('ASWING AERO'!$M$24,((ROW('ASWING AERO'!$A97)-ROW('ASWING AERO'!$A$24))*16/100),0)</f>
        <v>5.9690260418206069</v>
      </c>
    </row>
    <row r="119" spans="1:44" x14ac:dyDescent="0.25">
      <c r="A119">
        <f>Loads!A94</f>
        <v>74</v>
      </c>
      <c r="B119">
        <v>74</v>
      </c>
      <c r="C119">
        <f t="shared" si="19"/>
        <v>0.32927330450000003</v>
      </c>
      <c r="D119">
        <f>Loads!B94</f>
        <v>17.820210543999998</v>
      </c>
      <c r="E119">
        <f t="shared" si="20"/>
        <v>0</v>
      </c>
      <c r="F119">
        <f t="shared" si="21"/>
        <v>0</v>
      </c>
      <c r="G119" s="560">
        <f>Stiffness!AQ118/144</f>
        <v>330347.10419490974</v>
      </c>
      <c r="H119" s="560">
        <f>Stiffness!AV118/144</f>
        <v>547048.92799557478</v>
      </c>
      <c r="I119">
        <v>0</v>
      </c>
      <c r="J119">
        <v>0</v>
      </c>
      <c r="K119">
        <v>0</v>
      </c>
      <c r="L119" s="560">
        <f>Stiffness!BC118/144</f>
        <v>21414172.749815706</v>
      </c>
      <c r="M119">
        <v>0</v>
      </c>
      <c r="N119">
        <v>0</v>
      </c>
      <c r="O119">
        <v>0</v>
      </c>
      <c r="P119">
        <v>0</v>
      </c>
      <c r="Q119">
        <v>0</v>
      </c>
      <c r="R119">
        <f>'Weight '!BT120*'Weight '!$E$36/Stiffness!D118</f>
        <v>9.8689135639228756</v>
      </c>
      <c r="S119">
        <f ca="1">'Weight '!BU120-$AL118*$AM118</f>
        <v>0.8328533429017082</v>
      </c>
      <c r="T119" s="2">
        <v>0</v>
      </c>
      <c r="U119">
        <v>0</v>
      </c>
      <c r="V119">
        <v>0</v>
      </c>
      <c r="W119">
        <v>0</v>
      </c>
      <c r="X119">
        <v>0</v>
      </c>
      <c r="Y119">
        <v>0</v>
      </c>
      <c r="Z119">
        <f ca="1">Stiffness!CV118-AL119*AM119</f>
        <v>0.33603727265642958</v>
      </c>
      <c r="AA119">
        <v>0</v>
      </c>
      <c r="AB119">
        <v>0</v>
      </c>
      <c r="AC119" s="207">
        <v>0</v>
      </c>
      <c r="AD119">
        <f t="shared" si="22"/>
        <v>2E-3</v>
      </c>
      <c r="AE119">
        <f t="shared" si="23"/>
        <v>2E-3</v>
      </c>
      <c r="AF119">
        <f t="shared" ca="1" si="24"/>
        <v>0</v>
      </c>
      <c r="AG119">
        <f t="shared" si="25"/>
        <v>0.33913879038</v>
      </c>
      <c r="AH119" s="565">
        <f>Sizing!AD134*(Sizing!CO134+Sizing!CP134) / (12^3)</f>
        <v>3.704587571186697E-3</v>
      </c>
      <c r="AI119">
        <f t="shared" si="28"/>
        <v>0</v>
      </c>
      <c r="AJ119">
        <f t="shared" si="26"/>
        <v>0</v>
      </c>
      <c r="AK119">
        <f t="shared" si="27"/>
        <v>0</v>
      </c>
      <c r="AL119" s="207">
        <f>Loads!C94</f>
        <v>3.7682087820000003</v>
      </c>
      <c r="AM119">
        <f ca="1">OFFSET('ASWING AERO'!$F$24,((ROW('ASWING AERO'!$A98)-ROW('ASWING AERO'!$A$24))*16/100),0)</f>
        <v>0.25</v>
      </c>
      <c r="AN119" s="207">
        <f ca="1">OFFSET('ASWING AERO'!$J$24,((ROW('ASWING AERO'!$A98)-ROW('ASWING AERO'!$A$24))*16/100),0)</f>
        <v>4.4000000000000004</v>
      </c>
      <c r="AO119" s="207">
        <f ca="1">OFFSET('ASWING AERO'!$N$24,((ROW('ASWING AERO'!$A98)-ROW('ASWING AERO'!$A$24))*16/100),0)</f>
        <v>-0.15</v>
      </c>
      <c r="AP119" s="207">
        <f ca="1">OFFSET('ASWING AERO'!$O$24,((ROW('ASWING AERO'!$A98)-ROW('ASWING AERO'!$A$24))*16/100),0)</f>
        <v>1.85</v>
      </c>
      <c r="AQ119" s="207">
        <f ca="1">OFFSET('ASWING AERO'!$P$24,((ROW('ASWING AERO'!$A98)-ROW('ASWING AERO'!$A$24))*16/100),0)</f>
        <v>-1.55</v>
      </c>
      <c r="AR119" s="8">
        <f ca="1">OFFSET('ASWING AERO'!$M$24,((ROW('ASWING AERO'!$A98)-ROW('ASWING AERO'!$A$24))*16/100),0)</f>
        <v>5.9690260418206069</v>
      </c>
    </row>
    <row r="120" spans="1:44" x14ac:dyDescent="0.25">
      <c r="A120">
        <f>Loads!A95</f>
        <v>75</v>
      </c>
      <c r="B120">
        <v>75</v>
      </c>
      <c r="C120">
        <f t="shared" si="19"/>
        <v>0.33372294375</v>
      </c>
      <c r="D120">
        <f>Loads!B95</f>
        <v>18.061024199999999</v>
      </c>
      <c r="E120">
        <f t="shared" si="20"/>
        <v>0</v>
      </c>
      <c r="F120">
        <f t="shared" si="21"/>
        <v>0</v>
      </c>
      <c r="G120" s="560">
        <f>Stiffness!AQ119/144</f>
        <v>578501.39590450772</v>
      </c>
      <c r="H120" s="560">
        <f>Stiffness!AV119/144</f>
        <v>541893.32902175293</v>
      </c>
      <c r="I120">
        <v>0</v>
      </c>
      <c r="J120">
        <v>0</v>
      </c>
      <c r="K120">
        <v>0</v>
      </c>
      <c r="L120" s="560">
        <f>Stiffness!BC119/144</f>
        <v>21112164.049320139</v>
      </c>
      <c r="M120">
        <v>0</v>
      </c>
      <c r="N120">
        <v>0</v>
      </c>
      <c r="O120">
        <v>0</v>
      </c>
      <c r="P120">
        <v>0</v>
      </c>
      <c r="Q120">
        <v>0</v>
      </c>
      <c r="R120">
        <f>'Weight '!BT121*'Weight '!$E$36/Stiffness!D119</f>
        <v>7.1045280347504507</v>
      </c>
      <c r="S120">
        <f ca="1">'Weight '!BU121-$AL119*$AM119</f>
        <v>0.81481499307620875</v>
      </c>
      <c r="T120" s="2">
        <v>0</v>
      </c>
      <c r="U120">
        <v>0</v>
      </c>
      <c r="V120">
        <v>0</v>
      </c>
      <c r="W120">
        <v>0</v>
      </c>
      <c r="X120">
        <v>0</v>
      </c>
      <c r="Y120">
        <v>0</v>
      </c>
      <c r="Z120">
        <f ca="1">Stiffness!CV119-AL120*AM120</f>
        <v>0.33444195578003488</v>
      </c>
      <c r="AA120">
        <v>0</v>
      </c>
      <c r="AB120">
        <v>0</v>
      </c>
      <c r="AC120" s="207">
        <v>0</v>
      </c>
      <c r="AD120">
        <f t="shared" si="22"/>
        <v>2E-3</v>
      </c>
      <c r="AE120">
        <f t="shared" si="23"/>
        <v>2E-3</v>
      </c>
      <c r="AF120">
        <f t="shared" ca="1" si="24"/>
        <v>0</v>
      </c>
      <c r="AG120">
        <f t="shared" si="25"/>
        <v>0.33753692025000004</v>
      </c>
      <c r="AH120" s="565">
        <f>Sizing!AD135*(Sizing!CO135+Sizing!CP135) / (12^3)</f>
        <v>3.6696741166435641E-3</v>
      </c>
      <c r="AI120">
        <f t="shared" si="28"/>
        <v>0</v>
      </c>
      <c r="AJ120">
        <f t="shared" si="26"/>
        <v>0</v>
      </c>
      <c r="AK120">
        <f t="shared" si="27"/>
        <v>0</v>
      </c>
      <c r="AL120" s="207">
        <f>Loads!C95</f>
        <v>3.7504102250000004</v>
      </c>
      <c r="AM120">
        <f ca="1">OFFSET('ASWING AERO'!$F$24,((ROW('ASWING AERO'!$A99)-ROW('ASWING AERO'!$A$24))*16/100),0)</f>
        <v>0.25</v>
      </c>
      <c r="AN120" s="207">
        <f ca="1">OFFSET('ASWING AERO'!$J$24,((ROW('ASWING AERO'!$A99)-ROW('ASWING AERO'!$A$24))*16/100),0)</f>
        <v>4.05</v>
      </c>
      <c r="AO120" s="207">
        <f ca="1">OFFSET('ASWING AERO'!$N$24,((ROW('ASWING AERO'!$A99)-ROW('ASWING AERO'!$A$24))*16/100),0)</f>
        <v>-0.15</v>
      </c>
      <c r="AP120" s="207">
        <f ca="1">OFFSET('ASWING AERO'!$O$24,((ROW('ASWING AERO'!$A99)-ROW('ASWING AERO'!$A$24))*16/100),0)</f>
        <v>1.85</v>
      </c>
      <c r="AQ120" s="207">
        <f ca="1">OFFSET('ASWING AERO'!$P$24,((ROW('ASWING AERO'!$A99)-ROW('ASWING AERO'!$A$24))*16/100),0)</f>
        <v>-1.55</v>
      </c>
      <c r="AR120" s="8">
        <f ca="1">OFFSET('ASWING AERO'!$M$24,((ROW('ASWING AERO'!$A99)-ROW('ASWING AERO'!$A$24))*16/100),0)</f>
        <v>5.9690260418206069</v>
      </c>
    </row>
    <row r="121" spans="1:44" x14ac:dyDescent="0.25">
      <c r="A121">
        <f>Loads!A96</f>
        <v>76</v>
      </c>
      <c r="B121">
        <v>76</v>
      </c>
      <c r="C121">
        <f t="shared" si="19"/>
        <v>0.33817258300000003</v>
      </c>
      <c r="D121">
        <f>Loads!B96</f>
        <v>18.301837855999999</v>
      </c>
      <c r="E121">
        <f t="shared" si="20"/>
        <v>0</v>
      </c>
      <c r="F121">
        <f t="shared" si="21"/>
        <v>0</v>
      </c>
      <c r="G121" s="560">
        <f>Stiffness!AQ120/144</f>
        <v>571089.41903928784</v>
      </c>
      <c r="H121" s="560">
        <f>Stiffness!AV120/144</f>
        <v>536762.13937685685</v>
      </c>
      <c r="I121">
        <v>0</v>
      </c>
      <c r="J121">
        <v>0</v>
      </c>
      <c r="K121">
        <v>0</v>
      </c>
      <c r="L121" s="560">
        <f>Stiffness!BC120/144</f>
        <v>20813008.311182722</v>
      </c>
      <c r="M121">
        <v>0</v>
      </c>
      <c r="N121">
        <v>0</v>
      </c>
      <c r="O121">
        <v>0</v>
      </c>
      <c r="P121">
        <v>0</v>
      </c>
      <c r="Q121">
        <v>0</v>
      </c>
      <c r="R121">
        <f>'Weight '!BT122*'Weight '!$E$36/Stiffness!D120</f>
        <v>7.0730658949176117</v>
      </c>
      <c r="S121">
        <f ca="1">'Weight '!BU122-$AL120*$AM120</f>
        <v>0.81068103656801771</v>
      </c>
      <c r="T121" s="2">
        <v>0</v>
      </c>
      <c r="U121">
        <v>0</v>
      </c>
      <c r="V121">
        <v>0</v>
      </c>
      <c r="W121">
        <v>0</v>
      </c>
      <c r="X121">
        <v>0</v>
      </c>
      <c r="Y121">
        <v>0</v>
      </c>
      <c r="Z121">
        <f ca="1">Stiffness!CV120-AL121*AM121</f>
        <v>0.33284663762854738</v>
      </c>
      <c r="AA121">
        <v>0</v>
      </c>
      <c r="AB121">
        <v>0</v>
      </c>
      <c r="AC121" s="207">
        <v>0</v>
      </c>
      <c r="AD121">
        <f t="shared" si="22"/>
        <v>2E-3</v>
      </c>
      <c r="AE121">
        <f t="shared" si="23"/>
        <v>2E-3</v>
      </c>
      <c r="AF121">
        <f t="shared" ca="1" si="24"/>
        <v>0</v>
      </c>
      <c r="AG121">
        <f t="shared" si="25"/>
        <v>0.33593505012000002</v>
      </c>
      <c r="AH121" s="565">
        <f>Sizing!AD136*(Sizing!CO136+Sizing!CP136) / (12^3)</f>
        <v>3.6349259608368521E-3</v>
      </c>
      <c r="AI121">
        <f t="shared" si="28"/>
        <v>0</v>
      </c>
      <c r="AJ121">
        <f t="shared" si="26"/>
        <v>0</v>
      </c>
      <c r="AK121">
        <f t="shared" si="27"/>
        <v>0</v>
      </c>
      <c r="AL121" s="207">
        <f>Loads!C96</f>
        <v>3.7326116680000001</v>
      </c>
      <c r="AM121">
        <f ca="1">OFFSET('ASWING AERO'!$F$24,((ROW('ASWING AERO'!$A100)-ROW('ASWING AERO'!$A$24))*16/100),0)</f>
        <v>0.25</v>
      </c>
      <c r="AN121" s="207">
        <f ca="1">OFFSET('ASWING AERO'!$J$24,((ROW('ASWING AERO'!$A100)-ROW('ASWING AERO'!$A$24))*16/100),0)</f>
        <v>4.05</v>
      </c>
      <c r="AO121" s="207">
        <f ca="1">OFFSET('ASWING AERO'!$N$24,((ROW('ASWING AERO'!$A100)-ROW('ASWING AERO'!$A$24))*16/100),0)</f>
        <v>-0.15</v>
      </c>
      <c r="AP121" s="207">
        <f ca="1">OFFSET('ASWING AERO'!$O$24,((ROW('ASWING AERO'!$A100)-ROW('ASWING AERO'!$A$24))*16/100),0)</f>
        <v>1.85</v>
      </c>
      <c r="AQ121" s="207">
        <f ca="1">OFFSET('ASWING AERO'!$P$24,((ROW('ASWING AERO'!$A100)-ROW('ASWING AERO'!$A$24))*16/100),0)</f>
        <v>-1.55</v>
      </c>
      <c r="AR121" s="8">
        <f ca="1">OFFSET('ASWING AERO'!$M$24,((ROW('ASWING AERO'!$A100)-ROW('ASWING AERO'!$A$24))*16/100),0)</f>
        <v>5.9690260418206069</v>
      </c>
    </row>
    <row r="122" spans="1:44" x14ac:dyDescent="0.25">
      <c r="A122">
        <f>Loads!A97</f>
        <v>77</v>
      </c>
      <c r="B122">
        <v>77</v>
      </c>
      <c r="C122">
        <f t="shared" si="19"/>
        <v>0.34262222225000005</v>
      </c>
      <c r="D122">
        <f>Loads!B97</f>
        <v>18.542651511999999</v>
      </c>
      <c r="E122">
        <f t="shared" si="20"/>
        <v>0</v>
      </c>
      <c r="F122">
        <f t="shared" si="21"/>
        <v>0</v>
      </c>
      <c r="G122" s="560">
        <f>Stiffness!AQ121/144</f>
        <v>563725.23132764152</v>
      </c>
      <c r="H122" s="560">
        <f>Stiffness!AV121/144</f>
        <v>531655.35906088643</v>
      </c>
      <c r="I122">
        <v>0</v>
      </c>
      <c r="J122">
        <v>0</v>
      </c>
      <c r="K122">
        <v>0</v>
      </c>
      <c r="L122" s="560">
        <f>Stiffness!BC121/144</f>
        <v>20516691.99592115</v>
      </c>
      <c r="M122">
        <v>0</v>
      </c>
      <c r="N122">
        <v>0</v>
      </c>
      <c r="O122">
        <v>0</v>
      </c>
      <c r="P122">
        <v>0</v>
      </c>
      <c r="Q122">
        <v>0</v>
      </c>
      <c r="R122">
        <f>'Weight '!BT123*'Weight '!$E$36/Stiffness!D121</f>
        <v>7.0416037550847728</v>
      </c>
      <c r="S122">
        <f ca="1">'Weight '!BU123-$AL121*$AM121</f>
        <v>0.80654723826649477</v>
      </c>
      <c r="T122" s="2">
        <v>0</v>
      </c>
      <c r="U122">
        <v>0</v>
      </c>
      <c r="V122">
        <v>0</v>
      </c>
      <c r="W122">
        <v>0</v>
      </c>
      <c r="X122">
        <v>0</v>
      </c>
      <c r="Y122">
        <v>0</v>
      </c>
      <c r="Z122">
        <f ca="1">Stiffness!CV121-AL122*AM122</f>
        <v>0.33125131995362633</v>
      </c>
      <c r="AA122">
        <v>0</v>
      </c>
      <c r="AB122">
        <v>0</v>
      </c>
      <c r="AC122" s="207">
        <v>0</v>
      </c>
      <c r="AD122">
        <f t="shared" si="22"/>
        <v>2E-3</v>
      </c>
      <c r="AE122">
        <f t="shared" si="23"/>
        <v>2E-3</v>
      </c>
      <c r="AF122">
        <f t="shared" ca="1" si="24"/>
        <v>0</v>
      </c>
      <c r="AG122">
        <f t="shared" si="25"/>
        <v>0.33433317999000001</v>
      </c>
      <c r="AH122" s="565">
        <f>Sizing!AD137*(Sizing!CO137+Sizing!CP137) / (12^3)</f>
        <v>3.6003431037665667E-3</v>
      </c>
      <c r="AI122">
        <f t="shared" si="28"/>
        <v>0</v>
      </c>
      <c r="AJ122">
        <f t="shared" si="26"/>
        <v>0</v>
      </c>
      <c r="AK122">
        <f t="shared" si="27"/>
        <v>0</v>
      </c>
      <c r="AL122" s="207">
        <f>Loads!C97</f>
        <v>3.7148131110000002</v>
      </c>
      <c r="AM122">
        <f ca="1">OFFSET('ASWING AERO'!$F$24,((ROW('ASWING AERO'!$A101)-ROW('ASWING AERO'!$A$24))*16/100),0)</f>
        <v>0.25</v>
      </c>
      <c r="AN122" s="207">
        <f ca="1">OFFSET('ASWING AERO'!$J$24,((ROW('ASWING AERO'!$A101)-ROW('ASWING AERO'!$A$24))*16/100),0)</f>
        <v>4.05</v>
      </c>
      <c r="AO122" s="207">
        <f ca="1">OFFSET('ASWING AERO'!$N$24,((ROW('ASWING AERO'!$A101)-ROW('ASWING AERO'!$A$24))*16/100),0)</f>
        <v>-0.15</v>
      </c>
      <c r="AP122" s="207">
        <f ca="1">OFFSET('ASWING AERO'!$O$24,((ROW('ASWING AERO'!$A101)-ROW('ASWING AERO'!$A$24))*16/100),0)</f>
        <v>1.85</v>
      </c>
      <c r="AQ122" s="207">
        <f ca="1">OFFSET('ASWING AERO'!$P$24,((ROW('ASWING AERO'!$A101)-ROW('ASWING AERO'!$A$24))*16/100),0)</f>
        <v>-1.55</v>
      </c>
      <c r="AR122" s="8">
        <f ca="1">OFFSET('ASWING AERO'!$M$24,((ROW('ASWING AERO'!$A101)-ROW('ASWING AERO'!$A$24))*16/100),0)</f>
        <v>5.9690260418206069</v>
      </c>
    </row>
    <row r="123" spans="1:44" x14ac:dyDescent="0.25">
      <c r="A123">
        <f>Loads!A98</f>
        <v>78</v>
      </c>
      <c r="B123">
        <v>78</v>
      </c>
      <c r="C123">
        <f t="shared" si="19"/>
        <v>0.34707186150000002</v>
      </c>
      <c r="D123">
        <f>Loads!B98</f>
        <v>18.783465167999999</v>
      </c>
      <c r="E123">
        <f t="shared" si="20"/>
        <v>0</v>
      </c>
      <c r="F123">
        <f t="shared" si="21"/>
        <v>0</v>
      </c>
      <c r="G123" s="560">
        <f>Stiffness!AQ122/144</f>
        <v>556408.83276956785</v>
      </c>
      <c r="H123" s="560">
        <f>Stiffness!AV122/144</f>
        <v>526572.98807384155</v>
      </c>
      <c r="I123">
        <v>0</v>
      </c>
      <c r="J123">
        <v>0</v>
      </c>
      <c r="K123">
        <v>0</v>
      </c>
      <c r="L123" s="560">
        <f>Stiffness!BC122/144</f>
        <v>20223201.564052947</v>
      </c>
      <c r="M123">
        <v>0</v>
      </c>
      <c r="N123">
        <v>0</v>
      </c>
      <c r="O123">
        <v>0</v>
      </c>
      <c r="P123">
        <v>0</v>
      </c>
      <c r="Q123">
        <v>0</v>
      </c>
      <c r="R123">
        <f>'Weight '!BT124*'Weight '!$E$36/Stiffness!D122</f>
        <v>7.0101416152519356</v>
      </c>
      <c r="S123">
        <f ca="1">'Weight '!BU124-$AL122*$AM122</f>
        <v>0.80241360030177578</v>
      </c>
      <c r="T123" s="2">
        <v>0</v>
      </c>
      <c r="U123">
        <v>0</v>
      </c>
      <c r="V123">
        <v>0</v>
      </c>
      <c r="W123">
        <v>0</v>
      </c>
      <c r="X123">
        <v>0</v>
      </c>
      <c r="Y123">
        <v>0</v>
      </c>
      <c r="Z123">
        <f ca="1">Stiffness!CV122-AL123*AM123</f>
        <v>0.32965600493149794</v>
      </c>
      <c r="AA123">
        <v>0</v>
      </c>
      <c r="AB123">
        <v>0</v>
      </c>
      <c r="AC123" s="207">
        <v>0</v>
      </c>
      <c r="AD123">
        <f t="shared" si="22"/>
        <v>2E-3</v>
      </c>
      <c r="AE123">
        <f t="shared" si="23"/>
        <v>2E-3</v>
      </c>
      <c r="AF123">
        <f t="shared" ca="1" si="24"/>
        <v>0</v>
      </c>
      <c r="AG123">
        <f t="shared" si="25"/>
        <v>0.33273130985999999</v>
      </c>
      <c r="AH123" s="565">
        <f>Sizing!AD138*(Sizing!CO138+Sizing!CP138) / (12^3)</f>
        <v>3.5659255454327018E-3</v>
      </c>
      <c r="AI123">
        <f t="shared" si="28"/>
        <v>0</v>
      </c>
      <c r="AJ123">
        <f t="shared" si="26"/>
        <v>0</v>
      </c>
      <c r="AK123">
        <f t="shared" si="27"/>
        <v>0</v>
      </c>
      <c r="AL123" s="207">
        <f>Loads!C98</f>
        <v>3.6970145540000003</v>
      </c>
      <c r="AM123">
        <f ca="1">OFFSET('ASWING AERO'!$F$24,((ROW('ASWING AERO'!$A102)-ROW('ASWING AERO'!$A$24))*16/100),0)</f>
        <v>0.25</v>
      </c>
      <c r="AN123" s="207">
        <f ca="1">OFFSET('ASWING AERO'!$J$24,((ROW('ASWING AERO'!$A102)-ROW('ASWING AERO'!$A$24))*16/100),0)</f>
        <v>4.05</v>
      </c>
      <c r="AO123" s="207">
        <f ca="1">OFFSET('ASWING AERO'!$N$24,((ROW('ASWING AERO'!$A102)-ROW('ASWING AERO'!$A$24))*16/100),0)</f>
        <v>-0.15</v>
      </c>
      <c r="AP123" s="207">
        <f ca="1">OFFSET('ASWING AERO'!$O$24,((ROW('ASWING AERO'!$A102)-ROW('ASWING AERO'!$A$24))*16/100),0)</f>
        <v>1.85</v>
      </c>
      <c r="AQ123" s="207">
        <f ca="1">OFFSET('ASWING AERO'!$P$24,((ROW('ASWING AERO'!$A102)-ROW('ASWING AERO'!$A$24))*16/100),0)</f>
        <v>-1.55</v>
      </c>
      <c r="AR123" s="8">
        <f ca="1">OFFSET('ASWING AERO'!$M$24,((ROW('ASWING AERO'!$A102)-ROW('ASWING AERO'!$A$24))*16/100),0)</f>
        <v>5.9690260418206069</v>
      </c>
    </row>
    <row r="124" spans="1:44" x14ac:dyDescent="0.25">
      <c r="A124">
        <f>Loads!A99</f>
        <v>79</v>
      </c>
      <c r="B124">
        <v>79</v>
      </c>
      <c r="C124">
        <f t="shared" si="19"/>
        <v>0.35152150075000005</v>
      </c>
      <c r="D124">
        <f>Loads!B99</f>
        <v>19.024278824</v>
      </c>
      <c r="E124">
        <f t="shared" si="20"/>
        <v>0</v>
      </c>
      <c r="F124">
        <f t="shared" si="21"/>
        <v>0</v>
      </c>
      <c r="G124" s="560">
        <f>Stiffness!AQ123/144</f>
        <v>549140.22336506727</v>
      </c>
      <c r="H124" s="560">
        <f>Stiffness!AV123/144</f>
        <v>521515.02641572308</v>
      </c>
      <c r="I124">
        <v>0</v>
      </c>
      <c r="J124">
        <v>0</v>
      </c>
      <c r="K124">
        <v>0</v>
      </c>
      <c r="L124" s="560">
        <f>Stiffness!BC123/144</f>
        <v>19932523.476095829</v>
      </c>
      <c r="M124">
        <v>0</v>
      </c>
      <c r="N124">
        <v>0</v>
      </c>
      <c r="O124">
        <v>0</v>
      </c>
      <c r="P124">
        <v>0</v>
      </c>
      <c r="Q124">
        <v>0</v>
      </c>
      <c r="R124">
        <f>'Weight '!BT125*'Weight '!$E$36/Stiffness!D123</f>
        <v>6.9786794754190993</v>
      </c>
      <c r="S124">
        <f ca="1">'Weight '!BU125-$AL123*$AM123</f>
        <v>0.7982801248424124</v>
      </c>
      <c r="T124" s="2">
        <v>0</v>
      </c>
      <c r="U124">
        <v>0</v>
      </c>
      <c r="V124">
        <v>0</v>
      </c>
      <c r="W124">
        <v>0</v>
      </c>
      <c r="X124">
        <v>0</v>
      </c>
      <c r="Y124">
        <v>0</v>
      </c>
      <c r="Z124">
        <f ca="1">Stiffness!CV123-AL124*AM124</f>
        <v>0.32806069520198233</v>
      </c>
      <c r="AA124">
        <v>0</v>
      </c>
      <c r="AB124">
        <v>0</v>
      </c>
      <c r="AC124" s="207">
        <v>0</v>
      </c>
      <c r="AD124">
        <f t="shared" si="22"/>
        <v>2E-3</v>
      </c>
      <c r="AE124">
        <f t="shared" si="23"/>
        <v>2E-3</v>
      </c>
      <c r="AF124">
        <f t="shared" ca="1" si="24"/>
        <v>0</v>
      </c>
      <c r="AG124">
        <f t="shared" si="25"/>
        <v>0.33112943973000003</v>
      </c>
      <c r="AH124" s="565">
        <f>Sizing!AD139*(Sizing!CO139+Sizing!CP139) / (12^3)</f>
        <v>3.5316732858352638E-3</v>
      </c>
      <c r="AI124">
        <f t="shared" si="28"/>
        <v>0</v>
      </c>
      <c r="AJ124">
        <f t="shared" si="26"/>
        <v>0</v>
      </c>
      <c r="AK124">
        <f t="shared" si="27"/>
        <v>0</v>
      </c>
      <c r="AL124" s="207">
        <f>Loads!C99</f>
        <v>3.6792159970000005</v>
      </c>
      <c r="AM124">
        <f ca="1">OFFSET('ASWING AERO'!$F$24,((ROW('ASWING AERO'!$A103)-ROW('ASWING AERO'!$A$24))*16/100),0)</f>
        <v>0.25</v>
      </c>
      <c r="AN124" s="207">
        <f ca="1">OFFSET('ASWING AERO'!$J$24,((ROW('ASWING AERO'!$A103)-ROW('ASWING AERO'!$A$24))*16/100),0)</f>
        <v>4.05</v>
      </c>
      <c r="AO124" s="207">
        <f ca="1">OFFSET('ASWING AERO'!$N$24,((ROW('ASWING AERO'!$A103)-ROW('ASWING AERO'!$A$24))*16/100),0)</f>
        <v>-0.15</v>
      </c>
      <c r="AP124" s="207">
        <f ca="1">OFFSET('ASWING AERO'!$O$24,((ROW('ASWING AERO'!$A103)-ROW('ASWING AERO'!$A$24))*16/100),0)</f>
        <v>1.85</v>
      </c>
      <c r="AQ124" s="207">
        <f ca="1">OFFSET('ASWING AERO'!$P$24,((ROW('ASWING AERO'!$A103)-ROW('ASWING AERO'!$A$24))*16/100),0)</f>
        <v>-1.55</v>
      </c>
      <c r="AR124" s="8">
        <f ca="1">OFFSET('ASWING AERO'!$M$24,((ROW('ASWING AERO'!$A103)-ROW('ASWING AERO'!$A$24))*16/100),0)</f>
        <v>5.9690260418206069</v>
      </c>
    </row>
    <row r="125" spans="1:44" x14ac:dyDescent="0.25">
      <c r="A125">
        <f>Loads!A100</f>
        <v>80</v>
      </c>
      <c r="B125">
        <v>80</v>
      </c>
      <c r="C125">
        <f t="shared" si="19"/>
        <v>0.35597114000000007</v>
      </c>
      <c r="D125">
        <f>Loads!B100</f>
        <v>19.26509248</v>
      </c>
      <c r="E125">
        <f t="shared" si="20"/>
        <v>0</v>
      </c>
      <c r="F125">
        <f t="shared" si="21"/>
        <v>0</v>
      </c>
      <c r="G125" s="560">
        <f>Stiffness!AQ124/144</f>
        <v>247126.71760001045</v>
      </c>
      <c r="H125" s="560">
        <f>Stiffness!AV124/144</f>
        <v>225786.78849734511</v>
      </c>
      <c r="I125">
        <v>0</v>
      </c>
      <c r="J125">
        <v>0</v>
      </c>
      <c r="K125">
        <v>0</v>
      </c>
      <c r="L125" s="560">
        <f>Stiffness!BC124/144</f>
        <v>19644644.192567337</v>
      </c>
      <c r="M125">
        <v>0</v>
      </c>
      <c r="N125">
        <v>0</v>
      </c>
      <c r="O125">
        <v>0</v>
      </c>
      <c r="P125">
        <v>0</v>
      </c>
      <c r="Q125">
        <v>0</v>
      </c>
      <c r="R125">
        <f>'Weight '!BT126*'Weight '!$E$36/Stiffness!D124</f>
        <v>6.6845640321097735</v>
      </c>
      <c r="S125">
        <f ca="1">'Weight '!BU126-$AL124*$AM124</f>
        <v>0.82494004777868379</v>
      </c>
      <c r="T125" s="2">
        <v>0</v>
      </c>
      <c r="U125">
        <v>0</v>
      </c>
      <c r="V125">
        <v>0</v>
      </c>
      <c r="W125">
        <v>0</v>
      </c>
      <c r="X125">
        <v>0</v>
      </c>
      <c r="Y125">
        <v>0</v>
      </c>
      <c r="Z125">
        <f ca="1">Stiffness!CV124-AL125*AM125</f>
        <v>0.32646539390607976</v>
      </c>
      <c r="AA125">
        <v>0</v>
      </c>
      <c r="AB125">
        <v>0</v>
      </c>
      <c r="AC125" s="207">
        <v>0</v>
      </c>
      <c r="AD125">
        <f t="shared" si="22"/>
        <v>2E-3</v>
      </c>
      <c r="AE125">
        <f t="shared" si="23"/>
        <v>2E-3</v>
      </c>
      <c r="AF125">
        <f t="shared" ca="1" si="24"/>
        <v>0</v>
      </c>
      <c r="AG125">
        <f t="shared" si="25"/>
        <v>0.32952756960000001</v>
      </c>
      <c r="AH125" s="565">
        <f>Sizing!AD140*(Sizing!CO140+Sizing!CP140) / (12^3)</f>
        <v>3.4975863249742446E-3</v>
      </c>
      <c r="AI125">
        <f t="shared" si="28"/>
        <v>0</v>
      </c>
      <c r="AJ125">
        <f t="shared" si="26"/>
        <v>0</v>
      </c>
      <c r="AK125">
        <f t="shared" si="27"/>
        <v>0</v>
      </c>
      <c r="AL125" s="207">
        <f>Loads!C100</f>
        <v>3.6614174400000001</v>
      </c>
      <c r="AM125">
        <f ca="1">OFFSET('ASWING AERO'!$F$24,((ROW('ASWING AERO'!$A104)-ROW('ASWING AERO'!$A$24))*16/100),0)</f>
        <v>0.25</v>
      </c>
      <c r="AN125" s="207">
        <f ca="1">OFFSET('ASWING AERO'!$J$24,((ROW('ASWING AERO'!$A104)-ROW('ASWING AERO'!$A$24))*16/100),0)</f>
        <v>4.05</v>
      </c>
      <c r="AO125" s="207">
        <f ca="1">OFFSET('ASWING AERO'!$N$24,((ROW('ASWING AERO'!$A104)-ROW('ASWING AERO'!$A$24))*16/100),0)</f>
        <v>-0.15</v>
      </c>
      <c r="AP125" s="207">
        <f ca="1">OFFSET('ASWING AERO'!$O$24,((ROW('ASWING AERO'!$A104)-ROW('ASWING AERO'!$A$24))*16/100),0)</f>
        <v>1.85</v>
      </c>
      <c r="AQ125" s="207">
        <f ca="1">OFFSET('ASWING AERO'!$P$24,((ROW('ASWING AERO'!$A104)-ROW('ASWING AERO'!$A$24))*16/100),0)</f>
        <v>-1.55</v>
      </c>
      <c r="AR125" s="8">
        <f ca="1">OFFSET('ASWING AERO'!$M$24,((ROW('ASWING AERO'!$A104)-ROW('ASWING AERO'!$A$24))*16/100),0)</f>
        <v>5.9690260418206069</v>
      </c>
    </row>
    <row r="126" spans="1:44" x14ac:dyDescent="0.25">
      <c r="A126">
        <f>Loads!A101</f>
        <v>81</v>
      </c>
      <c r="B126">
        <v>81</v>
      </c>
      <c r="C126">
        <f t="shared" si="19"/>
        <v>0.36042077925000005</v>
      </c>
      <c r="D126">
        <f>Loads!B101</f>
        <v>19.505906136</v>
      </c>
      <c r="E126">
        <f t="shared" si="20"/>
        <v>0</v>
      </c>
      <c r="F126">
        <f t="shared" si="21"/>
        <v>0</v>
      </c>
      <c r="G126" s="560">
        <f>Stiffness!AQ125/144</f>
        <v>243957.58136081218</v>
      </c>
      <c r="H126" s="560">
        <f>Stiffness!AV125/144</f>
        <v>223596.97459713771</v>
      </c>
      <c r="I126">
        <v>0</v>
      </c>
      <c r="J126">
        <v>0</v>
      </c>
      <c r="K126">
        <v>0</v>
      </c>
      <c r="L126" s="560">
        <f>Stiffness!BC125/144</f>
        <v>19359550.17398515</v>
      </c>
      <c r="M126">
        <v>0</v>
      </c>
      <c r="N126">
        <v>0</v>
      </c>
      <c r="O126">
        <v>0</v>
      </c>
      <c r="P126">
        <v>0</v>
      </c>
      <c r="Q126">
        <v>0</v>
      </c>
      <c r="R126">
        <f>'Weight '!BT127*'Weight '!$E$36/Stiffness!D125</f>
        <v>6.6531018922769372</v>
      </c>
      <c r="S126">
        <f ca="1">'Weight '!BU127-$AL125*$AM125</f>
        <v>0.82079221411267778</v>
      </c>
      <c r="T126" s="2">
        <v>0</v>
      </c>
      <c r="U126">
        <v>0</v>
      </c>
      <c r="V126">
        <v>0</v>
      </c>
      <c r="W126">
        <v>0</v>
      </c>
      <c r="X126">
        <v>0</v>
      </c>
      <c r="Y126">
        <v>0</v>
      </c>
      <c r="Z126">
        <f ca="1">Stiffness!CV125-AL126*AM126</f>
        <v>0.32487010472215916</v>
      </c>
      <c r="AA126">
        <v>0</v>
      </c>
      <c r="AB126">
        <v>0</v>
      </c>
      <c r="AC126" s="207">
        <v>0</v>
      </c>
      <c r="AD126">
        <f t="shared" si="22"/>
        <v>2E-3</v>
      </c>
      <c r="AE126">
        <f t="shared" si="23"/>
        <v>2E-3</v>
      </c>
      <c r="AF126">
        <f t="shared" ca="1" si="24"/>
        <v>0</v>
      </c>
      <c r="AG126">
        <f t="shared" si="25"/>
        <v>0.32792569947</v>
      </c>
      <c r="AH126" s="565">
        <f>Sizing!AD141*(Sizing!CO141+Sizing!CP141) / (12^3)</f>
        <v>3.4636646628496527E-3</v>
      </c>
      <c r="AI126">
        <f t="shared" si="28"/>
        <v>0</v>
      </c>
      <c r="AJ126">
        <f t="shared" si="26"/>
        <v>0</v>
      </c>
      <c r="AK126">
        <f t="shared" si="27"/>
        <v>0</v>
      </c>
      <c r="AL126" s="207">
        <f>Loads!C101</f>
        <v>3.6436188830000003</v>
      </c>
      <c r="AM126">
        <f ca="1">OFFSET('ASWING AERO'!$F$24,((ROW('ASWING AERO'!$A105)-ROW('ASWING AERO'!$A$24))*16/100),0)</f>
        <v>0.25</v>
      </c>
      <c r="AN126" s="207">
        <f ca="1">OFFSET('ASWING AERO'!$J$24,((ROW('ASWING AERO'!$A105)-ROW('ASWING AERO'!$A$24))*16/100),0)</f>
        <v>4.05</v>
      </c>
      <c r="AO126" s="207">
        <f ca="1">OFFSET('ASWING AERO'!$N$24,((ROW('ASWING AERO'!$A105)-ROW('ASWING AERO'!$A$24))*16/100),0)</f>
        <v>-0.15</v>
      </c>
      <c r="AP126" s="207">
        <f ca="1">OFFSET('ASWING AERO'!$O$24,((ROW('ASWING AERO'!$A105)-ROW('ASWING AERO'!$A$24))*16/100),0)</f>
        <v>1.85</v>
      </c>
      <c r="AQ126" s="207">
        <f ca="1">OFFSET('ASWING AERO'!$P$24,((ROW('ASWING AERO'!$A105)-ROW('ASWING AERO'!$A$24))*16/100),0)</f>
        <v>-1.55</v>
      </c>
      <c r="AR126" s="8">
        <f ca="1">OFFSET('ASWING AERO'!$M$24,((ROW('ASWING AERO'!$A105)-ROW('ASWING AERO'!$A$24))*16/100),0)</f>
        <v>5.9690260418206069</v>
      </c>
    </row>
    <row r="127" spans="1:44" x14ac:dyDescent="0.25">
      <c r="A127">
        <f>Loads!A102</f>
        <v>82</v>
      </c>
      <c r="B127">
        <v>82</v>
      </c>
      <c r="C127">
        <f t="shared" si="19"/>
        <v>0.36487041850000002</v>
      </c>
      <c r="D127">
        <f>Loads!B102</f>
        <v>19.746719791999997</v>
      </c>
      <c r="E127">
        <f t="shared" si="20"/>
        <v>0</v>
      </c>
      <c r="F127">
        <f t="shared" si="21"/>
        <v>0</v>
      </c>
      <c r="G127" s="560">
        <f>Stiffness!AQ126/144</f>
        <v>240808.8968629794</v>
      </c>
      <c r="H127" s="560">
        <f>Stiffness!AV126/144</f>
        <v>221417.83156174156</v>
      </c>
      <c r="I127">
        <v>0</v>
      </c>
      <c r="J127">
        <v>0</v>
      </c>
      <c r="K127">
        <v>0</v>
      </c>
      <c r="L127" s="560">
        <f>Stiffness!BC126/144</f>
        <v>19077227.88086687</v>
      </c>
      <c r="M127">
        <v>0</v>
      </c>
      <c r="N127">
        <v>0</v>
      </c>
      <c r="O127">
        <v>0</v>
      </c>
      <c r="P127">
        <v>0</v>
      </c>
      <c r="Q127">
        <v>0</v>
      </c>
      <c r="R127">
        <f>'Weight '!BT128*'Weight '!$E$36/Stiffness!D126</f>
        <v>6.6216397524440955</v>
      </c>
      <c r="S127">
        <f ca="1">'Weight '!BU128-$AL126*$AM126</f>
        <v>0.81664441681508104</v>
      </c>
      <c r="T127" s="2">
        <v>0</v>
      </c>
      <c r="U127">
        <v>0</v>
      </c>
      <c r="V127">
        <v>0</v>
      </c>
      <c r="W127">
        <v>0</v>
      </c>
      <c r="X127">
        <v>0</v>
      </c>
      <c r="Y127">
        <v>0</v>
      </c>
      <c r="Z127">
        <f ca="1">Stiffness!CV126-AL127*AM127</f>
        <v>0.32327483190076145</v>
      </c>
      <c r="AA127">
        <v>0</v>
      </c>
      <c r="AB127">
        <v>0</v>
      </c>
      <c r="AC127" s="207">
        <v>0</v>
      </c>
      <c r="AD127">
        <f t="shared" si="22"/>
        <v>2E-3</v>
      </c>
      <c r="AE127">
        <f t="shared" si="23"/>
        <v>2E-3</v>
      </c>
      <c r="AF127">
        <f t="shared" ca="1" si="24"/>
        <v>0</v>
      </c>
      <c r="AG127">
        <f t="shared" si="25"/>
        <v>0.32632382934000004</v>
      </c>
      <c r="AH127" s="565">
        <f>Sizing!AD142*(Sizing!CO142+Sizing!CP142) / (12^3)</f>
        <v>3.4299082994614823E-3</v>
      </c>
      <c r="AI127">
        <f t="shared" si="28"/>
        <v>0</v>
      </c>
      <c r="AJ127">
        <f t="shared" si="26"/>
        <v>0</v>
      </c>
      <c r="AK127">
        <f t="shared" si="27"/>
        <v>0</v>
      </c>
      <c r="AL127" s="207">
        <f>Loads!C102</f>
        <v>3.6258203260000004</v>
      </c>
      <c r="AM127">
        <f ca="1">OFFSET('ASWING AERO'!$F$24,((ROW('ASWING AERO'!$A106)-ROW('ASWING AERO'!$A$24))*16/100),0)</f>
        <v>0.25</v>
      </c>
      <c r="AN127" s="207">
        <f ca="1">OFFSET('ASWING AERO'!$J$24,((ROW('ASWING AERO'!$A106)-ROW('ASWING AERO'!$A$24))*16/100),0)</f>
        <v>3.35</v>
      </c>
      <c r="AO127" s="207">
        <f ca="1">OFFSET('ASWING AERO'!$N$24,((ROW('ASWING AERO'!$A106)-ROW('ASWING AERO'!$A$24))*16/100),0)</f>
        <v>-0.15</v>
      </c>
      <c r="AP127" s="207">
        <f ca="1">OFFSET('ASWING AERO'!$O$24,((ROW('ASWING AERO'!$A106)-ROW('ASWING AERO'!$A$24))*16/100),0)</f>
        <v>1.85</v>
      </c>
      <c r="AQ127" s="207">
        <f ca="1">OFFSET('ASWING AERO'!$P$24,((ROW('ASWING AERO'!$A106)-ROW('ASWING AERO'!$A$24))*16/100),0)</f>
        <v>-1.55</v>
      </c>
      <c r="AR127" s="8">
        <f ca="1">OFFSET('ASWING AERO'!$M$24,((ROW('ASWING AERO'!$A106)-ROW('ASWING AERO'!$A$24))*16/100),0)</f>
        <v>5.9690260418206069</v>
      </c>
    </row>
    <row r="128" spans="1:44" x14ac:dyDescent="0.25">
      <c r="A128">
        <f>Loads!A103</f>
        <v>83</v>
      </c>
      <c r="B128">
        <v>83</v>
      </c>
      <c r="C128">
        <f t="shared" si="19"/>
        <v>0.36932005774999999</v>
      </c>
      <c r="D128">
        <f>Loads!B103</f>
        <v>19.987533447999997</v>
      </c>
      <c r="E128">
        <f t="shared" si="20"/>
        <v>0</v>
      </c>
      <c r="F128">
        <f t="shared" si="21"/>
        <v>0</v>
      </c>
      <c r="G128" s="560">
        <f>Stiffness!AQ127/144</f>
        <v>237680.66410651218</v>
      </c>
      <c r="H128" s="560">
        <f>Stiffness!AV127/144</f>
        <v>219249.3593911569</v>
      </c>
      <c r="I128">
        <v>0</v>
      </c>
      <c r="J128">
        <v>0</v>
      </c>
      <c r="K128">
        <v>0</v>
      </c>
      <c r="L128" s="560">
        <f>Stiffness!BC127/144</f>
        <v>18797663.77373011</v>
      </c>
      <c r="M128">
        <v>0</v>
      </c>
      <c r="N128">
        <v>0</v>
      </c>
      <c r="O128">
        <v>0</v>
      </c>
      <c r="P128">
        <v>0</v>
      </c>
      <c r="Q128">
        <v>0</v>
      </c>
      <c r="R128">
        <f>'Weight '!BT129*'Weight '!$E$36/Stiffness!D127</f>
        <v>6.5901776126112601</v>
      </c>
      <c r="S128">
        <f ca="1">'Weight '!BU129-$AL127*$AM127</f>
        <v>0.81249665640677282</v>
      </c>
      <c r="T128" s="2">
        <v>0</v>
      </c>
      <c r="U128">
        <v>0</v>
      </c>
      <c r="V128">
        <v>0</v>
      </c>
      <c r="W128">
        <v>0</v>
      </c>
      <c r="X128">
        <v>0</v>
      </c>
      <c r="Y128">
        <v>0</v>
      </c>
      <c r="Z128">
        <f ca="1">Stiffness!CV127-AL128*AM128</f>
        <v>0.32167958029806254</v>
      </c>
      <c r="AA128">
        <v>0</v>
      </c>
      <c r="AB128">
        <v>0</v>
      </c>
      <c r="AC128" s="207">
        <v>0</v>
      </c>
      <c r="AD128">
        <f t="shared" si="22"/>
        <v>2E-3</v>
      </c>
      <c r="AE128">
        <f t="shared" si="23"/>
        <v>2E-3</v>
      </c>
      <c r="AF128">
        <f t="shared" ca="1" si="24"/>
        <v>0</v>
      </c>
      <c r="AG128">
        <f t="shared" si="25"/>
        <v>0.32472195921000002</v>
      </c>
      <c r="AH128" s="565">
        <f>Sizing!AD143*(Sizing!CO143+Sizing!CP143) / (12^3)</f>
        <v>3.3963172348097366E-3</v>
      </c>
      <c r="AI128">
        <f t="shared" si="28"/>
        <v>0</v>
      </c>
      <c r="AJ128">
        <f t="shared" si="26"/>
        <v>0</v>
      </c>
      <c r="AK128">
        <f t="shared" si="27"/>
        <v>0</v>
      </c>
      <c r="AL128" s="207">
        <f>Loads!C103</f>
        <v>3.6080217690000005</v>
      </c>
      <c r="AM128">
        <f ca="1">OFFSET('ASWING AERO'!$F$24,((ROW('ASWING AERO'!$A107)-ROW('ASWING AERO'!$A$24))*16/100),0)</f>
        <v>0.25</v>
      </c>
      <c r="AN128" s="207">
        <f ca="1">OFFSET('ASWING AERO'!$J$24,((ROW('ASWING AERO'!$A107)-ROW('ASWING AERO'!$A$24))*16/100),0)</f>
        <v>3.35</v>
      </c>
      <c r="AO128" s="207">
        <f ca="1">OFFSET('ASWING AERO'!$N$24,((ROW('ASWING AERO'!$A107)-ROW('ASWING AERO'!$A$24))*16/100),0)</f>
        <v>-0.15</v>
      </c>
      <c r="AP128" s="207">
        <f ca="1">OFFSET('ASWING AERO'!$O$24,((ROW('ASWING AERO'!$A107)-ROW('ASWING AERO'!$A$24))*16/100),0)</f>
        <v>1.85</v>
      </c>
      <c r="AQ128" s="207">
        <f ca="1">OFFSET('ASWING AERO'!$P$24,((ROW('ASWING AERO'!$A107)-ROW('ASWING AERO'!$A$24))*16/100),0)</f>
        <v>-1.55</v>
      </c>
      <c r="AR128" s="8">
        <f ca="1">OFFSET('ASWING AERO'!$M$24,((ROW('ASWING AERO'!$A107)-ROW('ASWING AERO'!$A$24))*16/100),0)</f>
        <v>5.9690260418206069</v>
      </c>
    </row>
    <row r="129" spans="1:44" x14ac:dyDescent="0.25">
      <c r="A129">
        <f>Loads!A104</f>
        <v>84</v>
      </c>
      <c r="B129">
        <v>84</v>
      </c>
      <c r="C129">
        <f t="shared" si="19"/>
        <v>0.37376969700000001</v>
      </c>
      <c r="D129">
        <f>Loads!B104</f>
        <v>20.228347103999997</v>
      </c>
      <c r="E129">
        <f t="shared" si="20"/>
        <v>0</v>
      </c>
      <c r="F129">
        <f t="shared" si="21"/>
        <v>0</v>
      </c>
      <c r="G129" s="560">
        <f>Stiffness!AQ128/144</f>
        <v>234572.88309141048</v>
      </c>
      <c r="H129" s="560">
        <f>Stiffness!AV128/144</f>
        <v>217091.55808538332</v>
      </c>
      <c r="I129">
        <v>0</v>
      </c>
      <c r="J129">
        <v>0</v>
      </c>
      <c r="K129">
        <v>0</v>
      </c>
      <c r="L129" s="560">
        <f>Stiffness!BC128/144</f>
        <v>18520844.313092496</v>
      </c>
      <c r="M129">
        <v>0</v>
      </c>
      <c r="N129">
        <v>0</v>
      </c>
      <c r="O129">
        <v>0</v>
      </c>
      <c r="P129">
        <v>0</v>
      </c>
      <c r="Q129">
        <v>0</v>
      </c>
      <c r="R129">
        <f>'Weight '!BT130*'Weight '!$E$36/Stiffness!D128</f>
        <v>6.5587154727784203</v>
      </c>
      <c r="S129">
        <f ca="1">'Weight '!BU130-$AL128*$AM128</f>
        <v>0.80834893341862779</v>
      </c>
      <c r="T129" s="2">
        <v>0</v>
      </c>
      <c r="U129">
        <v>0</v>
      </c>
      <c r="V129">
        <v>0</v>
      </c>
      <c r="W129">
        <v>0</v>
      </c>
      <c r="X129">
        <v>0</v>
      </c>
      <c r="Y129">
        <v>0</v>
      </c>
      <c r="Z129">
        <f ca="1">Stiffness!CV128-AL129*AM129</f>
        <v>0.32008435540801405</v>
      </c>
      <c r="AA129">
        <v>0</v>
      </c>
      <c r="AB129">
        <v>0</v>
      </c>
      <c r="AC129" s="207">
        <v>0</v>
      </c>
      <c r="AD129">
        <f t="shared" si="22"/>
        <v>2E-3</v>
      </c>
      <c r="AE129">
        <f t="shared" si="23"/>
        <v>2E-3</v>
      </c>
      <c r="AF129">
        <f t="shared" ca="1" si="24"/>
        <v>0</v>
      </c>
      <c r="AG129">
        <f t="shared" si="25"/>
        <v>0.32312008908000001</v>
      </c>
      <c r="AH129" s="565">
        <f>Sizing!AD144*(Sizing!CO144+Sizing!CP144) / (12^3)</f>
        <v>3.3628914688944122E-3</v>
      </c>
      <c r="AI129">
        <f t="shared" si="28"/>
        <v>0</v>
      </c>
      <c r="AJ129">
        <f t="shared" si="26"/>
        <v>0</v>
      </c>
      <c r="AK129">
        <f t="shared" si="27"/>
        <v>0</v>
      </c>
      <c r="AL129" s="207">
        <f>Loads!C104</f>
        <v>3.5902232120000002</v>
      </c>
      <c r="AM129">
        <f ca="1">OFFSET('ASWING AERO'!$F$24,((ROW('ASWING AERO'!$A108)-ROW('ASWING AERO'!$A$24))*16/100),0)</f>
        <v>0.25</v>
      </c>
      <c r="AN129" s="207">
        <f ca="1">OFFSET('ASWING AERO'!$J$24,((ROW('ASWING AERO'!$A108)-ROW('ASWING AERO'!$A$24))*16/100),0)</f>
        <v>3.35</v>
      </c>
      <c r="AO129" s="207">
        <f ca="1">OFFSET('ASWING AERO'!$N$24,((ROW('ASWING AERO'!$A108)-ROW('ASWING AERO'!$A$24))*16/100),0)</f>
        <v>-0.15</v>
      </c>
      <c r="AP129" s="207">
        <f ca="1">OFFSET('ASWING AERO'!$O$24,((ROW('ASWING AERO'!$A108)-ROW('ASWING AERO'!$A$24))*16/100),0)</f>
        <v>1.85</v>
      </c>
      <c r="AQ129" s="207">
        <f ca="1">OFFSET('ASWING AERO'!$P$24,((ROW('ASWING AERO'!$A108)-ROW('ASWING AERO'!$A$24))*16/100),0)</f>
        <v>-1.55</v>
      </c>
      <c r="AR129" s="8">
        <f ca="1">OFFSET('ASWING AERO'!$M$24,((ROW('ASWING AERO'!$A108)-ROW('ASWING AERO'!$A$24))*16/100),0)</f>
        <v>5.9690260418206069</v>
      </c>
    </row>
    <row r="130" spans="1:44" x14ac:dyDescent="0.25">
      <c r="A130">
        <f>Loads!A105</f>
        <v>85</v>
      </c>
      <c r="B130">
        <v>85</v>
      </c>
      <c r="C130">
        <f t="shared" si="19"/>
        <v>0.37821933625000004</v>
      </c>
      <c r="D130">
        <f>Loads!B105</f>
        <v>20.469160759999998</v>
      </c>
      <c r="E130">
        <f t="shared" si="20"/>
        <v>0</v>
      </c>
      <c r="F130">
        <f t="shared" si="21"/>
        <v>0</v>
      </c>
      <c r="G130" s="560">
        <f>Stiffness!AQ129/144</f>
        <v>231485.55381767431</v>
      </c>
      <c r="H130" s="560">
        <f>Stiffness!AV129/144</f>
        <v>214944.427644421</v>
      </c>
      <c r="I130">
        <v>0</v>
      </c>
      <c r="J130">
        <v>0</v>
      </c>
      <c r="K130">
        <v>0</v>
      </c>
      <c r="L130" s="560">
        <f>Stiffness!BC129/144</f>
        <v>18246755.959471643</v>
      </c>
      <c r="M130">
        <v>0</v>
      </c>
      <c r="N130">
        <v>0</v>
      </c>
      <c r="O130">
        <v>0</v>
      </c>
      <c r="P130">
        <v>0</v>
      </c>
      <c r="Q130">
        <v>0</v>
      </c>
      <c r="R130">
        <f>'Weight '!BT131*'Weight '!$E$36/Stiffness!D129</f>
        <v>6.5272533329455831</v>
      </c>
      <c r="S130">
        <f ca="1">'Weight '!BU131-$AL129*$AM129</f>
        <v>0.80420124839175433</v>
      </c>
      <c r="T130" s="2">
        <v>0</v>
      </c>
      <c r="U130">
        <v>0</v>
      </c>
      <c r="V130">
        <v>0</v>
      </c>
      <c r="W130">
        <v>0</v>
      </c>
      <c r="X130">
        <v>0</v>
      </c>
      <c r="Y130">
        <v>0</v>
      </c>
      <c r="Z130">
        <f ca="1">Stiffness!CV129-AL130*AM130</f>
        <v>0.31848916339319377</v>
      </c>
      <c r="AA130">
        <v>0</v>
      </c>
      <c r="AB130">
        <v>0</v>
      </c>
      <c r="AC130" s="207">
        <v>0</v>
      </c>
      <c r="AD130">
        <f t="shared" si="22"/>
        <v>2E-3</v>
      </c>
      <c r="AE130">
        <f t="shared" si="23"/>
        <v>2E-3</v>
      </c>
      <c r="AF130">
        <f t="shared" ca="1" si="24"/>
        <v>0</v>
      </c>
      <c r="AG130">
        <f t="shared" si="25"/>
        <v>0.32151821894999999</v>
      </c>
      <c r="AH130" s="565">
        <f>Sizing!AD145*(Sizing!CO145+Sizing!CP145) / (12^3)</f>
        <v>3.3296310017155114E-3</v>
      </c>
      <c r="AI130">
        <f t="shared" si="28"/>
        <v>0</v>
      </c>
      <c r="AJ130">
        <f t="shared" si="26"/>
        <v>0</v>
      </c>
      <c r="AK130">
        <f t="shared" si="27"/>
        <v>0</v>
      </c>
      <c r="AL130" s="207">
        <f>Loads!C105</f>
        <v>3.5724246550000003</v>
      </c>
      <c r="AM130">
        <f ca="1">OFFSET('ASWING AERO'!$F$24,((ROW('ASWING AERO'!$A109)-ROW('ASWING AERO'!$A$24))*16/100),0)</f>
        <v>0.25</v>
      </c>
      <c r="AN130" s="207">
        <f ca="1">OFFSET('ASWING AERO'!$J$24,((ROW('ASWING AERO'!$A109)-ROW('ASWING AERO'!$A$24))*16/100),0)</f>
        <v>3.35</v>
      </c>
      <c r="AO130" s="207">
        <f ca="1">OFFSET('ASWING AERO'!$N$24,((ROW('ASWING AERO'!$A109)-ROW('ASWING AERO'!$A$24))*16/100),0)</f>
        <v>-0.15</v>
      </c>
      <c r="AP130" s="207">
        <f ca="1">OFFSET('ASWING AERO'!$O$24,((ROW('ASWING AERO'!$A109)-ROW('ASWING AERO'!$A$24))*16/100),0)</f>
        <v>1.85</v>
      </c>
      <c r="AQ130" s="207">
        <f ca="1">OFFSET('ASWING AERO'!$P$24,((ROW('ASWING AERO'!$A109)-ROW('ASWING AERO'!$A$24))*16/100),0)</f>
        <v>-1.55</v>
      </c>
      <c r="AR130" s="8">
        <f ca="1">OFFSET('ASWING AERO'!$M$24,((ROW('ASWING AERO'!$A109)-ROW('ASWING AERO'!$A$24))*16/100),0)</f>
        <v>5.9690260418206069</v>
      </c>
    </row>
    <row r="131" spans="1:44" x14ac:dyDescent="0.25">
      <c r="A131">
        <f>Loads!A106</f>
        <v>86</v>
      </c>
      <c r="B131">
        <v>86</v>
      </c>
      <c r="C131">
        <f t="shared" si="19"/>
        <v>0.38266897550000001</v>
      </c>
      <c r="D131">
        <f>Loads!B106</f>
        <v>20.709974415999998</v>
      </c>
      <c r="E131">
        <f t="shared" si="20"/>
        <v>0</v>
      </c>
      <c r="F131">
        <f t="shared" si="21"/>
        <v>0</v>
      </c>
      <c r="G131" s="560">
        <f>Stiffness!AQ130/144</f>
        <v>228418.67628530384</v>
      </c>
      <c r="H131" s="560">
        <f>Stiffness!AV130/144</f>
        <v>212807.96806827036</v>
      </c>
      <c r="I131">
        <v>0</v>
      </c>
      <c r="J131">
        <v>0</v>
      </c>
      <c r="K131">
        <v>0</v>
      </c>
      <c r="L131" s="560">
        <f>Stiffness!BC130/144</f>
        <v>17975385.173385229</v>
      </c>
      <c r="M131">
        <v>0</v>
      </c>
      <c r="N131">
        <v>0</v>
      </c>
      <c r="O131">
        <v>0</v>
      </c>
      <c r="P131">
        <v>0</v>
      </c>
      <c r="Q131">
        <v>0</v>
      </c>
      <c r="R131">
        <f>'Weight '!BT132*'Weight '!$E$36/Stiffness!D130</f>
        <v>6.4957911931127432</v>
      </c>
      <c r="S131">
        <f ca="1">'Weight '!BU132-$AL130*$AM130</f>
        <v>0.80005360187774321</v>
      </c>
      <c r="T131" s="2">
        <v>0</v>
      </c>
      <c r="U131">
        <v>0</v>
      </c>
      <c r="V131">
        <v>0</v>
      </c>
      <c r="W131">
        <v>0</v>
      </c>
      <c r="X131">
        <v>0</v>
      </c>
      <c r="Y131">
        <v>0</v>
      </c>
      <c r="Z131">
        <f ca="1">Stiffness!CV130-AL131*AM131</f>
        <v>0.31689401111439641</v>
      </c>
      <c r="AA131">
        <v>0</v>
      </c>
      <c r="AB131">
        <v>0</v>
      </c>
      <c r="AC131" s="207">
        <v>0</v>
      </c>
      <c r="AD131">
        <f t="shared" si="22"/>
        <v>2E-3</v>
      </c>
      <c r="AE131">
        <f t="shared" si="23"/>
        <v>2E-3</v>
      </c>
      <c r="AF131">
        <f t="shared" ca="1" si="24"/>
        <v>0</v>
      </c>
      <c r="AG131">
        <f t="shared" si="25"/>
        <v>0.31991634882000003</v>
      </c>
      <c r="AH131" s="565">
        <f>Sizing!AD146*(Sizing!CO146+Sizing!CP146) / (12^3)</f>
        <v>3.2965358332730354E-3</v>
      </c>
      <c r="AI131">
        <f t="shared" si="28"/>
        <v>0</v>
      </c>
      <c r="AJ131">
        <f t="shared" si="26"/>
        <v>0</v>
      </c>
      <c r="AK131">
        <f t="shared" si="27"/>
        <v>0</v>
      </c>
      <c r="AL131" s="207">
        <f>Loads!C106</f>
        <v>3.5546260980000004</v>
      </c>
      <c r="AM131">
        <f ca="1">OFFSET('ASWING AERO'!$F$24,((ROW('ASWING AERO'!$A110)-ROW('ASWING AERO'!$A$24))*16/100),0)</f>
        <v>0.25</v>
      </c>
      <c r="AN131" s="207">
        <f ca="1">OFFSET('ASWING AERO'!$J$24,((ROW('ASWING AERO'!$A110)-ROW('ASWING AERO'!$A$24))*16/100),0)</f>
        <v>3.35</v>
      </c>
      <c r="AO131" s="207">
        <f ca="1">OFFSET('ASWING AERO'!$N$24,((ROW('ASWING AERO'!$A110)-ROW('ASWING AERO'!$A$24))*16/100),0)</f>
        <v>-0.15</v>
      </c>
      <c r="AP131" s="207">
        <f ca="1">OFFSET('ASWING AERO'!$O$24,((ROW('ASWING AERO'!$A110)-ROW('ASWING AERO'!$A$24))*16/100),0)</f>
        <v>1.85</v>
      </c>
      <c r="AQ131" s="207">
        <f ca="1">OFFSET('ASWING AERO'!$P$24,((ROW('ASWING AERO'!$A110)-ROW('ASWING AERO'!$A$24))*16/100),0)</f>
        <v>-1.55</v>
      </c>
      <c r="AR131" s="8">
        <f ca="1">OFFSET('ASWING AERO'!$M$24,((ROW('ASWING AERO'!$A110)-ROW('ASWING AERO'!$A$24))*16/100),0)</f>
        <v>5.9690260418206069</v>
      </c>
    </row>
    <row r="132" spans="1:44" x14ac:dyDescent="0.25">
      <c r="A132">
        <f>Loads!A107</f>
        <v>87</v>
      </c>
      <c r="B132">
        <v>87</v>
      </c>
      <c r="C132">
        <f t="shared" si="19"/>
        <v>0.38711861475000003</v>
      </c>
      <c r="D132">
        <f>Loads!B107</f>
        <v>20.950788071999998</v>
      </c>
      <c r="E132">
        <f t="shared" si="20"/>
        <v>0</v>
      </c>
      <c r="F132">
        <f t="shared" si="21"/>
        <v>0</v>
      </c>
      <c r="G132" s="560">
        <f>Stiffness!AQ131/144</f>
        <v>225372.25049429864</v>
      </c>
      <c r="H132" s="560">
        <f>Stiffness!AV131/144</f>
        <v>210682.17935693066</v>
      </c>
      <c r="I132">
        <v>0</v>
      </c>
      <c r="J132">
        <v>0</v>
      </c>
      <c r="K132">
        <v>0</v>
      </c>
      <c r="L132" s="560">
        <f>Stiffness!BC131/144</f>
        <v>17706718.415350776</v>
      </c>
      <c r="M132">
        <v>0</v>
      </c>
      <c r="N132">
        <v>0</v>
      </c>
      <c r="O132">
        <v>0</v>
      </c>
      <c r="P132">
        <v>0</v>
      </c>
      <c r="Q132">
        <v>0</v>
      </c>
      <c r="R132">
        <f>'Weight '!BT133*'Weight '!$E$36/Stiffness!D131</f>
        <v>6.464329053279906</v>
      </c>
      <c r="S132">
        <f ca="1">'Weight '!BU133-$AL131*$AM131</f>
        <v>0.79590599443892696</v>
      </c>
      <c r="T132" s="2">
        <v>0</v>
      </c>
      <c r="U132">
        <v>0</v>
      </c>
      <c r="V132">
        <v>0</v>
      </c>
      <c r="W132">
        <v>0</v>
      </c>
      <c r="X132">
        <v>0</v>
      </c>
      <c r="Y132">
        <v>0</v>
      </c>
      <c r="Z132">
        <f ca="1">Stiffness!CV131-AL132*AM132</f>
        <v>0.31529890615898637</v>
      </c>
      <c r="AA132">
        <v>0</v>
      </c>
      <c r="AB132">
        <v>0</v>
      </c>
      <c r="AC132" s="207">
        <v>0</v>
      </c>
      <c r="AD132">
        <f t="shared" si="22"/>
        <v>2E-3</v>
      </c>
      <c r="AE132">
        <f t="shared" si="23"/>
        <v>2E-3</v>
      </c>
      <c r="AF132">
        <f t="shared" ca="1" si="24"/>
        <v>0</v>
      </c>
      <c r="AG132">
        <f t="shared" si="25"/>
        <v>0.31831447869000001</v>
      </c>
      <c r="AH132" s="565">
        <f>Sizing!AD147*(Sizing!CO147+Sizing!CP147) / (12^3)</f>
        <v>3.2636059635669811E-3</v>
      </c>
      <c r="AI132">
        <f t="shared" si="28"/>
        <v>0</v>
      </c>
      <c r="AJ132">
        <f t="shared" si="26"/>
        <v>0</v>
      </c>
      <c r="AK132">
        <f t="shared" si="27"/>
        <v>0</v>
      </c>
      <c r="AL132" s="207">
        <f>Loads!C107</f>
        <v>3.5368275410000001</v>
      </c>
      <c r="AM132">
        <f ca="1">OFFSET('ASWING AERO'!$F$24,((ROW('ASWING AERO'!$A111)-ROW('ASWING AERO'!$A$24))*16/100),0)</f>
        <v>0.25</v>
      </c>
      <c r="AN132" s="207">
        <f ca="1">OFFSET('ASWING AERO'!$J$24,((ROW('ASWING AERO'!$A111)-ROW('ASWING AERO'!$A$24))*16/100),0)</f>
        <v>3.35</v>
      </c>
      <c r="AO132" s="207">
        <f ca="1">OFFSET('ASWING AERO'!$N$24,((ROW('ASWING AERO'!$A111)-ROW('ASWING AERO'!$A$24))*16/100),0)</f>
        <v>-0.15</v>
      </c>
      <c r="AP132" s="207">
        <f ca="1">OFFSET('ASWING AERO'!$O$24,((ROW('ASWING AERO'!$A111)-ROW('ASWING AERO'!$A$24))*16/100),0)</f>
        <v>1.85</v>
      </c>
      <c r="AQ132" s="207">
        <f ca="1">OFFSET('ASWING AERO'!$P$24,((ROW('ASWING AERO'!$A111)-ROW('ASWING AERO'!$A$24))*16/100),0)</f>
        <v>-1.55</v>
      </c>
      <c r="AR132" s="8">
        <f ca="1">OFFSET('ASWING AERO'!$M$24,((ROW('ASWING AERO'!$A111)-ROW('ASWING AERO'!$A$24))*16/100),0)</f>
        <v>5.9690260418206069</v>
      </c>
    </row>
    <row r="133" spans="1:44" x14ac:dyDescent="0.25">
      <c r="A133">
        <f>Loads!A108</f>
        <v>88</v>
      </c>
      <c r="B133">
        <v>88</v>
      </c>
      <c r="C133">
        <f t="shared" si="19"/>
        <v>0.39156825400000006</v>
      </c>
      <c r="D133">
        <f>Loads!B108</f>
        <v>21.191601727999998</v>
      </c>
      <c r="E133">
        <f t="shared" si="20"/>
        <v>0</v>
      </c>
      <c r="F133">
        <f t="shared" si="21"/>
        <v>0</v>
      </c>
      <c r="G133" s="560">
        <f>Stiffness!AQ132/144</f>
        <v>222346.27644465931</v>
      </c>
      <c r="H133" s="560">
        <f>Stiffness!AV132/144</f>
        <v>208567.06151040253</v>
      </c>
      <c r="I133">
        <v>0</v>
      </c>
      <c r="J133">
        <v>0</v>
      </c>
      <c r="K133">
        <v>0</v>
      </c>
      <c r="L133" s="560">
        <f>Stiffness!BC132/144</f>
        <v>17440742.145886008</v>
      </c>
      <c r="M133">
        <v>0</v>
      </c>
      <c r="N133">
        <v>0</v>
      </c>
      <c r="O133">
        <v>0</v>
      </c>
      <c r="P133">
        <v>0</v>
      </c>
      <c r="Q133">
        <v>0</v>
      </c>
      <c r="R133">
        <f>'Weight '!BT134*'Weight '!$E$36/Stiffness!D132</f>
        <v>6.4328669134470662</v>
      </c>
      <c r="S133">
        <f ca="1">'Weight '!BU134-$AL132*$AM132</f>
        <v>0.79175842664863683</v>
      </c>
      <c r="T133" s="2">
        <v>0</v>
      </c>
      <c r="U133">
        <v>0</v>
      </c>
      <c r="V133">
        <v>0</v>
      </c>
      <c r="W133">
        <v>0</v>
      </c>
      <c r="X133">
        <v>0</v>
      </c>
      <c r="Y133">
        <v>0</v>
      </c>
      <c r="Z133">
        <f ca="1">Stiffness!CV132-AL133*AM133</f>
        <v>0.31370385686805102</v>
      </c>
      <c r="AA133">
        <v>0</v>
      </c>
      <c r="AB133">
        <v>0</v>
      </c>
      <c r="AC133" s="207">
        <v>0</v>
      </c>
      <c r="AD133">
        <f t="shared" si="22"/>
        <v>2E-3</v>
      </c>
      <c r="AE133">
        <f t="shared" si="23"/>
        <v>2E-3</v>
      </c>
      <c r="AF133">
        <f t="shared" ca="1" si="24"/>
        <v>0</v>
      </c>
      <c r="AG133">
        <f t="shared" si="25"/>
        <v>0.31671260856</v>
      </c>
      <c r="AH133" s="565">
        <f>Sizing!AD148*(Sizing!CO148+Sizing!CP148) / (12^3)</f>
        <v>3.2308413925973521E-3</v>
      </c>
      <c r="AI133">
        <f t="shared" si="28"/>
        <v>0</v>
      </c>
      <c r="AJ133">
        <f t="shared" si="26"/>
        <v>0</v>
      </c>
      <c r="AK133">
        <f t="shared" si="27"/>
        <v>0</v>
      </c>
      <c r="AL133" s="207">
        <f>Loads!C108</f>
        <v>3.5190289840000002</v>
      </c>
      <c r="AM133">
        <f ca="1">OFFSET('ASWING AERO'!$F$24,((ROW('ASWING AERO'!$A112)-ROW('ASWING AERO'!$A$24))*16/100),0)</f>
        <v>0.25</v>
      </c>
      <c r="AN133" s="207">
        <f ca="1">OFFSET('ASWING AERO'!$J$24,((ROW('ASWING AERO'!$A112)-ROW('ASWING AERO'!$A$24))*16/100),0)</f>
        <v>3.1</v>
      </c>
      <c r="AO133" s="207">
        <f ca="1">OFFSET('ASWING AERO'!$N$24,((ROW('ASWING AERO'!$A112)-ROW('ASWING AERO'!$A$24))*16/100),0)</f>
        <v>-0.15</v>
      </c>
      <c r="AP133" s="207">
        <f ca="1">OFFSET('ASWING AERO'!$O$24,((ROW('ASWING AERO'!$A112)-ROW('ASWING AERO'!$A$24))*16/100),0)</f>
        <v>1.85</v>
      </c>
      <c r="AQ133" s="207">
        <f ca="1">OFFSET('ASWING AERO'!$P$24,((ROW('ASWING AERO'!$A112)-ROW('ASWING AERO'!$A$24))*16/100),0)</f>
        <v>-1.55</v>
      </c>
      <c r="AR133" s="8">
        <f ca="1">OFFSET('ASWING AERO'!$M$24,((ROW('ASWING AERO'!$A112)-ROW('ASWING AERO'!$A$24))*16/100),0)</f>
        <v>5.9690260418206069</v>
      </c>
    </row>
    <row r="134" spans="1:44" x14ac:dyDescent="0.25">
      <c r="A134">
        <f>Loads!A109</f>
        <v>89</v>
      </c>
      <c r="B134">
        <v>89</v>
      </c>
      <c r="C134">
        <f t="shared" si="19"/>
        <v>0.39601789325000003</v>
      </c>
      <c r="D134">
        <f>Loads!B109</f>
        <v>21.432415383999999</v>
      </c>
      <c r="E134">
        <f t="shared" si="20"/>
        <v>0</v>
      </c>
      <c r="F134">
        <f t="shared" si="21"/>
        <v>0</v>
      </c>
      <c r="G134" s="560">
        <f>Stiffness!AQ133/144</f>
        <v>219340.75413638545</v>
      </c>
      <c r="H134" s="560">
        <f>Stiffness!AV133/144</f>
        <v>206462.6145286856</v>
      </c>
      <c r="I134">
        <v>0</v>
      </c>
      <c r="J134">
        <v>0</v>
      </c>
      <c r="K134">
        <v>0</v>
      </c>
      <c r="L134" s="560">
        <f>Stiffness!BC133/144</f>
        <v>17177442.825508494</v>
      </c>
      <c r="M134">
        <v>0</v>
      </c>
      <c r="N134">
        <v>0</v>
      </c>
      <c r="O134">
        <v>0</v>
      </c>
      <c r="P134">
        <v>0</v>
      </c>
      <c r="Q134">
        <v>0</v>
      </c>
      <c r="R134">
        <f>'Weight '!BT135*'Weight '!$E$36/Stiffness!D133</f>
        <v>6.401404773614229</v>
      </c>
      <c r="S134">
        <f ca="1">'Weight '!BU135-$AL133*$AM133</f>
        <v>0.78761089909147697</v>
      </c>
      <c r="T134" s="2">
        <v>0</v>
      </c>
      <c r="U134">
        <v>0</v>
      </c>
      <c r="V134">
        <v>0</v>
      </c>
      <c r="W134">
        <v>0</v>
      </c>
      <c r="X134">
        <v>0</v>
      </c>
      <c r="Y134">
        <v>0</v>
      </c>
      <c r="Z134">
        <f ca="1">Stiffness!CV133-AL134*AM134</f>
        <v>0.31210887236236773</v>
      </c>
      <c r="AA134">
        <v>0</v>
      </c>
      <c r="AB134">
        <v>0</v>
      </c>
      <c r="AC134" s="207">
        <v>0</v>
      </c>
      <c r="AD134">
        <f t="shared" si="22"/>
        <v>2E-3</v>
      </c>
      <c r="AE134">
        <f t="shared" si="23"/>
        <v>2E-3</v>
      </c>
      <c r="AF134">
        <f t="shared" ca="1" si="24"/>
        <v>0</v>
      </c>
      <c r="AG134">
        <f t="shared" si="25"/>
        <v>0.31511073843000004</v>
      </c>
      <c r="AH134" s="565">
        <f>Sizing!AD149*(Sizing!CO149+Sizing!CP149) / (12^3)</f>
        <v>3.1982421203641457E-3</v>
      </c>
      <c r="AI134">
        <f t="shared" si="28"/>
        <v>0</v>
      </c>
      <c r="AJ134">
        <f t="shared" si="26"/>
        <v>0</v>
      </c>
      <c r="AK134">
        <f t="shared" si="27"/>
        <v>0</v>
      </c>
      <c r="AL134" s="207">
        <f>Loads!C109</f>
        <v>3.5012304270000003</v>
      </c>
      <c r="AM134">
        <f ca="1">OFFSET('ASWING AERO'!$F$24,((ROW('ASWING AERO'!$A113)-ROW('ASWING AERO'!$A$24))*16/100),0)</f>
        <v>0.25</v>
      </c>
      <c r="AN134" s="207">
        <f ca="1">OFFSET('ASWING AERO'!$J$24,((ROW('ASWING AERO'!$A113)-ROW('ASWING AERO'!$A$24))*16/100),0)</f>
        <v>3.1</v>
      </c>
      <c r="AO134" s="207">
        <f ca="1">OFFSET('ASWING AERO'!$N$24,((ROW('ASWING AERO'!$A113)-ROW('ASWING AERO'!$A$24))*16/100),0)</f>
        <v>-0.15</v>
      </c>
      <c r="AP134" s="207">
        <f ca="1">OFFSET('ASWING AERO'!$O$24,((ROW('ASWING AERO'!$A113)-ROW('ASWING AERO'!$A$24))*16/100),0)</f>
        <v>1.85</v>
      </c>
      <c r="AQ134" s="207">
        <f ca="1">OFFSET('ASWING AERO'!$P$24,((ROW('ASWING AERO'!$A113)-ROW('ASWING AERO'!$A$24))*16/100),0)</f>
        <v>-1.55</v>
      </c>
      <c r="AR134" s="8">
        <f ca="1">OFFSET('ASWING AERO'!$M$24,((ROW('ASWING AERO'!$A113)-ROW('ASWING AERO'!$A$24))*16/100),0)</f>
        <v>5.9690260418206069</v>
      </c>
    </row>
    <row r="135" spans="1:44" x14ac:dyDescent="0.25">
      <c r="A135">
        <f>Loads!A110</f>
        <v>90</v>
      </c>
      <c r="B135">
        <v>90</v>
      </c>
      <c r="C135">
        <f t="shared" si="19"/>
        <v>0.40046753250000006</v>
      </c>
      <c r="D135">
        <f>Loads!B110</f>
        <v>21.673229039999999</v>
      </c>
      <c r="E135">
        <f t="shared" si="20"/>
        <v>0</v>
      </c>
      <c r="F135">
        <f t="shared" si="21"/>
        <v>0</v>
      </c>
      <c r="G135" s="560">
        <f>Stiffness!AQ134/144</f>
        <v>55325.841767042592</v>
      </c>
      <c r="H135" s="560">
        <f>Stiffness!AV134/144</f>
        <v>50140.954902205878</v>
      </c>
      <c r="I135">
        <v>0</v>
      </c>
      <c r="J135">
        <v>0</v>
      </c>
      <c r="K135">
        <v>0</v>
      </c>
      <c r="L135" s="560">
        <f>Stiffness!BC134/144</f>
        <v>16916806.914735857</v>
      </c>
      <c r="M135">
        <v>0</v>
      </c>
      <c r="N135">
        <v>0</v>
      </c>
      <c r="O135">
        <v>0</v>
      </c>
      <c r="P135">
        <v>0</v>
      </c>
      <c r="Q135">
        <v>0</v>
      </c>
      <c r="R135">
        <f>'Weight '!BT136*'Weight '!$E$36/Stiffness!D134</f>
        <v>6.2205273513144776</v>
      </c>
      <c r="S135">
        <f ca="1">'Weight '!BU136-$AL134*$AM134</f>
        <v>0.8020377349162009</v>
      </c>
      <c r="T135" s="2">
        <v>0</v>
      </c>
      <c r="U135">
        <v>0</v>
      </c>
      <c r="V135">
        <v>0</v>
      </c>
      <c r="W135">
        <v>0</v>
      </c>
      <c r="X135">
        <v>0</v>
      </c>
      <c r="Y135">
        <v>0</v>
      </c>
      <c r="Z135">
        <f ca="1">Stiffness!CV134-AL135*AM135</f>
        <v>0.31051396256722397</v>
      </c>
      <c r="AA135">
        <v>0</v>
      </c>
      <c r="AB135">
        <v>0</v>
      </c>
      <c r="AC135" s="207">
        <v>0</v>
      </c>
      <c r="AD135">
        <f t="shared" si="22"/>
        <v>2E-3</v>
      </c>
      <c r="AE135">
        <f t="shared" si="23"/>
        <v>2E-3</v>
      </c>
      <c r="AF135">
        <f t="shared" ca="1" si="24"/>
        <v>0</v>
      </c>
      <c r="AG135">
        <f t="shared" si="25"/>
        <v>0.31350886830000002</v>
      </c>
      <c r="AH135" s="565">
        <f>Sizing!AD150*(Sizing!CO150+Sizing!CP150) / (12^3)</f>
        <v>3.1658081468673624E-3</v>
      </c>
      <c r="AI135">
        <f t="shared" si="28"/>
        <v>0</v>
      </c>
      <c r="AJ135">
        <f t="shared" si="26"/>
        <v>0</v>
      </c>
      <c r="AK135">
        <f t="shared" si="27"/>
        <v>0</v>
      </c>
      <c r="AL135" s="207">
        <f>Loads!C110</f>
        <v>3.4834318700000004</v>
      </c>
      <c r="AM135">
        <f ca="1">OFFSET('ASWING AERO'!$F$24,((ROW('ASWING AERO'!$A114)-ROW('ASWING AERO'!$A$24))*16/100),0)</f>
        <v>0.25</v>
      </c>
      <c r="AN135" s="207">
        <f ca="1">OFFSET('ASWING AERO'!$J$24,((ROW('ASWING AERO'!$A114)-ROW('ASWING AERO'!$A$24))*16/100),0)</f>
        <v>3.1</v>
      </c>
      <c r="AO135" s="207">
        <f ca="1">OFFSET('ASWING AERO'!$N$24,((ROW('ASWING AERO'!$A114)-ROW('ASWING AERO'!$A$24))*16/100),0)</f>
        <v>-0.15</v>
      </c>
      <c r="AP135" s="207">
        <f ca="1">OFFSET('ASWING AERO'!$O$24,((ROW('ASWING AERO'!$A114)-ROW('ASWING AERO'!$A$24))*16/100),0)</f>
        <v>1.85</v>
      </c>
      <c r="AQ135" s="207">
        <f ca="1">OFFSET('ASWING AERO'!$P$24,((ROW('ASWING AERO'!$A114)-ROW('ASWING AERO'!$A$24))*16/100),0)</f>
        <v>-1.55</v>
      </c>
      <c r="AR135" s="8">
        <f ca="1">OFFSET('ASWING AERO'!$M$24,((ROW('ASWING AERO'!$A114)-ROW('ASWING AERO'!$A$24))*16/100),0)</f>
        <v>5.9690260418206069</v>
      </c>
    </row>
    <row r="136" spans="1:44" x14ac:dyDescent="0.25">
      <c r="A136">
        <f>Loads!A111</f>
        <v>91</v>
      </c>
      <c r="B136">
        <v>91</v>
      </c>
      <c r="C136">
        <f t="shared" si="19"/>
        <v>0.40491717175000003</v>
      </c>
      <c r="D136">
        <f>Loads!B111</f>
        <v>21.914042695999999</v>
      </c>
      <c r="E136">
        <f t="shared" si="20"/>
        <v>0</v>
      </c>
      <c r="F136">
        <f t="shared" si="21"/>
        <v>0</v>
      </c>
      <c r="G136" s="560">
        <f>Stiffness!AQ135/144</f>
        <v>54591.335058273035</v>
      </c>
      <c r="H136" s="560">
        <f>Stiffness!AV135/144</f>
        <v>49629.874605847988</v>
      </c>
      <c r="I136">
        <v>0</v>
      </c>
      <c r="J136">
        <v>0</v>
      </c>
      <c r="K136">
        <v>0</v>
      </c>
      <c r="L136" s="560">
        <f>Stiffness!BC135/144</f>
        <v>16658820.874085717</v>
      </c>
      <c r="M136">
        <v>0</v>
      </c>
      <c r="N136">
        <v>0</v>
      </c>
      <c r="O136">
        <v>0</v>
      </c>
      <c r="P136">
        <v>0</v>
      </c>
      <c r="Q136">
        <v>0</v>
      </c>
      <c r="R136">
        <f>'Weight '!BT137*'Weight '!$E$36/Stiffness!D135</f>
        <v>6.1890652114816396</v>
      </c>
      <c r="S136">
        <f ca="1">'Weight '!BU137-$AL135*$AM135</f>
        <v>0.79788638858655481</v>
      </c>
      <c r="T136" s="2">
        <v>0</v>
      </c>
      <c r="U136">
        <v>0</v>
      </c>
      <c r="V136">
        <v>0</v>
      </c>
      <c r="W136">
        <v>0</v>
      </c>
      <c r="X136">
        <v>0</v>
      </c>
      <c r="Y136">
        <v>0</v>
      </c>
      <c r="Z136">
        <f ca="1">Stiffness!CV135-AL136*AM136</f>
        <v>0.30891913823611394</v>
      </c>
      <c r="AA136">
        <v>0</v>
      </c>
      <c r="AB136">
        <v>0</v>
      </c>
      <c r="AC136" s="207">
        <v>0</v>
      </c>
      <c r="AD136">
        <f t="shared" si="22"/>
        <v>2E-3</v>
      </c>
      <c r="AE136">
        <f t="shared" si="23"/>
        <v>2E-3</v>
      </c>
      <c r="AF136">
        <f t="shared" ca="1" si="24"/>
        <v>0</v>
      </c>
      <c r="AG136">
        <f t="shared" si="25"/>
        <v>0.31190699817</v>
      </c>
      <c r="AH136" s="565">
        <f>Sizing!AD151*(Sizing!CO151+Sizing!CP151) / (12^3)</f>
        <v>3.1335394721070022E-3</v>
      </c>
      <c r="AI136">
        <f t="shared" si="28"/>
        <v>0</v>
      </c>
      <c r="AJ136">
        <f t="shared" si="26"/>
        <v>0</v>
      </c>
      <c r="AK136">
        <f t="shared" si="27"/>
        <v>0</v>
      </c>
      <c r="AL136" s="207">
        <f>Loads!C111</f>
        <v>3.4656333130000001</v>
      </c>
      <c r="AM136">
        <f ca="1">OFFSET('ASWING AERO'!$F$24,((ROW('ASWING AERO'!$A115)-ROW('ASWING AERO'!$A$24))*16/100),0)</f>
        <v>0.25</v>
      </c>
      <c r="AN136" s="207">
        <f ca="1">OFFSET('ASWING AERO'!$J$24,((ROW('ASWING AERO'!$A115)-ROW('ASWING AERO'!$A$24))*16/100),0)</f>
        <v>3.1</v>
      </c>
      <c r="AO136" s="207">
        <f ca="1">OFFSET('ASWING AERO'!$N$24,((ROW('ASWING AERO'!$A115)-ROW('ASWING AERO'!$A$24))*16/100),0)</f>
        <v>-0.15</v>
      </c>
      <c r="AP136" s="207">
        <f ca="1">OFFSET('ASWING AERO'!$O$24,((ROW('ASWING AERO'!$A115)-ROW('ASWING AERO'!$A$24))*16/100),0)</f>
        <v>1.85</v>
      </c>
      <c r="AQ136" s="207">
        <f ca="1">OFFSET('ASWING AERO'!$P$24,((ROW('ASWING AERO'!$A115)-ROW('ASWING AERO'!$A$24))*16/100),0)</f>
        <v>-1.55</v>
      </c>
      <c r="AR136" s="8">
        <f ca="1">OFFSET('ASWING AERO'!$M$24,((ROW('ASWING AERO'!$A115)-ROW('ASWING AERO'!$A$24))*16/100),0)</f>
        <v>5.9690260418206069</v>
      </c>
    </row>
    <row r="137" spans="1:44" x14ac:dyDescent="0.25">
      <c r="A137">
        <f>Loads!A112</f>
        <v>92</v>
      </c>
      <c r="B137">
        <v>92</v>
      </c>
      <c r="C137">
        <f t="shared" si="19"/>
        <v>0.40936681100000005</v>
      </c>
      <c r="D137">
        <f>Loads!B112</f>
        <v>22.154856351999999</v>
      </c>
      <c r="E137">
        <f t="shared" si="20"/>
        <v>0</v>
      </c>
      <c r="F137">
        <f t="shared" si="21"/>
        <v>0</v>
      </c>
      <c r="G137" s="560">
        <f>Stiffness!AQ136/144</f>
        <v>53861.736646310717</v>
      </c>
      <c r="H137" s="560">
        <f>Stiffness!AV136/144</f>
        <v>49121.412357111418</v>
      </c>
      <c r="I137">
        <v>0</v>
      </c>
      <c r="J137">
        <v>0</v>
      </c>
      <c r="K137">
        <v>0</v>
      </c>
      <c r="L137" s="560">
        <f>Stiffness!BC136/144</f>
        <v>16403471.164075712</v>
      </c>
      <c r="M137">
        <v>0</v>
      </c>
      <c r="N137">
        <v>0</v>
      </c>
      <c r="O137">
        <v>0</v>
      </c>
      <c r="P137">
        <v>0</v>
      </c>
      <c r="Q137">
        <v>0</v>
      </c>
      <c r="R137">
        <f>'Weight '!BT138*'Weight '!$E$36/Stiffness!D136</f>
        <v>6.1576030716488024</v>
      </c>
      <c r="S137">
        <f ca="1">'Weight '!BU138-$AL136*$AM136</f>
        <v>0.79373504547028262</v>
      </c>
      <c r="T137" s="2">
        <v>0</v>
      </c>
      <c r="U137">
        <v>0</v>
      </c>
      <c r="V137">
        <v>0</v>
      </c>
      <c r="W137">
        <v>0</v>
      </c>
      <c r="X137">
        <v>0</v>
      </c>
      <c r="Y137">
        <v>0</v>
      </c>
      <c r="Z137">
        <f ca="1">Stiffness!CV136-AL137*AM137</f>
        <v>0.30732441097333119</v>
      </c>
      <c r="AA137">
        <v>0</v>
      </c>
      <c r="AB137">
        <v>0</v>
      </c>
      <c r="AC137" s="207">
        <v>0</v>
      </c>
      <c r="AD137">
        <f t="shared" si="22"/>
        <v>2E-3</v>
      </c>
      <c r="AE137">
        <f t="shared" si="23"/>
        <v>2E-3</v>
      </c>
      <c r="AF137">
        <f t="shared" ca="1" si="24"/>
        <v>0</v>
      </c>
      <c r="AG137">
        <f t="shared" si="25"/>
        <v>0.31030512803999999</v>
      </c>
      <c r="AH137" s="565">
        <f>Sizing!AD152*(Sizing!CO152+Sizing!CP152) / (12^3)</f>
        <v>3.1014360960830655E-3</v>
      </c>
      <c r="AI137">
        <f t="shared" si="28"/>
        <v>0</v>
      </c>
      <c r="AJ137">
        <f t="shared" si="26"/>
        <v>0</v>
      </c>
      <c r="AK137">
        <f t="shared" si="27"/>
        <v>0</v>
      </c>
      <c r="AL137" s="207">
        <f>Loads!C112</f>
        <v>3.4478347560000002</v>
      </c>
      <c r="AM137">
        <f ca="1">OFFSET('ASWING AERO'!$F$24,((ROW('ASWING AERO'!$A116)-ROW('ASWING AERO'!$A$24))*16/100),0)</f>
        <v>0.25</v>
      </c>
      <c r="AN137" s="207">
        <f ca="1">OFFSET('ASWING AERO'!$J$24,((ROW('ASWING AERO'!$A116)-ROW('ASWING AERO'!$A$24))*16/100),0)</f>
        <v>3.1</v>
      </c>
      <c r="AO137" s="207">
        <f ca="1">OFFSET('ASWING AERO'!$N$24,((ROW('ASWING AERO'!$A116)-ROW('ASWING AERO'!$A$24))*16/100),0)</f>
        <v>-0.15</v>
      </c>
      <c r="AP137" s="207">
        <f ca="1">OFFSET('ASWING AERO'!$O$24,((ROW('ASWING AERO'!$A116)-ROW('ASWING AERO'!$A$24))*16/100),0)</f>
        <v>1.85</v>
      </c>
      <c r="AQ137" s="207">
        <f ca="1">OFFSET('ASWING AERO'!$P$24,((ROW('ASWING AERO'!$A116)-ROW('ASWING AERO'!$A$24))*16/100),0)</f>
        <v>-1.55</v>
      </c>
      <c r="AR137" s="8">
        <f ca="1">OFFSET('ASWING AERO'!$M$24,((ROW('ASWING AERO'!$A116)-ROW('ASWING AERO'!$A$24))*16/100),0)</f>
        <v>5.9690260418206069</v>
      </c>
    </row>
    <row r="138" spans="1:44" x14ac:dyDescent="0.25">
      <c r="A138">
        <f>Loads!A113</f>
        <v>93</v>
      </c>
      <c r="B138">
        <v>93</v>
      </c>
      <c r="C138">
        <f t="shared" si="19"/>
        <v>0.41381645025000008</v>
      </c>
      <c r="D138">
        <f>Loads!B113</f>
        <v>22.395670008</v>
      </c>
      <c r="E138">
        <f t="shared" si="20"/>
        <v>0</v>
      </c>
      <c r="F138">
        <f t="shared" si="21"/>
        <v>0</v>
      </c>
      <c r="G138" s="560">
        <f>Stiffness!AQ137/144</f>
        <v>53137.046531155669</v>
      </c>
      <c r="H138" s="560">
        <f>Stiffness!AV137/144</f>
        <v>48615.568155996145</v>
      </c>
      <c r="I138">
        <v>0</v>
      </c>
      <c r="J138">
        <v>0</v>
      </c>
      <c r="K138">
        <v>0</v>
      </c>
      <c r="L138" s="560">
        <f>Stiffness!BC137/144</f>
        <v>16150744.245223472</v>
      </c>
      <c r="M138">
        <v>0</v>
      </c>
      <c r="N138">
        <v>0</v>
      </c>
      <c r="O138">
        <v>0</v>
      </c>
      <c r="P138">
        <v>0</v>
      </c>
      <c r="Q138">
        <v>0</v>
      </c>
      <c r="R138">
        <f>'Weight '!BT139*'Weight '!$E$36/Stiffness!D137</f>
        <v>6.1261409318159625</v>
      </c>
      <c r="S138">
        <f ca="1">'Weight '!BU139-$AL137*$AM137</f>
        <v>0.78958370561689162</v>
      </c>
      <c r="T138" s="2">
        <v>0</v>
      </c>
      <c r="U138">
        <v>0</v>
      </c>
      <c r="V138">
        <v>0</v>
      </c>
      <c r="W138">
        <v>0</v>
      </c>
      <c r="X138">
        <v>0</v>
      </c>
      <c r="Y138">
        <v>0</v>
      </c>
      <c r="Z138">
        <f ca="1">Stiffness!CV137-AL138*AM138</f>
        <v>0.30572979325549554</v>
      </c>
      <c r="AA138">
        <v>0</v>
      </c>
      <c r="AB138">
        <v>0</v>
      </c>
      <c r="AC138" s="207">
        <v>0</v>
      </c>
      <c r="AD138">
        <f t="shared" si="22"/>
        <v>2E-3</v>
      </c>
      <c r="AE138">
        <f t="shared" si="23"/>
        <v>2E-3</v>
      </c>
      <c r="AF138">
        <f t="shared" ca="1" si="24"/>
        <v>0</v>
      </c>
      <c r="AG138">
        <f t="shared" si="25"/>
        <v>0.30870325791000003</v>
      </c>
      <c r="AH138" s="565">
        <f>Sizing!AD153*(Sizing!CO153+Sizing!CP153) / (12^3)</f>
        <v>3.0694980187955527E-3</v>
      </c>
      <c r="AI138">
        <f t="shared" si="28"/>
        <v>0</v>
      </c>
      <c r="AJ138">
        <f t="shared" si="26"/>
        <v>0</v>
      </c>
      <c r="AK138">
        <f t="shared" si="27"/>
        <v>0</v>
      </c>
      <c r="AL138" s="207">
        <f>Loads!C113</f>
        <v>3.4300361990000003</v>
      </c>
      <c r="AM138">
        <f ca="1">OFFSET('ASWING AERO'!$F$24,((ROW('ASWING AERO'!$A117)-ROW('ASWING AERO'!$A$24))*16/100),0)</f>
        <v>0.25</v>
      </c>
      <c r="AN138" s="207">
        <f ca="1">OFFSET('ASWING AERO'!$J$24,((ROW('ASWING AERO'!$A117)-ROW('ASWING AERO'!$A$24))*16/100),0)</f>
        <v>3.1</v>
      </c>
      <c r="AO138" s="207">
        <f ca="1">OFFSET('ASWING AERO'!$N$24,((ROW('ASWING AERO'!$A117)-ROW('ASWING AERO'!$A$24))*16/100),0)</f>
        <v>-0.15</v>
      </c>
      <c r="AP138" s="207">
        <f ca="1">OFFSET('ASWING AERO'!$O$24,((ROW('ASWING AERO'!$A117)-ROW('ASWING AERO'!$A$24))*16/100),0)</f>
        <v>1.85</v>
      </c>
      <c r="AQ138" s="207">
        <f ca="1">OFFSET('ASWING AERO'!$P$24,((ROW('ASWING AERO'!$A117)-ROW('ASWING AERO'!$A$24))*16/100),0)</f>
        <v>-1.55</v>
      </c>
      <c r="AR138" s="8">
        <f ca="1">OFFSET('ASWING AERO'!$M$24,((ROW('ASWING AERO'!$A117)-ROW('ASWING AERO'!$A$24))*16/100),0)</f>
        <v>5.9690260418206069</v>
      </c>
    </row>
    <row r="139" spans="1:44" x14ac:dyDescent="0.25">
      <c r="A139">
        <f>Loads!A114</f>
        <v>94</v>
      </c>
      <c r="B139">
        <v>94</v>
      </c>
      <c r="C139">
        <f t="shared" si="19"/>
        <v>0.41826608949999999</v>
      </c>
      <c r="D139">
        <f>Loads!B114</f>
        <v>22.636483663999996</v>
      </c>
      <c r="E139">
        <f t="shared" si="20"/>
        <v>0</v>
      </c>
      <c r="F139">
        <f t="shared" si="21"/>
        <v>0</v>
      </c>
      <c r="G139" s="560">
        <f>Stiffness!AQ138/144</f>
        <v>52417.264712807824</v>
      </c>
      <c r="H139" s="560">
        <f>Stiffness!AV138/144</f>
        <v>48112.342002502148</v>
      </c>
      <c r="I139">
        <v>0</v>
      </c>
      <c r="J139">
        <v>0</v>
      </c>
      <c r="K139">
        <v>0</v>
      </c>
      <c r="L139" s="560">
        <f>Stiffness!BC138/144</f>
        <v>15900626.578046586</v>
      </c>
      <c r="M139">
        <v>0</v>
      </c>
      <c r="N139">
        <v>0</v>
      </c>
      <c r="O139">
        <v>0</v>
      </c>
      <c r="P139">
        <v>0</v>
      </c>
      <c r="Q139">
        <v>0</v>
      </c>
      <c r="R139">
        <f>'Weight '!BT140*'Weight '!$E$36/Stiffness!D138</f>
        <v>6.0946787919831262</v>
      </c>
      <c r="S139">
        <f ca="1">'Weight '!BU140-$AL138*$AM138</f>
        <v>0.78543236907691549</v>
      </c>
      <c r="T139" s="2">
        <v>0</v>
      </c>
      <c r="U139">
        <v>0</v>
      </c>
      <c r="V139">
        <v>0</v>
      </c>
      <c r="W139">
        <v>0</v>
      </c>
      <c r="X139">
        <v>0</v>
      </c>
      <c r="Y139">
        <v>0</v>
      </c>
      <c r="Z139">
        <f ca="1">Stiffness!CV138-AL139*AM139</f>
        <v>0.30413529845202569</v>
      </c>
      <c r="AA139">
        <v>0</v>
      </c>
      <c r="AB139">
        <v>0</v>
      </c>
      <c r="AC139" s="207">
        <v>0</v>
      </c>
      <c r="AD139">
        <f t="shared" si="22"/>
        <v>2E-3</v>
      </c>
      <c r="AE139">
        <f t="shared" si="23"/>
        <v>2E-3</v>
      </c>
      <c r="AF139">
        <f t="shared" ca="1" si="24"/>
        <v>0</v>
      </c>
      <c r="AG139">
        <f t="shared" si="25"/>
        <v>0.30710138778000001</v>
      </c>
      <c r="AH139" s="565">
        <f>Sizing!AD154*(Sizing!CO154+Sizing!CP154) / (12^3)</f>
        <v>3.0377252402444626E-3</v>
      </c>
      <c r="AI139">
        <f t="shared" si="28"/>
        <v>0</v>
      </c>
      <c r="AJ139">
        <f t="shared" si="26"/>
        <v>0</v>
      </c>
      <c r="AK139">
        <f t="shared" si="27"/>
        <v>0</v>
      </c>
      <c r="AL139" s="207">
        <f>Loads!C114</f>
        <v>3.4122376420000005</v>
      </c>
      <c r="AM139">
        <f ca="1">OFFSET('ASWING AERO'!$F$24,((ROW('ASWING AERO'!$A118)-ROW('ASWING AERO'!$A$24))*16/100),0)</f>
        <v>0.25</v>
      </c>
      <c r="AN139" s="207">
        <f ca="1">OFFSET('ASWING AERO'!$J$24,((ROW('ASWING AERO'!$A118)-ROW('ASWING AERO'!$A$24))*16/100),0)</f>
        <v>2.85</v>
      </c>
      <c r="AO139" s="207">
        <f ca="1">OFFSET('ASWING AERO'!$N$24,((ROW('ASWING AERO'!$A118)-ROW('ASWING AERO'!$A$24))*16/100),0)</f>
        <v>-0.15</v>
      </c>
      <c r="AP139" s="207">
        <f ca="1">OFFSET('ASWING AERO'!$O$24,((ROW('ASWING AERO'!$A118)-ROW('ASWING AERO'!$A$24))*16/100),0)</f>
        <v>1.85</v>
      </c>
      <c r="AQ139" s="207">
        <f ca="1">OFFSET('ASWING AERO'!$P$24,((ROW('ASWING AERO'!$A118)-ROW('ASWING AERO'!$A$24))*16/100),0)</f>
        <v>-1.55</v>
      </c>
      <c r="AR139" s="8">
        <f ca="1">OFFSET('ASWING AERO'!$M$24,((ROW('ASWING AERO'!$A118)-ROW('ASWING AERO'!$A$24))*16/100),0)</f>
        <v>5.9690260418206069</v>
      </c>
    </row>
    <row r="140" spans="1:44" x14ac:dyDescent="0.25">
      <c r="A140">
        <f>Loads!A115</f>
        <v>95</v>
      </c>
      <c r="B140">
        <v>95</v>
      </c>
      <c r="C140">
        <f t="shared" si="19"/>
        <v>0.42271572875000002</v>
      </c>
      <c r="D140">
        <f>Loads!B115</f>
        <v>22.877297319999997</v>
      </c>
      <c r="E140">
        <f t="shared" si="20"/>
        <v>0</v>
      </c>
      <c r="F140">
        <f t="shared" si="21"/>
        <v>0</v>
      </c>
      <c r="G140" s="560">
        <f>Stiffness!AQ139/144</f>
        <v>51702.391191267212</v>
      </c>
      <c r="H140" s="560">
        <f>Stiffness!AV139/144</f>
        <v>47611.733896629485</v>
      </c>
      <c r="I140">
        <v>0</v>
      </c>
      <c r="J140">
        <v>0</v>
      </c>
      <c r="K140">
        <v>0</v>
      </c>
      <c r="L140" s="560">
        <f>Stiffness!BC139/144</f>
        <v>15653104.623062696</v>
      </c>
      <c r="M140">
        <v>0</v>
      </c>
      <c r="N140">
        <v>0</v>
      </c>
      <c r="O140">
        <v>0</v>
      </c>
      <c r="P140">
        <v>0</v>
      </c>
      <c r="Q140">
        <v>0</v>
      </c>
      <c r="R140">
        <f>'Weight '!BT141*'Weight '!$E$36/Stiffness!D139</f>
        <v>6.0632166521502882</v>
      </c>
      <c r="S140">
        <f ca="1">'Weight '!BU141-$AL139*$AM139</f>
        <v>0.78128103590193321</v>
      </c>
      <c r="T140" s="2">
        <v>0</v>
      </c>
      <c r="U140">
        <v>0</v>
      </c>
      <c r="V140">
        <v>0</v>
      </c>
      <c r="W140">
        <v>0</v>
      </c>
      <c r="X140">
        <v>0</v>
      </c>
      <c r="Y140">
        <v>0</v>
      </c>
      <c r="Z140">
        <f ca="1">Stiffness!CV139-AL140*AM140</f>
        <v>0.30254094084459648</v>
      </c>
      <c r="AA140">
        <v>0</v>
      </c>
      <c r="AB140">
        <v>0</v>
      </c>
      <c r="AC140" s="207">
        <v>0</v>
      </c>
      <c r="AD140">
        <f t="shared" si="22"/>
        <v>2E-3</v>
      </c>
      <c r="AE140">
        <f t="shared" si="23"/>
        <v>2E-3</v>
      </c>
      <c r="AF140">
        <f t="shared" ca="1" si="24"/>
        <v>0</v>
      </c>
      <c r="AG140">
        <f t="shared" si="25"/>
        <v>0.30549951765</v>
      </c>
      <c r="AH140" s="565">
        <f>Sizing!AD155*(Sizing!CO155+Sizing!CP155) / (12^3)</f>
        <v>3.0061177604297959E-3</v>
      </c>
      <c r="AI140">
        <f t="shared" si="28"/>
        <v>0</v>
      </c>
      <c r="AJ140">
        <f t="shared" si="26"/>
        <v>0</v>
      </c>
      <c r="AK140">
        <f t="shared" si="27"/>
        <v>0</v>
      </c>
      <c r="AL140" s="207">
        <f>Loads!C115</f>
        <v>3.3944390850000001</v>
      </c>
      <c r="AM140">
        <f ca="1">OFFSET('ASWING AERO'!$F$24,((ROW('ASWING AERO'!$A119)-ROW('ASWING AERO'!$A$24))*16/100),0)</f>
        <v>0.25</v>
      </c>
      <c r="AN140" s="207">
        <f ca="1">OFFSET('ASWING AERO'!$J$24,((ROW('ASWING AERO'!$A119)-ROW('ASWING AERO'!$A$24))*16/100),0)</f>
        <v>2.85</v>
      </c>
      <c r="AO140" s="207">
        <f ca="1">OFFSET('ASWING AERO'!$N$24,((ROW('ASWING AERO'!$A119)-ROW('ASWING AERO'!$A$24))*16/100),0)</f>
        <v>-0.15</v>
      </c>
      <c r="AP140" s="207">
        <f ca="1">OFFSET('ASWING AERO'!$O$24,((ROW('ASWING AERO'!$A119)-ROW('ASWING AERO'!$A$24))*16/100),0)</f>
        <v>1.85</v>
      </c>
      <c r="AQ140" s="207">
        <f ca="1">OFFSET('ASWING AERO'!$P$24,((ROW('ASWING AERO'!$A119)-ROW('ASWING AERO'!$A$24))*16/100),0)</f>
        <v>-1.55</v>
      </c>
      <c r="AR140" s="8">
        <f ca="1">OFFSET('ASWING AERO'!$M$24,((ROW('ASWING AERO'!$A119)-ROW('ASWING AERO'!$A$24))*16/100),0)</f>
        <v>5.9690260418206069</v>
      </c>
    </row>
    <row r="141" spans="1:44" x14ac:dyDescent="0.25">
      <c r="A141">
        <f>Loads!A116</f>
        <v>96</v>
      </c>
      <c r="B141">
        <v>96</v>
      </c>
      <c r="C141">
        <f t="shared" ref="C141:C145" si="29">B141/$B$145*($B$8-$B$7)</f>
        <v>0.42716536800000005</v>
      </c>
      <c r="D141">
        <f>Loads!B116</f>
        <v>23.118110975999997</v>
      </c>
      <c r="E141">
        <f t="shared" ref="E141:E145" si="30">D141/$D$145*($D$8-$D$7)</f>
        <v>0</v>
      </c>
      <c r="F141">
        <f t="shared" si="21"/>
        <v>0</v>
      </c>
      <c r="G141" s="560">
        <f>Stiffness!AQ140/144</f>
        <v>50992.425966533861</v>
      </c>
      <c r="H141" s="560">
        <f>Stiffness!AV140/144</f>
        <v>47113.743838378097</v>
      </c>
      <c r="I141">
        <v>0</v>
      </c>
      <c r="J141">
        <v>0</v>
      </c>
      <c r="K141">
        <v>0</v>
      </c>
      <c r="L141" s="560">
        <f>Stiffness!BC140/144</f>
        <v>15408164.840789441</v>
      </c>
      <c r="M141">
        <v>0</v>
      </c>
      <c r="N141">
        <v>0</v>
      </c>
      <c r="O141">
        <v>0</v>
      </c>
      <c r="P141">
        <v>0</v>
      </c>
      <c r="Q141">
        <v>0</v>
      </c>
      <c r="R141">
        <f>'Weight '!BT142*'Weight '!$E$36/Stiffness!D140</f>
        <v>6.0317545123174501</v>
      </c>
      <c r="S141">
        <f ca="1">'Weight '!BU142-$AL140*$AM140</f>
        <v>0.77712970614460097</v>
      </c>
      <c r="T141" s="2">
        <v>0</v>
      </c>
      <c r="U141">
        <v>0</v>
      </c>
      <c r="V141">
        <v>0</v>
      </c>
      <c r="W141">
        <v>0</v>
      </c>
      <c r="X141">
        <v>0</v>
      </c>
      <c r="Y141">
        <v>0</v>
      </c>
      <c r="Z141">
        <f ca="1">Stiffness!CV140-AL141*AM141</f>
        <v>0.30094673564559216</v>
      </c>
      <c r="AA141">
        <v>0</v>
      </c>
      <c r="AB141">
        <v>0</v>
      </c>
      <c r="AC141" s="207">
        <v>0</v>
      </c>
      <c r="AD141">
        <f t="shared" si="22"/>
        <v>2E-3</v>
      </c>
      <c r="AE141">
        <f t="shared" si="23"/>
        <v>2E-3</v>
      </c>
      <c r="AF141">
        <f t="shared" ca="1" si="24"/>
        <v>0</v>
      </c>
      <c r="AG141">
        <f t="shared" si="25"/>
        <v>0.30389764752000004</v>
      </c>
      <c r="AH141" s="565">
        <f>Sizing!AD156*(Sizing!CO156+Sizing!CP156) / (12^3)</f>
        <v>2.9746755793515537E-3</v>
      </c>
      <c r="AI141">
        <f t="shared" si="28"/>
        <v>0</v>
      </c>
      <c r="AJ141">
        <f t="shared" si="26"/>
        <v>0</v>
      </c>
      <c r="AK141">
        <f t="shared" si="27"/>
        <v>0</v>
      </c>
      <c r="AL141" s="207">
        <f>Loads!C116</f>
        <v>3.3766405280000003</v>
      </c>
      <c r="AM141">
        <f ca="1">OFFSET('ASWING AERO'!$F$24,((ROW('ASWING AERO'!$A120)-ROW('ASWING AERO'!$A$24))*16/100),0)</f>
        <v>0.25</v>
      </c>
      <c r="AN141" s="207">
        <f ca="1">OFFSET('ASWING AERO'!$J$24,((ROW('ASWING AERO'!$A120)-ROW('ASWING AERO'!$A$24))*16/100),0)</f>
        <v>2.85</v>
      </c>
      <c r="AO141" s="207">
        <f ca="1">OFFSET('ASWING AERO'!$N$24,((ROW('ASWING AERO'!$A120)-ROW('ASWING AERO'!$A$24))*16/100),0)</f>
        <v>-0.15</v>
      </c>
      <c r="AP141" s="207">
        <f ca="1">OFFSET('ASWING AERO'!$O$24,((ROW('ASWING AERO'!$A120)-ROW('ASWING AERO'!$A$24))*16/100),0)</f>
        <v>1.85</v>
      </c>
      <c r="AQ141" s="207">
        <f ca="1">OFFSET('ASWING AERO'!$P$24,((ROW('ASWING AERO'!$A120)-ROW('ASWING AERO'!$A$24))*16/100),0)</f>
        <v>-1.55</v>
      </c>
      <c r="AR141" s="8">
        <f ca="1">OFFSET('ASWING AERO'!$M$24,((ROW('ASWING AERO'!$A120)-ROW('ASWING AERO'!$A$24))*16/100),0)</f>
        <v>5.9690260418206069</v>
      </c>
    </row>
    <row r="142" spans="1:44" x14ac:dyDescent="0.25">
      <c r="A142">
        <f>Loads!A117</f>
        <v>97</v>
      </c>
      <c r="B142">
        <v>97</v>
      </c>
      <c r="C142">
        <f t="shared" si="29"/>
        <v>0.43161500725000002</v>
      </c>
      <c r="D142">
        <f>Loads!B117</f>
        <v>23.358924631999997</v>
      </c>
      <c r="E142">
        <f t="shared" si="30"/>
        <v>0</v>
      </c>
      <c r="F142">
        <f t="shared" si="21"/>
        <v>0</v>
      </c>
      <c r="G142" s="560">
        <f>Stiffness!AQ141/144</f>
        <v>50287.369038607707</v>
      </c>
      <c r="H142" s="560">
        <f>Stiffness!AV141/144</f>
        <v>46618.371827748007</v>
      </c>
      <c r="I142">
        <v>0</v>
      </c>
      <c r="J142">
        <v>0</v>
      </c>
      <c r="K142">
        <v>0</v>
      </c>
      <c r="L142" s="560">
        <f>Stiffness!BC141/144</f>
        <v>15165793.691744417</v>
      </c>
      <c r="M142">
        <v>0</v>
      </c>
      <c r="N142">
        <v>0</v>
      </c>
      <c r="O142">
        <v>0</v>
      </c>
      <c r="P142">
        <v>0</v>
      </c>
      <c r="Q142">
        <v>0</v>
      </c>
      <c r="R142">
        <f>'Weight '!BT143*'Weight '!$E$36/Stiffness!D141</f>
        <v>6.0002923724846111</v>
      </c>
      <c r="S142">
        <f ca="1">'Weight '!BU143-$AL141*$AM141</f>
        <v>0.77297837985868134</v>
      </c>
      <c r="T142" s="2">
        <v>0</v>
      </c>
      <c r="U142">
        <v>0</v>
      </c>
      <c r="V142">
        <v>0</v>
      </c>
      <c r="W142">
        <v>0</v>
      </c>
      <c r="X142">
        <v>0</v>
      </c>
      <c r="Y142">
        <v>0</v>
      </c>
      <c r="Z142">
        <f ca="1">Stiffness!CV141-AL142*AM142</f>
        <v>0.29935269901558925</v>
      </c>
      <c r="AA142">
        <v>0</v>
      </c>
      <c r="AB142">
        <v>0</v>
      </c>
      <c r="AC142" s="207">
        <v>0</v>
      </c>
      <c r="AD142">
        <f t="shared" si="22"/>
        <v>2E-3</v>
      </c>
      <c r="AE142">
        <f t="shared" si="23"/>
        <v>2E-3</v>
      </c>
      <c r="AF142">
        <f t="shared" ca="1" si="24"/>
        <v>0</v>
      </c>
      <c r="AG142">
        <f t="shared" si="25"/>
        <v>0.30229577739000002</v>
      </c>
      <c r="AH142" s="565">
        <f>Sizing!AD157*(Sizing!CO157+Sizing!CP157) / (12^3)</f>
        <v>2.9433986970097336E-3</v>
      </c>
      <c r="AI142">
        <f t="shared" si="28"/>
        <v>0</v>
      </c>
      <c r="AJ142">
        <f t="shared" si="26"/>
        <v>0</v>
      </c>
      <c r="AK142">
        <f t="shared" si="27"/>
        <v>0</v>
      </c>
      <c r="AL142" s="207">
        <f>Loads!C117</f>
        <v>3.3588419710000004</v>
      </c>
      <c r="AM142">
        <f ca="1">OFFSET('ASWING AERO'!$F$24,((ROW('ASWING AERO'!$A121)-ROW('ASWING AERO'!$A$24))*16/100),0)</f>
        <v>0.25</v>
      </c>
      <c r="AN142" s="207">
        <f ca="1">OFFSET('ASWING AERO'!$J$24,((ROW('ASWING AERO'!$A121)-ROW('ASWING AERO'!$A$24))*16/100),0)</f>
        <v>2.85</v>
      </c>
      <c r="AO142" s="207">
        <f ca="1">OFFSET('ASWING AERO'!$N$24,((ROW('ASWING AERO'!$A121)-ROW('ASWING AERO'!$A$24))*16/100),0)</f>
        <v>-0.15</v>
      </c>
      <c r="AP142" s="207">
        <f ca="1">OFFSET('ASWING AERO'!$O$24,((ROW('ASWING AERO'!$A121)-ROW('ASWING AERO'!$A$24))*16/100),0)</f>
        <v>1.85</v>
      </c>
      <c r="AQ142" s="207">
        <f ca="1">OFFSET('ASWING AERO'!$P$24,((ROW('ASWING AERO'!$A121)-ROW('ASWING AERO'!$A$24))*16/100),0)</f>
        <v>-1.55</v>
      </c>
      <c r="AR142" s="8">
        <f ca="1">OFFSET('ASWING AERO'!$M$24,((ROW('ASWING AERO'!$A121)-ROW('ASWING AERO'!$A$24))*16/100),0)</f>
        <v>5.9690260418206069</v>
      </c>
    </row>
    <row r="143" spans="1:44" x14ac:dyDescent="0.25">
      <c r="A143">
        <f>Loads!A118</f>
        <v>98</v>
      </c>
      <c r="B143">
        <v>98</v>
      </c>
      <c r="C143">
        <f t="shared" si="29"/>
        <v>0.43606464650000004</v>
      </c>
      <c r="D143">
        <f>Loads!B118</f>
        <v>23.599738287999998</v>
      </c>
      <c r="E143">
        <f t="shared" si="30"/>
        <v>0</v>
      </c>
      <c r="F143">
        <f t="shared" si="21"/>
        <v>0</v>
      </c>
      <c r="G143" s="560">
        <f>Stiffness!AQ142/144</f>
        <v>49587.2204074888</v>
      </c>
      <c r="H143" s="560">
        <f>Stiffness!AV142/144</f>
        <v>46125.617864739237</v>
      </c>
      <c r="I143">
        <v>0</v>
      </c>
      <c r="J143">
        <v>0</v>
      </c>
      <c r="K143">
        <v>0</v>
      </c>
      <c r="L143" s="560">
        <f>Stiffness!BC142/144</f>
        <v>14925977.63644525</v>
      </c>
      <c r="M143">
        <v>0</v>
      </c>
      <c r="N143">
        <v>0</v>
      </c>
      <c r="O143">
        <v>0</v>
      </c>
      <c r="P143">
        <v>0</v>
      </c>
      <c r="Q143">
        <v>0</v>
      </c>
      <c r="R143">
        <f>'Weight '!BT144*'Weight '!$E$36/Stiffness!D142</f>
        <v>5.9688302326517739</v>
      </c>
      <c r="S143">
        <f ca="1">'Weight '!BU144-$AL142*$AM142</f>
        <v>0.76882705709906496</v>
      </c>
      <c r="T143" s="2">
        <v>0</v>
      </c>
      <c r="U143">
        <v>0</v>
      </c>
      <c r="V143">
        <v>0</v>
      </c>
      <c r="W143">
        <v>0</v>
      </c>
      <c r="X143">
        <v>0</v>
      </c>
      <c r="Y143">
        <v>0</v>
      </c>
      <c r="Z143">
        <f ca="1">Stiffness!CV142-AL143*AM143</f>
        <v>0.2977588480798854</v>
      </c>
      <c r="AA143">
        <v>0</v>
      </c>
      <c r="AB143">
        <v>0</v>
      </c>
      <c r="AC143" s="207">
        <v>0</v>
      </c>
      <c r="AD143">
        <f t="shared" si="22"/>
        <v>2E-3</v>
      </c>
      <c r="AE143">
        <f t="shared" si="23"/>
        <v>2E-3</v>
      </c>
      <c r="AF143">
        <f t="shared" ca="1" si="24"/>
        <v>0</v>
      </c>
      <c r="AG143">
        <f t="shared" si="25"/>
        <v>0.30069390726000006</v>
      </c>
      <c r="AH143" s="565">
        <f>Sizing!AD158*(Sizing!CO158+Sizing!CP158) / (12^3)</f>
        <v>2.9122871134043371E-3</v>
      </c>
      <c r="AI143">
        <f t="shared" si="28"/>
        <v>0</v>
      </c>
      <c r="AJ143">
        <f t="shared" si="26"/>
        <v>0</v>
      </c>
      <c r="AK143">
        <f t="shared" si="27"/>
        <v>0</v>
      </c>
      <c r="AL143" s="207">
        <f>Loads!C118</f>
        <v>3.3410434140000005</v>
      </c>
      <c r="AM143">
        <f ca="1">OFFSET('ASWING AERO'!$F$24,((ROW('ASWING AERO'!$A122)-ROW('ASWING AERO'!$A$24))*16/100),0)</f>
        <v>0.25</v>
      </c>
      <c r="AN143" s="207">
        <f ca="1">OFFSET('ASWING AERO'!$J$24,((ROW('ASWING AERO'!$A122)-ROW('ASWING AERO'!$A$24))*16/100),0)</f>
        <v>2.85</v>
      </c>
      <c r="AO143" s="207">
        <f ca="1">OFFSET('ASWING AERO'!$N$24,((ROW('ASWING AERO'!$A122)-ROW('ASWING AERO'!$A$24))*16/100),0)</f>
        <v>-0.15</v>
      </c>
      <c r="AP143" s="207">
        <f ca="1">OFFSET('ASWING AERO'!$O$24,((ROW('ASWING AERO'!$A122)-ROW('ASWING AERO'!$A$24))*16/100),0)</f>
        <v>1.85</v>
      </c>
      <c r="AQ143" s="207">
        <f ca="1">OFFSET('ASWING AERO'!$P$24,((ROW('ASWING AERO'!$A122)-ROW('ASWING AERO'!$A$24))*16/100),0)</f>
        <v>-1.55</v>
      </c>
      <c r="AR143" s="8">
        <f ca="1">OFFSET('ASWING AERO'!$M$24,((ROW('ASWING AERO'!$A122)-ROW('ASWING AERO'!$A$24))*16/100),0)</f>
        <v>5.9690260418206069</v>
      </c>
    </row>
    <row r="144" spans="1:44" x14ac:dyDescent="0.25">
      <c r="A144">
        <f>Loads!A119</f>
        <v>99</v>
      </c>
      <c r="B144">
        <v>99</v>
      </c>
      <c r="C144">
        <f t="shared" si="29"/>
        <v>0.44051428575000001</v>
      </c>
      <c r="D144">
        <f>Loads!B119</f>
        <v>23.840551943999998</v>
      </c>
      <c r="E144">
        <f t="shared" si="30"/>
        <v>0</v>
      </c>
      <c r="F144">
        <f t="shared" si="21"/>
        <v>0</v>
      </c>
      <c r="G144" s="560">
        <f>Stiffness!AQ143/144</f>
        <v>48891.980073177117</v>
      </c>
      <c r="H144" s="560">
        <f>Stiffness!AV143/144</f>
        <v>45635.481949351735</v>
      </c>
      <c r="I144">
        <v>0</v>
      </c>
      <c r="J144">
        <v>0</v>
      </c>
      <c r="K144">
        <v>0</v>
      </c>
      <c r="L144" s="560">
        <f>Stiffness!BC143/144</f>
        <v>14688703.135409579</v>
      </c>
      <c r="M144">
        <v>0</v>
      </c>
      <c r="N144">
        <v>0</v>
      </c>
      <c r="O144">
        <v>0</v>
      </c>
      <c r="P144">
        <v>0</v>
      </c>
      <c r="Q144">
        <v>0</v>
      </c>
      <c r="R144">
        <f>'Weight '!BT145*'Weight '!$E$36/Stiffness!D143</f>
        <v>5.9373680928189341</v>
      </c>
      <c r="S144">
        <f ca="1">'Weight '!BU145-$AL143*$AM143</f>
        <v>0.76467573792181254</v>
      </c>
      <c r="T144" s="2">
        <v>0</v>
      </c>
      <c r="U144">
        <v>0</v>
      </c>
      <c r="V144">
        <v>0</v>
      </c>
      <c r="W144">
        <v>0</v>
      </c>
      <c r="X144">
        <v>0</v>
      </c>
      <c r="Y144">
        <v>0</v>
      </c>
      <c r="Z144">
        <f ca="1">Stiffness!CV143-AL144*AM144</f>
        <v>0.29616520094410193</v>
      </c>
      <c r="AA144">
        <v>0</v>
      </c>
      <c r="AB144">
        <v>0</v>
      </c>
      <c r="AC144" s="207">
        <v>0</v>
      </c>
      <c r="AD144">
        <f t="shared" si="22"/>
        <v>2E-3</v>
      </c>
      <c r="AE144">
        <f t="shared" si="23"/>
        <v>2E-3</v>
      </c>
      <c r="AF144">
        <f t="shared" ca="1" si="24"/>
        <v>0</v>
      </c>
      <c r="AG144">
        <f t="shared" si="25"/>
        <v>0.29909203712999999</v>
      </c>
      <c r="AH144" s="565">
        <f>Sizing!AD159*(Sizing!CO159+Sizing!CP159) / (12^3)</f>
        <v>2.8813408285353632E-3</v>
      </c>
      <c r="AI144">
        <f t="shared" si="28"/>
        <v>0</v>
      </c>
      <c r="AJ144">
        <f t="shared" si="26"/>
        <v>0</v>
      </c>
      <c r="AK144">
        <f t="shared" si="27"/>
        <v>0</v>
      </c>
      <c r="AL144" s="207">
        <f>Loads!C119</f>
        <v>3.3232448570000002</v>
      </c>
      <c r="AM144">
        <f ca="1">OFFSET('ASWING AERO'!$F$24,((ROW('ASWING AERO'!$A123)-ROW('ASWING AERO'!$A$24))*16/100),0)</f>
        <v>0.25</v>
      </c>
      <c r="AN144" s="207">
        <f ca="1">OFFSET('ASWING AERO'!$J$24,((ROW('ASWING AERO'!$A123)-ROW('ASWING AERO'!$A$24))*16/100),0)</f>
        <v>2.85</v>
      </c>
      <c r="AO144" s="207">
        <f ca="1">OFFSET('ASWING AERO'!$N$24,((ROW('ASWING AERO'!$A123)-ROW('ASWING AERO'!$A$24))*16/100),0)</f>
        <v>-0.15</v>
      </c>
      <c r="AP144" s="207">
        <f ca="1">OFFSET('ASWING AERO'!$O$24,((ROW('ASWING AERO'!$A123)-ROW('ASWING AERO'!$A$24))*16/100),0)</f>
        <v>1.85</v>
      </c>
      <c r="AQ144" s="207">
        <f ca="1">OFFSET('ASWING AERO'!$P$24,((ROW('ASWING AERO'!$A123)-ROW('ASWING AERO'!$A$24))*16/100),0)</f>
        <v>-1.55</v>
      </c>
      <c r="AR144" s="8">
        <f ca="1">OFFSET('ASWING AERO'!$M$24,((ROW('ASWING AERO'!$A123)-ROW('ASWING AERO'!$A$24))*16/100),0)</f>
        <v>5.9690260418206069</v>
      </c>
    </row>
    <row r="145" spans="1:44" x14ac:dyDescent="0.25">
      <c r="A145">
        <f>Loads!A120</f>
        <v>100</v>
      </c>
      <c r="B145">
        <v>100</v>
      </c>
      <c r="C145">
        <f t="shared" si="29"/>
        <v>0.44496392500000004</v>
      </c>
      <c r="D145">
        <f>Loads!B120</f>
        <v>24.081365599999998</v>
      </c>
      <c r="E145">
        <f t="shared" si="30"/>
        <v>0</v>
      </c>
      <c r="F145">
        <f t="shared" si="21"/>
        <v>0</v>
      </c>
      <c r="G145" s="560">
        <f>Stiffness!AQ144/144</f>
        <v>48201.648035672712</v>
      </c>
      <c r="H145" s="560">
        <f>Stiffness!AV144/144</f>
        <v>45147.964081585575</v>
      </c>
      <c r="I145">
        <v>0</v>
      </c>
      <c r="J145">
        <v>0</v>
      </c>
      <c r="K145">
        <v>0</v>
      </c>
      <c r="L145" s="560">
        <f>Stiffness!BC144/144</f>
        <v>14453956.649155017</v>
      </c>
      <c r="M145">
        <v>0</v>
      </c>
      <c r="N145">
        <v>0</v>
      </c>
      <c r="O145">
        <v>0</v>
      </c>
      <c r="P145">
        <v>0</v>
      </c>
      <c r="Q145">
        <v>0</v>
      </c>
      <c r="R145">
        <f>'Weight '!BT146*'Weight '!$E$36/Stiffness!D144</f>
        <v>5.9059059529860969</v>
      </c>
      <c r="S145">
        <f ca="1">'Weight '!BU146-$AL144*$AM144</f>
        <v>0.76052442238417506</v>
      </c>
      <c r="T145" s="2">
        <v>0</v>
      </c>
      <c r="U145">
        <v>0</v>
      </c>
      <c r="V145">
        <v>0</v>
      </c>
      <c r="W145">
        <v>0</v>
      </c>
      <c r="X145">
        <v>0</v>
      </c>
      <c r="Y145">
        <v>0</v>
      </c>
      <c r="Z145">
        <f ca="1">Stiffness!CV144-AL145*AM145</f>
        <v>0.29457177670887569</v>
      </c>
      <c r="AA145">
        <v>0</v>
      </c>
      <c r="AB145">
        <v>0</v>
      </c>
      <c r="AC145" s="207">
        <v>0</v>
      </c>
      <c r="AD145">
        <f t="shared" si="22"/>
        <v>2E-3</v>
      </c>
      <c r="AE145">
        <f t="shared" si="23"/>
        <v>2E-3</v>
      </c>
      <c r="AF145">
        <f t="shared" ca="1" si="24"/>
        <v>0</v>
      </c>
      <c r="AG145">
        <f t="shared" si="25"/>
        <v>0.29749016700000003</v>
      </c>
      <c r="AH145" s="565">
        <f>Sizing!AD160*(Sizing!CO160+Sizing!CP160) / (12^3)</f>
        <v>2.8505598424028149E-3</v>
      </c>
      <c r="AI145">
        <f t="shared" si="28"/>
        <v>0</v>
      </c>
      <c r="AJ145">
        <f t="shared" si="26"/>
        <v>0</v>
      </c>
      <c r="AK145">
        <f t="shared" si="27"/>
        <v>0</v>
      </c>
      <c r="AL145" s="207">
        <f>Loads!C120</f>
        <v>3.3054463000000003</v>
      </c>
      <c r="AM145">
        <f ca="1">AM144</f>
        <v>0.25</v>
      </c>
      <c r="AN145">
        <f t="shared" ref="AN145:AR145" ca="1" si="31">AN144</f>
        <v>2.85</v>
      </c>
      <c r="AO145">
        <f t="shared" ca="1" si="31"/>
        <v>-0.15</v>
      </c>
      <c r="AP145">
        <f t="shared" ca="1" si="31"/>
        <v>1.85</v>
      </c>
      <c r="AQ145">
        <f t="shared" ca="1" si="31"/>
        <v>-1.55</v>
      </c>
      <c r="AR145">
        <f t="shared" ca="1" si="31"/>
        <v>5.9690260418206069</v>
      </c>
    </row>
    <row r="146" spans="1:44" x14ac:dyDescent="0.25">
      <c r="AL146" s="207"/>
    </row>
    <row r="147" spans="1:44" x14ac:dyDescent="0.25">
      <c r="AL147" s="207"/>
    </row>
    <row r="148" spans="1:44" x14ac:dyDescent="0.25">
      <c r="A148" s="4"/>
      <c r="AL148" s="207"/>
    </row>
    <row r="149" spans="1:44" x14ac:dyDescent="0.25">
      <c r="B149" s="2"/>
      <c r="F149" s="4"/>
    </row>
    <row r="150" spans="1:44" x14ac:dyDescent="0.25">
      <c r="A150" s="566"/>
      <c r="B150" s="566"/>
      <c r="C150" s="566"/>
      <c r="D150" s="566"/>
      <c r="E150" s="566"/>
      <c r="F150" s="566"/>
      <c r="G150" s="566"/>
      <c r="H150" s="566"/>
      <c r="I150" s="566"/>
      <c r="J150" s="566"/>
      <c r="K150" s="566"/>
      <c r="L150" s="566"/>
      <c r="M150" s="566"/>
      <c r="N150" s="566"/>
      <c r="O150" s="566"/>
      <c r="P150" s="566"/>
      <c r="Q150" s="566"/>
      <c r="R150" s="566"/>
      <c r="S150" s="566"/>
      <c r="T150" s="566"/>
      <c r="U150" s="566"/>
      <c r="V150" s="566"/>
      <c r="W150" s="566"/>
      <c r="X150" s="566"/>
      <c r="Y150" s="566"/>
      <c r="Z150" s="566"/>
      <c r="AA150" s="566"/>
      <c r="AB150" s="566"/>
      <c r="AC150" s="566"/>
      <c r="AD150" s="566"/>
      <c r="AE150" s="566"/>
      <c r="AF150" s="566"/>
      <c r="AG150" s="566"/>
      <c r="AH150" s="566"/>
      <c r="AI150" s="566"/>
      <c r="AJ150" s="566"/>
      <c r="AK150" s="566"/>
      <c r="AL150" s="566"/>
      <c r="AM150" s="566"/>
      <c r="AN150" s="566"/>
      <c r="AO150" s="566"/>
      <c r="AP150" s="566"/>
      <c r="AQ150" s="566"/>
      <c r="AR150" s="566"/>
    </row>
    <row r="151" spans="1:44" x14ac:dyDescent="0.25">
      <c r="A151" s="566"/>
      <c r="B151" s="566"/>
      <c r="C151" s="566"/>
      <c r="D151" s="566"/>
      <c r="E151" s="566"/>
      <c r="F151" s="566"/>
      <c r="G151" s="566"/>
      <c r="H151" s="566"/>
      <c r="I151" s="566"/>
      <c r="J151" s="566"/>
      <c r="K151" s="566"/>
      <c r="L151" s="566"/>
      <c r="M151" s="566"/>
      <c r="N151" s="566"/>
      <c r="O151" s="566"/>
      <c r="P151" s="566"/>
      <c r="Q151" s="566"/>
      <c r="R151" s="566"/>
      <c r="S151" s="566"/>
      <c r="T151" s="566"/>
      <c r="U151" s="566"/>
      <c r="V151" s="566"/>
      <c r="W151" s="566"/>
      <c r="X151" s="566"/>
      <c r="Y151" s="566"/>
      <c r="Z151" s="566"/>
      <c r="AA151" s="566"/>
      <c r="AB151" s="566"/>
      <c r="AC151" s="566"/>
      <c r="AD151" s="566"/>
      <c r="AE151" s="566"/>
      <c r="AF151" s="566"/>
      <c r="AG151" s="566"/>
      <c r="AH151" s="566"/>
      <c r="AI151" s="566"/>
      <c r="AJ151" s="566"/>
      <c r="AK151" s="566"/>
      <c r="AL151" s="566"/>
      <c r="AM151" s="566"/>
      <c r="AN151" s="566"/>
      <c r="AO151" s="566"/>
      <c r="AP151" s="566"/>
      <c r="AQ151" s="566"/>
      <c r="AR151" s="566"/>
    </row>
    <row r="152" spans="1:44" x14ac:dyDescent="0.25">
      <c r="A152" s="566"/>
      <c r="B152" s="566"/>
      <c r="C152" s="566"/>
      <c r="D152" s="566"/>
      <c r="E152" s="566"/>
      <c r="F152" s="566"/>
      <c r="G152" s="566"/>
      <c r="H152" s="566"/>
      <c r="I152" s="566"/>
      <c r="J152" s="566"/>
      <c r="K152" s="566"/>
      <c r="L152" s="566"/>
      <c r="M152" s="566"/>
      <c r="N152" s="566"/>
      <c r="O152" s="566"/>
      <c r="P152" s="566"/>
      <c r="Q152" s="566"/>
      <c r="R152" s="566"/>
      <c r="S152" s="566"/>
      <c r="T152" s="566"/>
      <c r="U152" s="566"/>
      <c r="V152" s="566"/>
      <c r="W152" s="566"/>
      <c r="X152" s="566"/>
      <c r="Y152" s="566"/>
      <c r="Z152" s="566"/>
      <c r="AA152" s="566"/>
      <c r="AB152" s="566"/>
      <c r="AC152" s="566"/>
      <c r="AD152" s="566"/>
      <c r="AE152" s="566"/>
      <c r="AF152" s="566"/>
      <c r="AG152" s="566"/>
      <c r="AH152" s="566"/>
      <c r="AI152" s="566"/>
      <c r="AJ152" s="566"/>
      <c r="AK152" s="566"/>
      <c r="AL152" s="566"/>
      <c r="AM152" s="566"/>
      <c r="AN152" s="566"/>
      <c r="AO152" s="566"/>
      <c r="AP152" s="566"/>
      <c r="AQ152" s="566"/>
      <c r="AR152" s="566"/>
    </row>
    <row r="153" spans="1:44" x14ac:dyDescent="0.25">
      <c r="A153" s="566"/>
      <c r="B153" s="566"/>
      <c r="C153" s="566"/>
      <c r="D153" s="566"/>
      <c r="E153" s="566"/>
      <c r="F153" s="566"/>
      <c r="G153" s="566"/>
      <c r="H153" s="566"/>
      <c r="I153" s="566"/>
      <c r="J153" s="566"/>
      <c r="K153" s="566"/>
      <c r="L153" s="566"/>
      <c r="M153" s="566"/>
      <c r="N153" s="566"/>
      <c r="O153" s="566"/>
      <c r="P153" s="566"/>
      <c r="Q153" s="566"/>
      <c r="R153" s="566"/>
      <c r="S153" s="566"/>
      <c r="T153" s="566"/>
      <c r="U153" s="566"/>
      <c r="V153" s="566"/>
      <c r="W153" s="566"/>
      <c r="X153" s="566"/>
      <c r="Y153" s="566"/>
      <c r="Z153" s="566"/>
      <c r="AA153" s="566"/>
      <c r="AB153" s="566"/>
      <c r="AC153" s="566"/>
      <c r="AD153" s="566"/>
      <c r="AE153" s="566"/>
      <c r="AF153" s="566"/>
      <c r="AG153" s="566"/>
      <c r="AH153" s="566"/>
      <c r="AI153" s="566"/>
      <c r="AJ153" s="566"/>
      <c r="AK153" s="566"/>
      <c r="AL153" s="566"/>
      <c r="AM153" s="566"/>
      <c r="AN153" s="566"/>
      <c r="AO153" s="566"/>
      <c r="AP153" s="566"/>
      <c r="AQ153" s="566"/>
      <c r="AR153" s="566"/>
    </row>
    <row r="154" spans="1:44" x14ac:dyDescent="0.25">
      <c r="A154" s="566"/>
      <c r="B154" s="566"/>
      <c r="C154" s="566"/>
      <c r="D154" s="566"/>
      <c r="E154" s="566"/>
      <c r="F154" s="566"/>
      <c r="G154" s="566"/>
      <c r="H154" s="566"/>
      <c r="I154" s="566"/>
      <c r="J154" s="566"/>
      <c r="K154" s="566"/>
      <c r="L154" s="566"/>
      <c r="M154" s="566"/>
      <c r="N154" s="566"/>
      <c r="O154" s="566"/>
      <c r="P154" s="566"/>
      <c r="Q154" s="566"/>
      <c r="R154" s="566"/>
      <c r="S154" s="566"/>
      <c r="T154" s="566"/>
      <c r="U154" s="566"/>
      <c r="V154" s="566"/>
      <c r="W154" s="566"/>
      <c r="X154" s="566"/>
      <c r="Y154" s="566"/>
      <c r="Z154" s="566"/>
      <c r="AA154" s="566"/>
      <c r="AB154" s="566"/>
      <c r="AC154" s="566"/>
      <c r="AD154" s="566"/>
      <c r="AE154" s="566"/>
      <c r="AF154" s="566"/>
      <c r="AG154" s="566"/>
      <c r="AH154" s="566"/>
      <c r="AI154" s="566"/>
      <c r="AJ154" s="566"/>
      <c r="AK154" s="566"/>
      <c r="AL154" s="566"/>
      <c r="AM154" s="566"/>
      <c r="AN154" s="566"/>
      <c r="AO154" s="566"/>
      <c r="AP154" s="566"/>
      <c r="AQ154" s="566"/>
      <c r="AR154" s="566"/>
    </row>
    <row r="155" spans="1:44" x14ac:dyDescent="0.25">
      <c r="A155" s="566"/>
      <c r="B155" s="566"/>
      <c r="C155" s="566"/>
      <c r="D155" s="566"/>
      <c r="E155" s="566"/>
      <c r="F155" s="566"/>
      <c r="G155" s="566"/>
      <c r="H155" s="566"/>
      <c r="I155" s="566"/>
      <c r="J155" s="566"/>
      <c r="K155" s="566"/>
      <c r="L155" s="566"/>
      <c r="M155" s="566"/>
      <c r="N155" s="566"/>
      <c r="O155" s="566"/>
      <c r="P155" s="566"/>
      <c r="Q155" s="566"/>
      <c r="R155" s="566"/>
      <c r="S155" s="566"/>
      <c r="T155" s="566"/>
      <c r="U155" s="566"/>
      <c r="V155" s="566"/>
      <c r="W155" s="566"/>
      <c r="X155" s="566"/>
      <c r="Y155" s="566"/>
      <c r="Z155" s="566"/>
      <c r="AA155" s="566"/>
      <c r="AB155" s="566"/>
      <c r="AC155" s="566"/>
      <c r="AD155" s="566"/>
      <c r="AE155" s="566"/>
      <c r="AF155" s="566"/>
      <c r="AG155" s="566"/>
      <c r="AH155" s="566"/>
      <c r="AI155" s="566"/>
      <c r="AJ155" s="566"/>
      <c r="AK155" s="566"/>
      <c r="AL155" s="566"/>
      <c r="AM155" s="566"/>
      <c r="AN155" s="566"/>
      <c r="AO155" s="566"/>
      <c r="AP155" s="566"/>
      <c r="AQ155" s="566"/>
      <c r="AR155" s="566"/>
    </row>
    <row r="156" spans="1:44" x14ac:dyDescent="0.25">
      <c r="A156" s="566"/>
      <c r="B156" s="566"/>
      <c r="C156" s="566"/>
      <c r="D156" s="566"/>
      <c r="E156" s="566"/>
      <c r="F156" s="566"/>
      <c r="G156" s="566"/>
      <c r="H156" s="566"/>
      <c r="I156" s="566"/>
      <c r="J156" s="566"/>
      <c r="K156" s="566"/>
      <c r="L156" s="566"/>
      <c r="M156" s="566"/>
      <c r="N156" s="566"/>
      <c r="O156" s="566"/>
      <c r="P156" s="566"/>
      <c r="Q156" s="566"/>
      <c r="R156" s="566"/>
      <c r="S156" s="566"/>
      <c r="T156" s="566"/>
      <c r="U156" s="566"/>
      <c r="V156" s="566"/>
      <c r="W156" s="566"/>
      <c r="X156" s="566"/>
      <c r="Y156" s="566"/>
      <c r="Z156" s="566"/>
      <c r="AA156" s="566"/>
      <c r="AB156" s="566"/>
      <c r="AC156" s="566"/>
      <c r="AD156" s="566"/>
      <c r="AE156" s="566"/>
      <c r="AF156" s="566"/>
      <c r="AG156" s="566"/>
      <c r="AH156" s="566"/>
      <c r="AI156" s="566"/>
      <c r="AJ156" s="566"/>
      <c r="AK156" s="566"/>
      <c r="AL156" s="566"/>
      <c r="AM156" s="566"/>
      <c r="AN156" s="566"/>
      <c r="AO156" s="566"/>
      <c r="AP156" s="566"/>
      <c r="AQ156" s="566"/>
      <c r="AR156" s="566"/>
    </row>
    <row r="157" spans="1:44" x14ac:dyDescent="0.25">
      <c r="A157" s="566"/>
      <c r="B157" s="566"/>
      <c r="C157" s="566"/>
      <c r="D157" s="566"/>
      <c r="E157" s="566"/>
      <c r="F157" s="566"/>
      <c r="G157" s="566"/>
      <c r="H157" s="566"/>
      <c r="I157" s="566"/>
      <c r="J157" s="566"/>
      <c r="K157" s="566"/>
      <c r="L157" s="566"/>
      <c r="M157" s="566"/>
      <c r="N157" s="566"/>
      <c r="O157" s="566"/>
      <c r="P157" s="566"/>
      <c r="Q157" s="566"/>
      <c r="R157" s="566"/>
      <c r="S157" s="566"/>
      <c r="T157" s="566"/>
      <c r="U157" s="566"/>
      <c r="V157" s="566"/>
      <c r="W157" s="566"/>
      <c r="X157" s="566"/>
      <c r="Y157" s="566"/>
      <c r="Z157" s="566"/>
      <c r="AA157" s="566"/>
      <c r="AB157" s="566"/>
      <c r="AC157" s="566"/>
      <c r="AD157" s="566"/>
      <c r="AE157" s="566"/>
      <c r="AF157" s="566"/>
      <c r="AG157" s="566"/>
      <c r="AH157" s="566"/>
      <c r="AI157" s="566"/>
      <c r="AJ157" s="566"/>
      <c r="AK157" s="566"/>
      <c r="AL157" s="566"/>
      <c r="AM157" s="566"/>
      <c r="AN157" s="566"/>
      <c r="AO157" s="566"/>
      <c r="AP157" s="566"/>
      <c r="AQ157" s="566"/>
      <c r="AR157" s="566"/>
    </row>
    <row r="158" spans="1:44" x14ac:dyDescent="0.25">
      <c r="A158" s="566"/>
      <c r="B158" s="566"/>
      <c r="C158" s="566"/>
      <c r="D158" s="566"/>
      <c r="E158" s="566"/>
      <c r="F158" s="566"/>
      <c r="G158" s="566"/>
      <c r="H158" s="566"/>
      <c r="I158" s="566"/>
      <c r="J158" s="566"/>
      <c r="K158" s="566"/>
      <c r="L158" s="566"/>
      <c r="M158" s="566"/>
      <c r="N158" s="566"/>
      <c r="O158" s="566"/>
      <c r="P158" s="566"/>
      <c r="Q158" s="566"/>
      <c r="R158" s="566"/>
      <c r="S158" s="566"/>
      <c r="T158" s="566"/>
      <c r="U158" s="566"/>
      <c r="V158" s="566"/>
      <c r="W158" s="566"/>
      <c r="X158" s="566"/>
      <c r="Y158" s="566"/>
      <c r="Z158" s="566"/>
      <c r="AA158" s="566"/>
      <c r="AB158" s="566"/>
      <c r="AC158" s="566"/>
      <c r="AD158" s="566"/>
      <c r="AE158" s="566"/>
      <c r="AF158" s="566"/>
      <c r="AG158" s="566"/>
      <c r="AH158" s="566"/>
      <c r="AI158" s="566"/>
      <c r="AJ158" s="566"/>
      <c r="AK158" s="566"/>
      <c r="AL158" s="566"/>
      <c r="AM158" s="566"/>
      <c r="AN158" s="566"/>
      <c r="AO158" s="566"/>
      <c r="AP158" s="566"/>
      <c r="AQ158" s="566"/>
      <c r="AR158" s="566"/>
    </row>
    <row r="159" spans="1:44" x14ac:dyDescent="0.25">
      <c r="A159" s="566"/>
      <c r="B159" s="566"/>
      <c r="C159" s="566"/>
      <c r="D159" s="566"/>
      <c r="E159" s="566"/>
      <c r="F159" s="566"/>
      <c r="G159" s="566"/>
      <c r="H159" s="566"/>
      <c r="I159" s="566"/>
      <c r="J159" s="566"/>
      <c r="K159" s="566"/>
      <c r="L159" s="566"/>
      <c r="M159" s="566"/>
      <c r="N159" s="566"/>
      <c r="O159" s="566"/>
      <c r="P159" s="566"/>
      <c r="Q159" s="566"/>
      <c r="R159" s="566"/>
      <c r="S159" s="566"/>
      <c r="T159" s="566"/>
      <c r="U159" s="566"/>
      <c r="V159" s="566"/>
      <c r="W159" s="566"/>
      <c r="X159" s="566"/>
      <c r="Y159" s="566"/>
      <c r="Z159" s="566"/>
      <c r="AA159" s="566"/>
      <c r="AB159" s="566"/>
      <c r="AC159" s="566"/>
      <c r="AD159" s="566"/>
      <c r="AE159" s="566"/>
      <c r="AF159" s="566"/>
      <c r="AG159" s="566"/>
      <c r="AH159" s="566"/>
      <c r="AI159" s="566"/>
      <c r="AJ159" s="566"/>
      <c r="AK159" s="566"/>
      <c r="AL159" s="566"/>
      <c r="AM159" s="566"/>
      <c r="AN159" s="566"/>
      <c r="AO159" s="566"/>
      <c r="AP159" s="566"/>
      <c r="AQ159" s="566"/>
      <c r="AR159" s="566"/>
    </row>
    <row r="160" spans="1:44" x14ac:dyDescent="0.25">
      <c r="A160" s="566"/>
      <c r="B160" s="566"/>
      <c r="C160" s="566"/>
      <c r="D160" s="566"/>
      <c r="E160" s="566"/>
      <c r="F160" s="566"/>
      <c r="G160" s="566"/>
      <c r="H160" s="566"/>
      <c r="I160" s="566"/>
      <c r="J160" s="566"/>
      <c r="K160" s="566"/>
      <c r="L160" s="566"/>
      <c r="M160" s="566"/>
      <c r="N160" s="566"/>
      <c r="O160" s="566"/>
      <c r="P160" s="566"/>
      <c r="Q160" s="566"/>
      <c r="R160" s="566"/>
      <c r="S160" s="566"/>
      <c r="T160" s="566"/>
      <c r="U160" s="566"/>
      <c r="V160" s="566"/>
      <c r="W160" s="566"/>
      <c r="X160" s="566"/>
      <c r="Y160" s="566"/>
      <c r="Z160" s="566"/>
      <c r="AA160" s="566"/>
      <c r="AB160" s="566"/>
      <c r="AC160" s="566"/>
      <c r="AD160" s="566"/>
      <c r="AE160" s="566"/>
      <c r="AF160" s="566"/>
      <c r="AG160" s="566"/>
      <c r="AH160" s="566"/>
      <c r="AI160" s="566"/>
      <c r="AJ160" s="566"/>
      <c r="AK160" s="566"/>
      <c r="AL160" s="566"/>
      <c r="AM160" s="566"/>
      <c r="AN160" s="566"/>
      <c r="AO160" s="566"/>
      <c r="AP160" s="566"/>
      <c r="AQ160" s="566"/>
      <c r="AR160" s="566"/>
    </row>
    <row r="161" spans="1:44" x14ac:dyDescent="0.25">
      <c r="A161" s="566"/>
      <c r="B161" s="566"/>
      <c r="C161" s="566"/>
      <c r="D161" s="566"/>
      <c r="E161" s="566"/>
      <c r="F161" s="566"/>
      <c r="G161" s="566"/>
      <c r="H161" s="566"/>
      <c r="I161" s="566"/>
      <c r="J161" s="566"/>
      <c r="K161" s="566"/>
      <c r="L161" s="566"/>
      <c r="M161" s="566"/>
      <c r="N161" s="566"/>
      <c r="O161" s="566"/>
      <c r="P161" s="566"/>
      <c r="Q161" s="566"/>
      <c r="R161" s="566"/>
      <c r="S161" s="566"/>
      <c r="T161" s="566"/>
      <c r="U161" s="566"/>
      <c r="V161" s="566"/>
      <c r="W161" s="566"/>
      <c r="X161" s="566"/>
      <c r="Y161" s="566"/>
      <c r="Z161" s="566"/>
      <c r="AA161" s="566"/>
      <c r="AB161" s="566"/>
      <c r="AC161" s="566"/>
      <c r="AD161" s="566"/>
      <c r="AE161" s="566"/>
      <c r="AF161" s="566"/>
      <c r="AG161" s="566"/>
      <c r="AH161" s="566"/>
      <c r="AI161" s="566"/>
      <c r="AJ161" s="566"/>
      <c r="AK161" s="566"/>
      <c r="AL161" s="566"/>
      <c r="AM161" s="566"/>
      <c r="AN161" s="566"/>
      <c r="AO161" s="566"/>
      <c r="AP161" s="566"/>
      <c r="AQ161" s="566"/>
      <c r="AR161" s="566"/>
    </row>
    <row r="162" spans="1:44" x14ac:dyDescent="0.25">
      <c r="A162" s="566"/>
      <c r="B162" s="566"/>
      <c r="C162" s="566"/>
      <c r="D162" s="566"/>
      <c r="E162" s="566"/>
      <c r="F162" s="566"/>
      <c r="G162" s="566"/>
      <c r="H162" s="566"/>
      <c r="I162" s="566"/>
      <c r="J162" s="566"/>
      <c r="K162" s="566"/>
      <c r="L162" s="566"/>
      <c r="M162" s="566"/>
      <c r="N162" s="566"/>
      <c r="O162" s="566"/>
      <c r="P162" s="566"/>
      <c r="Q162" s="566"/>
      <c r="R162" s="566"/>
      <c r="S162" s="566"/>
      <c r="T162" s="566"/>
      <c r="U162" s="566"/>
      <c r="V162" s="566"/>
      <c r="W162" s="566"/>
      <c r="X162" s="566"/>
      <c r="Y162" s="566"/>
      <c r="Z162" s="566"/>
      <c r="AA162" s="566"/>
      <c r="AB162" s="566"/>
      <c r="AC162" s="566"/>
      <c r="AD162" s="566"/>
      <c r="AE162" s="566"/>
      <c r="AF162" s="566"/>
      <c r="AG162" s="566"/>
      <c r="AH162" s="566"/>
      <c r="AI162" s="566"/>
      <c r="AJ162" s="566"/>
      <c r="AK162" s="566"/>
      <c r="AL162" s="566"/>
      <c r="AM162" s="566"/>
      <c r="AN162" s="566"/>
      <c r="AO162" s="566"/>
      <c r="AP162" s="566"/>
      <c r="AQ162" s="566"/>
      <c r="AR162" s="566"/>
    </row>
    <row r="163" spans="1:44" x14ac:dyDescent="0.25">
      <c r="A163" s="566"/>
      <c r="B163" s="566"/>
      <c r="C163" s="566"/>
      <c r="D163" s="566"/>
      <c r="E163" s="566"/>
      <c r="F163" s="566"/>
      <c r="G163" s="566"/>
      <c r="H163" s="566"/>
      <c r="I163" s="566"/>
      <c r="J163" s="566"/>
      <c r="K163" s="566"/>
      <c r="L163" s="566"/>
      <c r="M163" s="566"/>
      <c r="N163" s="566"/>
      <c r="O163" s="566"/>
      <c r="P163" s="566"/>
      <c r="Q163" s="566"/>
      <c r="R163" s="566"/>
      <c r="S163" s="566"/>
      <c r="T163" s="566"/>
      <c r="U163" s="566"/>
      <c r="V163" s="566"/>
      <c r="W163" s="566"/>
      <c r="X163" s="566"/>
      <c r="Y163" s="566"/>
      <c r="Z163" s="566"/>
      <c r="AA163" s="566"/>
      <c r="AB163" s="566"/>
      <c r="AC163" s="566"/>
      <c r="AD163" s="566"/>
      <c r="AE163" s="566"/>
      <c r="AF163" s="566"/>
      <c r="AG163" s="566"/>
      <c r="AH163" s="566"/>
      <c r="AI163" s="566"/>
      <c r="AJ163" s="566"/>
      <c r="AK163" s="566"/>
      <c r="AL163" s="566"/>
      <c r="AM163" s="566"/>
      <c r="AN163" s="566"/>
      <c r="AO163" s="566"/>
      <c r="AP163" s="566"/>
      <c r="AQ163" s="566"/>
      <c r="AR163" s="566"/>
    </row>
    <row r="164" spans="1:44" x14ac:dyDescent="0.25">
      <c r="A164" s="566"/>
      <c r="B164" s="566"/>
      <c r="C164" s="566"/>
      <c r="D164" s="566"/>
      <c r="E164" s="566"/>
      <c r="F164" s="566"/>
      <c r="G164" s="566"/>
      <c r="H164" s="566"/>
      <c r="I164" s="566"/>
      <c r="J164" s="566"/>
      <c r="K164" s="566"/>
      <c r="L164" s="566"/>
      <c r="M164" s="566"/>
      <c r="N164" s="566"/>
      <c r="O164" s="566"/>
      <c r="P164" s="566"/>
      <c r="Q164" s="566"/>
      <c r="R164" s="566"/>
      <c r="S164" s="566"/>
      <c r="T164" s="566"/>
      <c r="U164" s="566"/>
      <c r="V164" s="566"/>
      <c r="W164" s="566"/>
      <c r="X164" s="566"/>
      <c r="Y164" s="566"/>
      <c r="Z164" s="566"/>
      <c r="AA164" s="566"/>
      <c r="AB164" s="566"/>
      <c r="AC164" s="566"/>
      <c r="AD164" s="566"/>
      <c r="AE164" s="566"/>
      <c r="AF164" s="566"/>
      <c r="AG164" s="566"/>
      <c r="AH164" s="566"/>
      <c r="AI164" s="566"/>
      <c r="AJ164" s="566"/>
      <c r="AK164" s="566"/>
      <c r="AL164" s="566"/>
      <c r="AM164" s="566"/>
      <c r="AN164" s="566"/>
      <c r="AO164" s="566"/>
      <c r="AP164" s="566"/>
      <c r="AQ164" s="566"/>
      <c r="AR164" s="566"/>
    </row>
    <row r="165" spans="1:44" x14ac:dyDescent="0.25">
      <c r="A165" s="566"/>
      <c r="B165" s="566"/>
      <c r="C165" s="566"/>
      <c r="D165" s="566"/>
      <c r="E165" s="566"/>
      <c r="F165" s="566"/>
      <c r="G165" s="566"/>
      <c r="H165" s="566"/>
      <c r="I165" s="566"/>
      <c r="J165" s="566"/>
      <c r="K165" s="566"/>
      <c r="L165" s="566"/>
      <c r="M165" s="566"/>
      <c r="N165" s="566"/>
      <c r="O165" s="566"/>
      <c r="P165" s="566"/>
      <c r="Q165" s="566"/>
      <c r="R165" s="566"/>
      <c r="S165" s="566"/>
      <c r="T165" s="566"/>
      <c r="U165" s="566"/>
      <c r="V165" s="566"/>
      <c r="W165" s="566"/>
      <c r="X165" s="566"/>
      <c r="Y165" s="566"/>
      <c r="Z165" s="566"/>
      <c r="AA165" s="566"/>
      <c r="AB165" s="566"/>
      <c r="AC165" s="566"/>
      <c r="AD165" s="566"/>
      <c r="AE165" s="566"/>
      <c r="AF165" s="566"/>
      <c r="AG165" s="566"/>
      <c r="AH165" s="566"/>
      <c r="AI165" s="566"/>
      <c r="AJ165" s="566"/>
      <c r="AK165" s="566"/>
      <c r="AL165" s="566"/>
      <c r="AM165" s="566"/>
      <c r="AN165" s="566"/>
      <c r="AO165" s="566"/>
      <c r="AP165" s="566"/>
      <c r="AQ165" s="566"/>
      <c r="AR165" s="566"/>
    </row>
    <row r="166" spans="1:44" x14ac:dyDescent="0.25">
      <c r="A166" s="566"/>
      <c r="B166" s="566"/>
      <c r="C166" s="566"/>
      <c r="D166" s="566"/>
      <c r="E166" s="566"/>
      <c r="F166" s="566"/>
      <c r="G166" s="566"/>
      <c r="H166" s="566"/>
      <c r="I166" s="566"/>
      <c r="J166" s="566"/>
      <c r="K166" s="566"/>
      <c r="L166" s="566"/>
      <c r="M166" s="566"/>
      <c r="N166" s="566"/>
      <c r="O166" s="566"/>
      <c r="P166" s="566"/>
      <c r="Q166" s="566"/>
      <c r="R166" s="566"/>
      <c r="S166" s="566"/>
      <c r="T166" s="566"/>
      <c r="U166" s="566"/>
      <c r="V166" s="566"/>
      <c r="W166" s="566"/>
      <c r="X166" s="566"/>
      <c r="Y166" s="566"/>
      <c r="Z166" s="566"/>
      <c r="AA166" s="566"/>
      <c r="AB166" s="566"/>
      <c r="AC166" s="566"/>
      <c r="AD166" s="566"/>
      <c r="AE166" s="566"/>
      <c r="AF166" s="566"/>
      <c r="AG166" s="566"/>
      <c r="AH166" s="566"/>
      <c r="AI166" s="566"/>
      <c r="AJ166" s="566"/>
      <c r="AK166" s="566"/>
      <c r="AL166" s="566"/>
      <c r="AM166" s="566"/>
      <c r="AN166" s="566"/>
      <c r="AO166" s="566"/>
      <c r="AP166" s="566"/>
      <c r="AQ166" s="566"/>
      <c r="AR166" s="566"/>
    </row>
    <row r="167" spans="1:44" x14ac:dyDescent="0.25">
      <c r="A167" s="566"/>
      <c r="B167" s="566"/>
      <c r="C167" s="566"/>
      <c r="D167" s="566"/>
      <c r="E167" s="566"/>
      <c r="F167" s="566"/>
      <c r="G167" s="566"/>
      <c r="H167" s="566"/>
      <c r="I167" s="566"/>
      <c r="J167" s="566"/>
      <c r="K167" s="566"/>
      <c r="L167" s="566"/>
      <c r="M167" s="566"/>
      <c r="N167" s="566"/>
      <c r="O167" s="566"/>
      <c r="P167" s="566"/>
      <c r="Q167" s="566"/>
      <c r="R167" s="566"/>
      <c r="S167" s="566"/>
      <c r="T167" s="566"/>
      <c r="U167" s="566"/>
      <c r="V167" s="566"/>
      <c r="W167" s="566"/>
      <c r="X167" s="566"/>
      <c r="Y167" s="566"/>
      <c r="Z167" s="566"/>
      <c r="AA167" s="566"/>
      <c r="AB167" s="566"/>
      <c r="AC167" s="566"/>
      <c r="AD167" s="566"/>
      <c r="AE167" s="566"/>
      <c r="AF167" s="566"/>
      <c r="AG167" s="566"/>
      <c r="AH167" s="566"/>
      <c r="AI167" s="566"/>
      <c r="AJ167" s="566"/>
      <c r="AK167" s="566"/>
      <c r="AL167" s="566"/>
      <c r="AM167" s="566"/>
      <c r="AN167" s="566"/>
      <c r="AO167" s="566"/>
      <c r="AP167" s="566"/>
      <c r="AQ167" s="566"/>
      <c r="AR167" s="566"/>
    </row>
    <row r="168" spans="1:44" x14ac:dyDescent="0.25">
      <c r="A168" s="566"/>
      <c r="B168" s="566"/>
      <c r="C168" s="566"/>
      <c r="D168" s="566"/>
      <c r="E168" s="566"/>
      <c r="F168" s="566"/>
      <c r="G168" s="566"/>
      <c r="H168" s="566"/>
      <c r="I168" s="566"/>
      <c r="J168" s="566"/>
      <c r="K168" s="566"/>
      <c r="L168" s="566"/>
      <c r="M168" s="566"/>
      <c r="N168" s="566"/>
      <c r="O168" s="566"/>
      <c r="P168" s="566"/>
      <c r="Q168" s="566"/>
      <c r="R168" s="566"/>
      <c r="S168" s="566"/>
      <c r="T168" s="566"/>
      <c r="U168" s="566"/>
      <c r="V168" s="566"/>
      <c r="W168" s="566"/>
      <c r="X168" s="566"/>
      <c r="Y168" s="566"/>
      <c r="Z168" s="566"/>
      <c r="AA168" s="566"/>
      <c r="AB168" s="566"/>
      <c r="AC168" s="566"/>
      <c r="AD168" s="566"/>
      <c r="AE168" s="566"/>
      <c r="AF168" s="566"/>
      <c r="AG168" s="566"/>
      <c r="AH168" s="566"/>
      <c r="AI168" s="566"/>
      <c r="AJ168" s="566"/>
      <c r="AK168" s="566"/>
      <c r="AL168" s="566"/>
      <c r="AM168" s="566"/>
      <c r="AN168" s="566"/>
      <c r="AO168" s="566"/>
      <c r="AP168" s="566"/>
      <c r="AQ168" s="566"/>
      <c r="AR168" s="566"/>
    </row>
    <row r="169" spans="1:44" x14ac:dyDescent="0.25">
      <c r="A169" s="566"/>
      <c r="B169" s="566"/>
      <c r="C169" s="566"/>
      <c r="D169" s="566"/>
      <c r="E169" s="566"/>
      <c r="F169" s="566"/>
      <c r="G169" s="566"/>
      <c r="H169" s="566"/>
      <c r="I169" s="566"/>
      <c r="J169" s="566"/>
      <c r="K169" s="566"/>
      <c r="L169" s="566"/>
      <c r="M169" s="566"/>
      <c r="N169" s="566"/>
      <c r="O169" s="566"/>
      <c r="P169" s="566"/>
      <c r="Q169" s="566"/>
      <c r="R169" s="566"/>
      <c r="S169" s="566"/>
      <c r="T169" s="566"/>
      <c r="U169" s="566"/>
      <c r="V169" s="566"/>
      <c r="W169" s="566"/>
      <c r="X169" s="566"/>
      <c r="Y169" s="566"/>
      <c r="Z169" s="566"/>
      <c r="AA169" s="566"/>
      <c r="AB169" s="566"/>
      <c r="AC169" s="566"/>
      <c r="AD169" s="566"/>
      <c r="AE169" s="566"/>
      <c r="AF169" s="566"/>
      <c r="AG169" s="566"/>
      <c r="AH169" s="566"/>
      <c r="AI169" s="566"/>
      <c r="AJ169" s="566"/>
      <c r="AK169" s="566"/>
      <c r="AL169" s="566"/>
      <c r="AM169" s="566"/>
      <c r="AN169" s="566"/>
      <c r="AO169" s="566"/>
      <c r="AP169" s="566"/>
      <c r="AQ169" s="566"/>
      <c r="AR169" s="566"/>
    </row>
    <row r="170" spans="1:44" x14ac:dyDescent="0.25">
      <c r="A170" s="566"/>
      <c r="B170" s="566"/>
      <c r="C170" s="566"/>
      <c r="D170" s="566"/>
      <c r="E170" s="566"/>
      <c r="F170" s="566"/>
      <c r="G170" s="566"/>
      <c r="H170" s="566"/>
      <c r="I170" s="566"/>
      <c r="J170" s="566"/>
      <c r="K170" s="566"/>
      <c r="L170" s="566"/>
      <c r="M170" s="566"/>
      <c r="N170" s="566"/>
      <c r="O170" s="566"/>
      <c r="P170" s="566"/>
      <c r="Q170" s="566"/>
      <c r="R170" s="566"/>
      <c r="S170" s="566"/>
      <c r="T170" s="566"/>
      <c r="U170" s="566"/>
      <c r="V170" s="566"/>
      <c r="W170" s="566"/>
      <c r="X170" s="566"/>
      <c r="Y170" s="566"/>
      <c r="Z170" s="566"/>
      <c r="AA170" s="566"/>
      <c r="AB170" s="566"/>
      <c r="AC170" s="566"/>
      <c r="AD170" s="566"/>
      <c r="AE170" s="566"/>
      <c r="AF170" s="566"/>
      <c r="AG170" s="566"/>
      <c r="AH170" s="566"/>
      <c r="AI170" s="566"/>
      <c r="AJ170" s="566"/>
      <c r="AK170" s="566"/>
      <c r="AL170" s="566"/>
      <c r="AM170" s="566"/>
      <c r="AN170" s="566"/>
      <c r="AO170" s="566"/>
      <c r="AP170" s="566"/>
      <c r="AQ170" s="566"/>
      <c r="AR170" s="566"/>
    </row>
    <row r="171" spans="1:44" x14ac:dyDescent="0.25">
      <c r="A171" s="566"/>
      <c r="B171" s="566"/>
      <c r="C171" s="566"/>
      <c r="D171" s="566"/>
      <c r="E171" s="566"/>
      <c r="F171" s="566"/>
      <c r="G171" s="566"/>
      <c r="H171" s="566"/>
      <c r="I171" s="566"/>
      <c r="J171" s="566"/>
      <c r="K171" s="566"/>
      <c r="L171" s="566"/>
      <c r="M171" s="566"/>
      <c r="N171" s="566"/>
      <c r="O171" s="566"/>
      <c r="P171" s="566"/>
      <c r="Q171" s="566"/>
      <c r="R171" s="566"/>
      <c r="S171" s="566"/>
      <c r="T171" s="566"/>
      <c r="U171" s="566"/>
      <c r="V171" s="566"/>
      <c r="W171" s="566"/>
      <c r="X171" s="566"/>
      <c r="Y171" s="566"/>
      <c r="Z171" s="566"/>
      <c r="AA171" s="566"/>
      <c r="AB171" s="566"/>
      <c r="AC171" s="566"/>
      <c r="AD171" s="566"/>
      <c r="AE171" s="566"/>
      <c r="AF171" s="566"/>
      <c r="AG171" s="566"/>
      <c r="AH171" s="566"/>
      <c r="AI171" s="566"/>
      <c r="AJ171" s="566"/>
      <c r="AK171" s="566"/>
      <c r="AL171" s="566"/>
      <c r="AM171" s="566"/>
      <c r="AN171" s="566"/>
      <c r="AO171" s="566"/>
      <c r="AP171" s="566"/>
      <c r="AQ171" s="566"/>
      <c r="AR171" s="566"/>
    </row>
    <row r="172" spans="1:44" x14ac:dyDescent="0.25">
      <c r="A172" s="566"/>
      <c r="B172" s="566"/>
      <c r="C172" s="566"/>
      <c r="D172" s="566"/>
      <c r="E172" s="566"/>
      <c r="F172" s="566"/>
      <c r="G172" s="566"/>
      <c r="H172" s="566"/>
      <c r="I172" s="566"/>
      <c r="J172" s="566"/>
      <c r="K172" s="566"/>
      <c r="L172" s="566"/>
      <c r="M172" s="566"/>
      <c r="N172" s="566"/>
      <c r="O172" s="566"/>
      <c r="P172" s="566"/>
      <c r="Q172" s="566"/>
      <c r="R172" s="566"/>
      <c r="S172" s="566"/>
      <c r="T172" s="566"/>
      <c r="U172" s="566"/>
      <c r="V172" s="566"/>
      <c r="W172" s="566"/>
      <c r="X172" s="566"/>
      <c r="Y172" s="566"/>
      <c r="Z172" s="566"/>
      <c r="AA172" s="566"/>
      <c r="AB172" s="566"/>
      <c r="AC172" s="566"/>
      <c r="AD172" s="566"/>
      <c r="AE172" s="566"/>
      <c r="AF172" s="566"/>
      <c r="AG172" s="566"/>
      <c r="AH172" s="566"/>
      <c r="AI172" s="566"/>
      <c r="AJ172" s="566"/>
      <c r="AK172" s="566"/>
      <c r="AL172" s="566"/>
      <c r="AM172" s="566"/>
      <c r="AN172" s="566"/>
      <c r="AO172" s="566"/>
      <c r="AP172" s="566"/>
      <c r="AQ172" s="566"/>
      <c r="AR172" s="566"/>
    </row>
    <row r="173" spans="1:44" x14ac:dyDescent="0.25">
      <c r="A173" s="566"/>
      <c r="B173" s="566"/>
      <c r="C173" s="566"/>
      <c r="D173" s="566"/>
      <c r="E173" s="566"/>
      <c r="F173" s="566"/>
      <c r="G173" s="566"/>
      <c r="H173" s="566"/>
      <c r="I173" s="566"/>
      <c r="J173" s="566"/>
      <c r="K173" s="566"/>
      <c r="L173" s="566"/>
      <c r="M173" s="566"/>
      <c r="N173" s="566"/>
      <c r="O173" s="566"/>
      <c r="P173" s="566"/>
      <c r="Q173" s="566"/>
      <c r="R173" s="566"/>
      <c r="S173" s="566"/>
      <c r="T173" s="566"/>
      <c r="U173" s="566"/>
      <c r="V173" s="566"/>
      <c r="W173" s="566"/>
      <c r="X173" s="566"/>
      <c r="Y173" s="566"/>
      <c r="Z173" s="566"/>
      <c r="AA173" s="566"/>
      <c r="AB173" s="566"/>
      <c r="AC173" s="566"/>
      <c r="AD173" s="566"/>
      <c r="AE173" s="566"/>
      <c r="AF173" s="566"/>
      <c r="AG173" s="566"/>
      <c r="AH173" s="566"/>
      <c r="AI173" s="566"/>
      <c r="AJ173" s="566"/>
      <c r="AK173" s="566"/>
      <c r="AL173" s="566"/>
      <c r="AM173" s="566"/>
      <c r="AN173" s="566"/>
      <c r="AO173" s="566"/>
      <c r="AP173" s="566"/>
      <c r="AQ173" s="566"/>
      <c r="AR173" s="566"/>
    </row>
    <row r="174" spans="1:44" x14ac:dyDescent="0.25">
      <c r="A174" s="566"/>
      <c r="B174" s="566"/>
      <c r="C174" s="566"/>
      <c r="D174" s="566"/>
      <c r="E174" s="566"/>
      <c r="F174" s="566"/>
      <c r="G174" s="566"/>
      <c r="H174" s="566"/>
      <c r="I174" s="566"/>
      <c r="J174" s="566"/>
      <c r="K174" s="566"/>
      <c r="L174" s="566"/>
      <c r="M174" s="566"/>
      <c r="N174" s="566"/>
      <c r="O174" s="566"/>
      <c r="P174" s="566"/>
      <c r="Q174" s="566"/>
      <c r="R174" s="566"/>
      <c r="S174" s="566"/>
      <c r="T174" s="566"/>
      <c r="U174" s="566"/>
      <c r="V174" s="566"/>
      <c r="W174" s="566"/>
      <c r="X174" s="566"/>
      <c r="Y174" s="566"/>
      <c r="Z174" s="566"/>
      <c r="AA174" s="566"/>
      <c r="AB174" s="566"/>
      <c r="AC174" s="566"/>
      <c r="AD174" s="566"/>
      <c r="AE174" s="566"/>
      <c r="AF174" s="566"/>
      <c r="AG174" s="566"/>
      <c r="AH174" s="566"/>
      <c r="AI174" s="566"/>
      <c r="AJ174" s="566"/>
      <c r="AK174" s="566"/>
      <c r="AL174" s="566"/>
      <c r="AM174" s="566"/>
      <c r="AN174" s="566"/>
      <c r="AO174" s="566"/>
      <c r="AP174" s="566"/>
      <c r="AQ174" s="566"/>
      <c r="AR174" s="566"/>
    </row>
    <row r="175" spans="1:44" x14ac:dyDescent="0.25">
      <c r="A175" s="566"/>
      <c r="B175" s="566"/>
      <c r="C175" s="566"/>
      <c r="D175" s="566"/>
      <c r="E175" s="566"/>
      <c r="F175" s="566"/>
      <c r="G175" s="566"/>
      <c r="H175" s="566"/>
      <c r="I175" s="566"/>
      <c r="J175" s="566"/>
      <c r="K175" s="566"/>
      <c r="L175" s="566"/>
      <c r="M175" s="566"/>
      <c r="N175" s="566"/>
      <c r="O175" s="566"/>
      <c r="P175" s="566"/>
      <c r="Q175" s="566"/>
      <c r="R175" s="566"/>
      <c r="S175" s="566"/>
      <c r="T175" s="566"/>
      <c r="U175" s="566"/>
      <c r="V175" s="566"/>
      <c r="W175" s="566"/>
      <c r="X175" s="566"/>
      <c r="Y175" s="566"/>
      <c r="Z175" s="566"/>
      <c r="AA175" s="566"/>
      <c r="AB175" s="566"/>
      <c r="AC175" s="566"/>
      <c r="AD175" s="566"/>
      <c r="AE175" s="566"/>
      <c r="AF175" s="566"/>
      <c r="AG175" s="566"/>
      <c r="AH175" s="566"/>
      <c r="AI175" s="566"/>
      <c r="AJ175" s="566"/>
      <c r="AK175" s="566"/>
      <c r="AL175" s="566"/>
      <c r="AM175" s="566"/>
      <c r="AN175" s="566"/>
      <c r="AO175" s="566"/>
      <c r="AP175" s="566"/>
      <c r="AQ175" s="566"/>
      <c r="AR175" s="566"/>
    </row>
    <row r="176" spans="1:44" x14ac:dyDescent="0.25">
      <c r="A176" s="566"/>
      <c r="B176" s="566"/>
      <c r="C176" s="566"/>
      <c r="D176" s="566"/>
      <c r="E176" s="566"/>
      <c r="F176" s="566"/>
      <c r="G176" s="566"/>
      <c r="H176" s="566"/>
      <c r="I176" s="566"/>
      <c r="J176" s="566"/>
      <c r="K176" s="566"/>
      <c r="L176" s="566"/>
      <c r="M176" s="566"/>
      <c r="N176" s="566"/>
      <c r="O176" s="566"/>
      <c r="P176" s="566"/>
      <c r="Q176" s="566"/>
      <c r="R176" s="566"/>
      <c r="S176" s="566"/>
      <c r="T176" s="566"/>
      <c r="U176" s="566"/>
      <c r="V176" s="566"/>
      <c r="W176" s="566"/>
      <c r="X176" s="566"/>
      <c r="Y176" s="566"/>
      <c r="Z176" s="566"/>
      <c r="AA176" s="566"/>
      <c r="AB176" s="566"/>
      <c r="AC176" s="566"/>
      <c r="AD176" s="566"/>
      <c r="AE176" s="566"/>
      <c r="AF176" s="566"/>
      <c r="AG176" s="566"/>
      <c r="AH176" s="566"/>
      <c r="AI176" s="566"/>
      <c r="AJ176" s="566"/>
      <c r="AK176" s="566"/>
      <c r="AL176" s="566"/>
      <c r="AM176" s="566"/>
      <c r="AN176" s="566"/>
      <c r="AO176" s="566"/>
      <c r="AP176" s="566"/>
      <c r="AQ176" s="566"/>
      <c r="AR176" s="566"/>
    </row>
    <row r="177" spans="1:44" x14ac:dyDescent="0.25">
      <c r="A177" s="566"/>
      <c r="B177" s="566"/>
      <c r="C177" s="566"/>
      <c r="D177" s="566"/>
      <c r="E177" s="566"/>
      <c r="F177" s="566"/>
      <c r="G177" s="566"/>
      <c r="H177" s="566"/>
      <c r="I177" s="566"/>
      <c r="J177" s="566"/>
      <c r="K177" s="566"/>
      <c r="L177" s="566"/>
      <c r="M177" s="566"/>
      <c r="N177" s="566"/>
      <c r="O177" s="566"/>
      <c r="P177" s="566"/>
      <c r="Q177" s="566"/>
      <c r="R177" s="566"/>
      <c r="S177" s="566"/>
      <c r="T177" s="566"/>
      <c r="U177" s="566"/>
      <c r="V177" s="566"/>
      <c r="W177" s="566"/>
      <c r="X177" s="566"/>
      <c r="Y177" s="566"/>
      <c r="Z177" s="566"/>
      <c r="AA177" s="566"/>
      <c r="AB177" s="566"/>
      <c r="AC177" s="566"/>
      <c r="AD177" s="566"/>
      <c r="AE177" s="566"/>
      <c r="AF177" s="566"/>
      <c r="AG177" s="566"/>
      <c r="AH177" s="566"/>
      <c r="AI177" s="566"/>
      <c r="AJ177" s="566"/>
      <c r="AK177" s="566"/>
      <c r="AL177" s="566"/>
      <c r="AM177" s="566"/>
      <c r="AN177" s="566"/>
      <c r="AO177" s="566"/>
      <c r="AP177" s="566"/>
      <c r="AQ177" s="566"/>
      <c r="AR177" s="566"/>
    </row>
    <row r="178" spans="1:44" x14ac:dyDescent="0.25">
      <c r="A178" s="566"/>
      <c r="B178" s="566"/>
      <c r="C178" s="566"/>
      <c r="D178" s="566"/>
      <c r="E178" s="566"/>
      <c r="F178" s="566"/>
      <c r="G178" s="566"/>
      <c r="H178" s="566"/>
      <c r="I178" s="566"/>
      <c r="J178" s="566"/>
      <c r="K178" s="566"/>
      <c r="L178" s="566"/>
      <c r="M178" s="566"/>
      <c r="N178" s="566"/>
      <c r="O178" s="566"/>
      <c r="P178" s="566"/>
      <c r="Q178" s="566"/>
      <c r="R178" s="566"/>
      <c r="S178" s="566"/>
      <c r="T178" s="566"/>
      <c r="U178" s="566"/>
      <c r="V178" s="566"/>
      <c r="W178" s="566"/>
      <c r="X178" s="566"/>
      <c r="Y178" s="566"/>
      <c r="Z178" s="566"/>
      <c r="AA178" s="566"/>
      <c r="AB178" s="566"/>
      <c r="AC178" s="566"/>
      <c r="AD178" s="566"/>
      <c r="AE178" s="566"/>
      <c r="AF178" s="566"/>
      <c r="AG178" s="566"/>
      <c r="AH178" s="566"/>
      <c r="AI178" s="566"/>
      <c r="AJ178" s="566"/>
      <c r="AK178" s="566"/>
      <c r="AL178" s="566"/>
      <c r="AM178" s="566"/>
      <c r="AN178" s="566"/>
      <c r="AO178" s="566"/>
      <c r="AP178" s="566"/>
      <c r="AQ178" s="566"/>
      <c r="AR178" s="566"/>
    </row>
    <row r="179" spans="1:44" x14ac:dyDescent="0.25">
      <c r="A179" s="566"/>
      <c r="B179" s="566"/>
      <c r="C179" s="566"/>
      <c r="D179" s="566"/>
      <c r="E179" s="566"/>
      <c r="F179" s="566"/>
      <c r="G179" s="566"/>
      <c r="H179" s="566"/>
      <c r="I179" s="566"/>
      <c r="J179" s="566"/>
      <c r="K179" s="566"/>
      <c r="L179" s="566"/>
      <c r="M179" s="566"/>
      <c r="N179" s="566"/>
      <c r="O179" s="566"/>
      <c r="P179" s="566"/>
      <c r="Q179" s="566"/>
      <c r="R179" s="566"/>
      <c r="S179" s="566"/>
      <c r="T179" s="566"/>
      <c r="U179" s="566"/>
      <c r="V179" s="566"/>
      <c r="W179" s="566"/>
      <c r="X179" s="566"/>
      <c r="Y179" s="566"/>
      <c r="Z179" s="566"/>
      <c r="AA179" s="566"/>
      <c r="AB179" s="566"/>
      <c r="AC179" s="566"/>
      <c r="AD179" s="566"/>
      <c r="AE179" s="566"/>
      <c r="AF179" s="566"/>
      <c r="AG179" s="566"/>
      <c r="AH179" s="566"/>
      <c r="AI179" s="566"/>
      <c r="AJ179" s="566"/>
      <c r="AK179" s="566"/>
      <c r="AL179" s="566"/>
      <c r="AM179" s="566"/>
      <c r="AN179" s="566"/>
      <c r="AO179" s="566"/>
      <c r="AP179" s="566"/>
      <c r="AQ179" s="566"/>
      <c r="AR179" s="566"/>
    </row>
    <row r="180" spans="1:44" x14ac:dyDescent="0.25">
      <c r="A180" s="566"/>
      <c r="B180" s="566"/>
      <c r="C180" s="566"/>
      <c r="D180" s="566"/>
      <c r="E180" s="566"/>
      <c r="F180" s="566"/>
      <c r="G180" s="566"/>
      <c r="H180" s="566"/>
      <c r="I180" s="566"/>
      <c r="J180" s="566"/>
      <c r="K180" s="566"/>
      <c r="L180" s="566"/>
      <c r="M180" s="566"/>
      <c r="N180" s="566"/>
      <c r="O180" s="566"/>
      <c r="P180" s="566"/>
      <c r="Q180" s="566"/>
      <c r="R180" s="566"/>
      <c r="S180" s="566"/>
      <c r="T180" s="566"/>
      <c r="U180" s="566"/>
      <c r="V180" s="566"/>
      <c r="W180" s="566"/>
      <c r="X180" s="566"/>
      <c r="Y180" s="566"/>
      <c r="Z180" s="566"/>
      <c r="AA180" s="566"/>
      <c r="AB180" s="566"/>
      <c r="AC180" s="566"/>
      <c r="AD180" s="566"/>
      <c r="AE180" s="566"/>
      <c r="AF180" s="566"/>
      <c r="AG180" s="566"/>
      <c r="AH180" s="566"/>
      <c r="AI180" s="566"/>
      <c r="AJ180" s="566"/>
      <c r="AK180" s="566"/>
      <c r="AL180" s="566"/>
      <c r="AM180" s="566"/>
      <c r="AN180" s="566"/>
      <c r="AO180" s="566"/>
      <c r="AP180" s="566"/>
      <c r="AQ180" s="566"/>
      <c r="AR180" s="566"/>
    </row>
    <row r="181" spans="1:44" x14ac:dyDescent="0.25">
      <c r="A181" s="566"/>
      <c r="B181" s="566"/>
      <c r="C181" s="566"/>
      <c r="D181" s="566"/>
      <c r="E181" s="566"/>
      <c r="F181" s="566"/>
      <c r="G181" s="566"/>
      <c r="H181" s="566"/>
      <c r="I181" s="566"/>
      <c r="J181" s="566"/>
      <c r="K181" s="566"/>
      <c r="L181" s="566"/>
      <c r="M181" s="566"/>
      <c r="N181" s="566"/>
      <c r="O181" s="566"/>
      <c r="P181" s="566"/>
      <c r="Q181" s="566"/>
      <c r="R181" s="566"/>
      <c r="S181" s="566"/>
      <c r="T181" s="566"/>
      <c r="U181" s="566"/>
      <c r="V181" s="566"/>
      <c r="W181" s="566"/>
      <c r="X181" s="566"/>
      <c r="Y181" s="566"/>
      <c r="Z181" s="566"/>
      <c r="AA181" s="566"/>
      <c r="AB181" s="566"/>
      <c r="AC181" s="566"/>
      <c r="AD181" s="566"/>
      <c r="AE181" s="566"/>
      <c r="AF181" s="566"/>
      <c r="AG181" s="566"/>
      <c r="AH181" s="566"/>
      <c r="AI181" s="566"/>
      <c r="AJ181" s="566"/>
      <c r="AK181" s="566"/>
      <c r="AL181" s="566"/>
      <c r="AM181" s="566"/>
      <c r="AN181" s="566"/>
      <c r="AO181" s="566"/>
      <c r="AP181" s="566"/>
      <c r="AQ181" s="566"/>
      <c r="AR181" s="566"/>
    </row>
    <row r="182" spans="1:44" x14ac:dyDescent="0.25">
      <c r="A182" s="566"/>
      <c r="B182" s="566"/>
      <c r="C182" s="566"/>
      <c r="D182" s="566"/>
      <c r="E182" s="566"/>
      <c r="F182" s="566"/>
      <c r="G182" s="566"/>
      <c r="H182" s="566"/>
      <c r="I182" s="566"/>
      <c r="J182" s="566"/>
      <c r="K182" s="566"/>
      <c r="L182" s="566"/>
      <c r="M182" s="566"/>
      <c r="N182" s="566"/>
      <c r="O182" s="566"/>
      <c r="P182" s="566"/>
      <c r="Q182" s="566"/>
      <c r="R182" s="566"/>
      <c r="S182" s="566"/>
      <c r="T182" s="566"/>
      <c r="U182" s="566"/>
      <c r="V182" s="566"/>
      <c r="W182" s="566"/>
      <c r="X182" s="566"/>
      <c r="Y182" s="566"/>
      <c r="Z182" s="566"/>
      <c r="AA182" s="566"/>
      <c r="AB182" s="566"/>
      <c r="AC182" s="566"/>
      <c r="AD182" s="566"/>
      <c r="AE182" s="566"/>
      <c r="AF182" s="566"/>
      <c r="AG182" s="566"/>
      <c r="AH182" s="566"/>
      <c r="AI182" s="566"/>
      <c r="AJ182" s="566"/>
      <c r="AK182" s="566"/>
      <c r="AL182" s="566"/>
      <c r="AM182" s="566"/>
      <c r="AN182" s="566"/>
      <c r="AO182" s="566"/>
      <c r="AP182" s="566"/>
      <c r="AQ182" s="566"/>
      <c r="AR182" s="566"/>
    </row>
    <row r="183" spans="1:44" x14ac:dyDescent="0.25">
      <c r="A183" s="566"/>
      <c r="B183" s="566"/>
      <c r="C183" s="566"/>
      <c r="D183" s="566"/>
      <c r="E183" s="566"/>
      <c r="F183" s="566"/>
      <c r="G183" s="566"/>
      <c r="H183" s="566"/>
      <c r="I183" s="566"/>
      <c r="J183" s="566"/>
      <c r="K183" s="566"/>
      <c r="L183" s="566"/>
      <c r="M183" s="566"/>
      <c r="N183" s="566"/>
      <c r="O183" s="566"/>
      <c r="P183" s="566"/>
      <c r="Q183" s="566"/>
      <c r="R183" s="566"/>
      <c r="S183" s="566"/>
      <c r="T183" s="566"/>
      <c r="U183" s="566"/>
      <c r="V183" s="566"/>
      <c r="W183" s="566"/>
      <c r="X183" s="566"/>
      <c r="Y183" s="566"/>
      <c r="Z183" s="566"/>
      <c r="AA183" s="566"/>
      <c r="AB183" s="566"/>
      <c r="AC183" s="566"/>
      <c r="AD183" s="566"/>
      <c r="AE183" s="566"/>
      <c r="AF183" s="566"/>
      <c r="AG183" s="566"/>
      <c r="AH183" s="566"/>
      <c r="AI183" s="566"/>
      <c r="AJ183" s="566"/>
      <c r="AK183" s="566"/>
      <c r="AL183" s="566"/>
      <c r="AM183" s="566"/>
      <c r="AN183" s="566"/>
      <c r="AO183" s="566"/>
      <c r="AP183" s="566"/>
      <c r="AQ183" s="566"/>
      <c r="AR183" s="566"/>
    </row>
    <row r="184" spans="1:44" x14ac:dyDescent="0.25">
      <c r="A184" s="566"/>
      <c r="B184" s="566"/>
      <c r="C184" s="566"/>
      <c r="D184" s="566"/>
      <c r="E184" s="566"/>
      <c r="F184" s="566"/>
      <c r="G184" s="566"/>
      <c r="H184" s="566"/>
      <c r="I184" s="566"/>
      <c r="J184" s="566"/>
      <c r="K184" s="566"/>
      <c r="L184" s="566"/>
      <c r="M184" s="566"/>
      <c r="N184" s="566"/>
      <c r="O184" s="566"/>
      <c r="P184" s="566"/>
      <c r="Q184" s="566"/>
      <c r="R184" s="566"/>
      <c r="S184" s="566"/>
      <c r="T184" s="566"/>
      <c r="U184" s="566"/>
      <c r="V184" s="566"/>
      <c r="W184" s="566"/>
      <c r="X184" s="566"/>
      <c r="Y184" s="566"/>
      <c r="Z184" s="566"/>
      <c r="AA184" s="566"/>
      <c r="AB184" s="566"/>
      <c r="AC184" s="566"/>
      <c r="AD184" s="566"/>
      <c r="AE184" s="566"/>
      <c r="AF184" s="566"/>
      <c r="AG184" s="566"/>
      <c r="AH184" s="566"/>
      <c r="AI184" s="566"/>
      <c r="AJ184" s="566"/>
      <c r="AK184" s="566"/>
      <c r="AL184" s="566"/>
      <c r="AM184" s="566"/>
      <c r="AN184" s="566"/>
      <c r="AO184" s="566"/>
      <c r="AP184" s="566"/>
      <c r="AQ184" s="566"/>
      <c r="AR184" s="566"/>
    </row>
    <row r="185" spans="1:44" x14ac:dyDescent="0.25">
      <c r="A185" s="566"/>
      <c r="B185" s="566"/>
      <c r="C185" s="566"/>
      <c r="D185" s="566"/>
      <c r="E185" s="566"/>
      <c r="F185" s="566"/>
      <c r="G185" s="566"/>
      <c r="H185" s="566"/>
      <c r="I185" s="566"/>
      <c r="J185" s="566"/>
      <c r="K185" s="566"/>
      <c r="L185" s="566"/>
      <c r="M185" s="566"/>
      <c r="N185" s="566"/>
      <c r="O185" s="566"/>
      <c r="P185" s="566"/>
      <c r="Q185" s="566"/>
      <c r="R185" s="566"/>
      <c r="S185" s="566"/>
      <c r="T185" s="566"/>
      <c r="U185" s="566"/>
      <c r="V185" s="566"/>
      <c r="W185" s="566"/>
      <c r="X185" s="566"/>
      <c r="Y185" s="566"/>
      <c r="Z185" s="566"/>
      <c r="AA185" s="566"/>
      <c r="AB185" s="566"/>
      <c r="AC185" s="566"/>
      <c r="AD185" s="566"/>
      <c r="AE185" s="566"/>
      <c r="AF185" s="566"/>
      <c r="AG185" s="566"/>
      <c r="AH185" s="566"/>
      <c r="AI185" s="566"/>
      <c r="AJ185" s="566"/>
      <c r="AK185" s="566"/>
      <c r="AL185" s="566"/>
      <c r="AM185" s="566"/>
      <c r="AN185" s="566"/>
      <c r="AO185" s="566"/>
      <c r="AP185" s="566"/>
      <c r="AQ185" s="566"/>
      <c r="AR185" s="566"/>
    </row>
    <row r="186" spans="1:44" x14ac:dyDescent="0.25">
      <c r="A186" s="566"/>
      <c r="B186" s="566"/>
      <c r="C186" s="566"/>
      <c r="D186" s="566"/>
      <c r="E186" s="566"/>
      <c r="F186" s="566"/>
      <c r="G186" s="566"/>
      <c r="H186" s="566"/>
      <c r="I186" s="566"/>
      <c r="J186" s="566"/>
      <c r="K186" s="566"/>
      <c r="L186" s="566"/>
      <c r="M186" s="566"/>
      <c r="N186" s="566"/>
      <c r="O186" s="566"/>
      <c r="P186" s="566"/>
      <c r="Q186" s="566"/>
      <c r="R186" s="566"/>
      <c r="S186" s="566"/>
      <c r="T186" s="566"/>
      <c r="U186" s="566"/>
      <c r="V186" s="566"/>
      <c r="W186" s="566"/>
      <c r="X186" s="566"/>
      <c r="Y186" s="566"/>
      <c r="Z186" s="566"/>
      <c r="AA186" s="566"/>
      <c r="AB186" s="566"/>
      <c r="AC186" s="566"/>
      <c r="AD186" s="566"/>
      <c r="AE186" s="566"/>
      <c r="AF186" s="566"/>
      <c r="AG186" s="566"/>
      <c r="AH186" s="566"/>
      <c r="AI186" s="566"/>
      <c r="AJ186" s="566"/>
      <c r="AK186" s="566"/>
      <c r="AL186" s="566"/>
      <c r="AM186" s="566"/>
      <c r="AN186" s="566"/>
      <c r="AO186" s="566"/>
      <c r="AP186" s="566"/>
      <c r="AQ186" s="566"/>
      <c r="AR186" s="566"/>
    </row>
    <row r="187" spans="1:44" x14ac:dyDescent="0.25">
      <c r="A187" s="566"/>
      <c r="B187" s="566"/>
      <c r="C187" s="566"/>
      <c r="D187" s="566"/>
      <c r="E187" s="566"/>
      <c r="F187" s="566"/>
      <c r="G187" s="566"/>
      <c r="H187" s="566"/>
      <c r="I187" s="566"/>
      <c r="J187" s="566"/>
      <c r="K187" s="566"/>
      <c r="L187" s="566"/>
      <c r="M187" s="566"/>
      <c r="N187" s="566"/>
      <c r="O187" s="566"/>
      <c r="P187" s="566"/>
      <c r="Q187" s="566"/>
      <c r="R187" s="566"/>
      <c r="S187" s="566"/>
      <c r="T187" s="566"/>
      <c r="U187" s="566"/>
      <c r="V187" s="566"/>
      <c r="W187" s="566"/>
      <c r="X187" s="566"/>
      <c r="Y187" s="566"/>
      <c r="Z187" s="566"/>
      <c r="AA187" s="566"/>
      <c r="AB187" s="566"/>
      <c r="AC187" s="566"/>
      <c r="AD187" s="566"/>
      <c r="AE187" s="566"/>
      <c r="AF187" s="566"/>
      <c r="AG187" s="566"/>
      <c r="AH187" s="566"/>
      <c r="AI187" s="566"/>
      <c r="AJ187" s="566"/>
      <c r="AK187" s="566"/>
      <c r="AL187" s="566"/>
      <c r="AM187" s="566"/>
      <c r="AN187" s="566"/>
      <c r="AO187" s="566"/>
      <c r="AP187" s="566"/>
      <c r="AQ187" s="566"/>
      <c r="AR187" s="566"/>
    </row>
    <row r="188" spans="1:44" x14ac:dyDescent="0.25">
      <c r="A188" s="566"/>
      <c r="B188" s="566"/>
      <c r="C188" s="566"/>
      <c r="D188" s="566"/>
      <c r="E188" s="566"/>
      <c r="F188" s="566"/>
      <c r="G188" s="566"/>
      <c r="H188" s="566"/>
      <c r="I188" s="566"/>
      <c r="J188" s="566"/>
      <c r="K188" s="566"/>
      <c r="L188" s="566"/>
      <c r="M188" s="566"/>
      <c r="N188" s="566"/>
      <c r="O188" s="566"/>
      <c r="P188" s="566"/>
      <c r="Q188" s="566"/>
      <c r="R188" s="566"/>
      <c r="S188" s="566"/>
      <c r="T188" s="566"/>
      <c r="U188" s="566"/>
      <c r="V188" s="566"/>
      <c r="W188" s="566"/>
      <c r="X188" s="566"/>
      <c r="Y188" s="566"/>
      <c r="Z188" s="566"/>
      <c r="AA188" s="566"/>
      <c r="AB188" s="566"/>
      <c r="AC188" s="566"/>
      <c r="AD188" s="566"/>
      <c r="AE188" s="566"/>
      <c r="AF188" s="566"/>
      <c r="AG188" s="566"/>
      <c r="AH188" s="566"/>
      <c r="AI188" s="566"/>
      <c r="AJ188" s="566"/>
      <c r="AK188" s="566"/>
      <c r="AL188" s="566"/>
      <c r="AM188" s="566"/>
      <c r="AN188" s="566"/>
      <c r="AO188" s="566"/>
      <c r="AP188" s="566"/>
      <c r="AQ188" s="566"/>
      <c r="AR188" s="566"/>
    </row>
    <row r="189" spans="1:44" x14ac:dyDescent="0.25">
      <c r="A189" s="566"/>
      <c r="B189" s="566"/>
      <c r="C189" s="566"/>
      <c r="D189" s="566"/>
      <c r="E189" s="566"/>
      <c r="F189" s="566"/>
      <c r="G189" s="566"/>
      <c r="H189" s="566"/>
      <c r="I189" s="566"/>
      <c r="J189" s="566"/>
      <c r="K189" s="566"/>
      <c r="L189" s="566"/>
      <c r="M189" s="566"/>
      <c r="N189" s="566"/>
      <c r="O189" s="566"/>
      <c r="P189" s="566"/>
      <c r="Q189" s="566"/>
      <c r="R189" s="566"/>
      <c r="S189" s="566"/>
      <c r="T189" s="566"/>
      <c r="U189" s="566"/>
      <c r="V189" s="566"/>
      <c r="W189" s="566"/>
      <c r="X189" s="566"/>
      <c r="Y189" s="566"/>
      <c r="Z189" s="566"/>
      <c r="AA189" s="566"/>
      <c r="AB189" s="566"/>
      <c r="AC189" s="566"/>
      <c r="AD189" s="566"/>
      <c r="AE189" s="566"/>
      <c r="AF189" s="566"/>
      <c r="AG189" s="566"/>
      <c r="AH189" s="566"/>
      <c r="AI189" s="566"/>
      <c r="AJ189" s="566"/>
      <c r="AK189" s="566"/>
      <c r="AL189" s="566"/>
      <c r="AM189" s="566"/>
      <c r="AN189" s="566"/>
      <c r="AO189" s="566"/>
      <c r="AP189" s="566"/>
      <c r="AQ189" s="566"/>
      <c r="AR189" s="566"/>
    </row>
    <row r="190" spans="1:44" x14ac:dyDescent="0.25">
      <c r="A190" s="566"/>
      <c r="B190" s="566"/>
      <c r="C190" s="566"/>
      <c r="D190" s="566"/>
      <c r="E190" s="566"/>
      <c r="F190" s="566"/>
      <c r="G190" s="566"/>
      <c r="H190" s="566"/>
      <c r="I190" s="566"/>
      <c r="J190" s="566"/>
      <c r="K190" s="566"/>
      <c r="L190" s="566"/>
      <c r="M190" s="566"/>
      <c r="N190" s="566"/>
      <c r="O190" s="566"/>
      <c r="P190" s="566"/>
      <c r="Q190" s="566"/>
      <c r="R190" s="566"/>
      <c r="S190" s="566"/>
      <c r="T190" s="566"/>
      <c r="U190" s="566"/>
      <c r="V190" s="566"/>
      <c r="W190" s="566"/>
      <c r="X190" s="566"/>
      <c r="Y190" s="566"/>
      <c r="Z190" s="566"/>
      <c r="AA190" s="566"/>
      <c r="AB190" s="566"/>
      <c r="AC190" s="566"/>
      <c r="AD190" s="566"/>
      <c r="AE190" s="566"/>
      <c r="AF190" s="566"/>
      <c r="AG190" s="566"/>
      <c r="AH190" s="566"/>
      <c r="AI190" s="566"/>
      <c r="AJ190" s="566"/>
      <c r="AK190" s="566"/>
      <c r="AL190" s="566"/>
      <c r="AM190" s="566"/>
      <c r="AN190" s="566"/>
      <c r="AO190" s="566"/>
      <c r="AP190" s="566"/>
      <c r="AQ190" s="566"/>
      <c r="AR190" s="566"/>
    </row>
    <row r="191" spans="1:44" x14ac:dyDescent="0.25">
      <c r="A191" s="566"/>
      <c r="B191" s="566"/>
      <c r="C191" s="566"/>
      <c r="D191" s="566"/>
      <c r="E191" s="566"/>
      <c r="F191" s="566"/>
      <c r="G191" s="566"/>
      <c r="H191" s="566"/>
      <c r="I191" s="566"/>
      <c r="J191" s="566"/>
      <c r="K191" s="566"/>
      <c r="L191" s="566"/>
      <c r="M191" s="566"/>
      <c r="N191" s="566"/>
      <c r="O191" s="566"/>
      <c r="P191" s="566"/>
      <c r="Q191" s="566"/>
      <c r="R191" s="566"/>
      <c r="S191" s="566"/>
      <c r="T191" s="566"/>
      <c r="U191" s="566"/>
      <c r="V191" s="566"/>
      <c r="W191" s="566"/>
      <c r="X191" s="566"/>
      <c r="Y191" s="566"/>
      <c r="Z191" s="566"/>
      <c r="AA191" s="566"/>
      <c r="AB191" s="566"/>
      <c r="AC191" s="566"/>
      <c r="AD191" s="566"/>
      <c r="AE191" s="566"/>
      <c r="AF191" s="566"/>
      <c r="AG191" s="566"/>
      <c r="AH191" s="566"/>
      <c r="AI191" s="566"/>
      <c r="AJ191" s="566"/>
      <c r="AK191" s="566"/>
      <c r="AL191" s="566"/>
      <c r="AM191" s="566"/>
      <c r="AN191" s="566"/>
      <c r="AO191" s="566"/>
      <c r="AP191" s="566"/>
      <c r="AQ191" s="566"/>
      <c r="AR191" s="566"/>
    </row>
    <row r="192" spans="1:44" x14ac:dyDescent="0.25">
      <c r="A192" s="566"/>
      <c r="B192" s="566"/>
      <c r="C192" s="566"/>
      <c r="D192" s="566"/>
      <c r="E192" s="566"/>
      <c r="F192" s="566"/>
      <c r="G192" s="566"/>
      <c r="H192" s="566"/>
      <c r="I192" s="566"/>
      <c r="J192" s="566"/>
      <c r="K192" s="566"/>
      <c r="L192" s="566"/>
      <c r="M192" s="566"/>
      <c r="N192" s="566"/>
      <c r="O192" s="566"/>
      <c r="P192" s="566"/>
      <c r="Q192" s="566"/>
      <c r="R192" s="566"/>
      <c r="S192" s="566"/>
      <c r="T192" s="566"/>
      <c r="U192" s="566"/>
      <c r="V192" s="566"/>
      <c r="W192" s="566"/>
      <c r="X192" s="566"/>
      <c r="Y192" s="566"/>
      <c r="Z192" s="566"/>
      <c r="AA192" s="566"/>
      <c r="AB192" s="566"/>
      <c r="AC192" s="566"/>
      <c r="AD192" s="566"/>
      <c r="AE192" s="566"/>
      <c r="AF192" s="566"/>
      <c r="AG192" s="566"/>
      <c r="AH192" s="566"/>
      <c r="AI192" s="566"/>
      <c r="AJ192" s="566"/>
      <c r="AK192" s="566"/>
      <c r="AL192" s="566"/>
      <c r="AM192" s="566"/>
      <c r="AN192" s="566"/>
      <c r="AO192" s="566"/>
      <c r="AP192" s="566"/>
      <c r="AQ192" s="566"/>
      <c r="AR192" s="566"/>
    </row>
    <row r="193" spans="1:44" x14ac:dyDescent="0.25">
      <c r="A193" s="566"/>
      <c r="B193" s="566"/>
      <c r="C193" s="566"/>
      <c r="D193" s="566"/>
      <c r="E193" s="566"/>
      <c r="F193" s="566"/>
      <c r="G193" s="566"/>
      <c r="H193" s="566"/>
      <c r="I193" s="566"/>
      <c r="J193" s="566"/>
      <c r="K193" s="566"/>
      <c r="L193" s="566"/>
      <c r="M193" s="566"/>
      <c r="N193" s="566"/>
      <c r="O193" s="566"/>
      <c r="P193" s="566"/>
      <c r="Q193" s="566"/>
      <c r="R193" s="566"/>
      <c r="S193" s="566"/>
      <c r="T193" s="566"/>
      <c r="U193" s="566"/>
      <c r="V193" s="566"/>
      <c r="W193" s="566"/>
      <c r="X193" s="566"/>
      <c r="Y193" s="566"/>
      <c r="Z193" s="566"/>
      <c r="AA193" s="566"/>
      <c r="AB193" s="566"/>
      <c r="AC193" s="566"/>
      <c r="AD193" s="566"/>
      <c r="AE193" s="566"/>
      <c r="AF193" s="566"/>
      <c r="AG193" s="566"/>
      <c r="AH193" s="566"/>
      <c r="AI193" s="566"/>
      <c r="AJ193" s="566"/>
      <c r="AK193" s="566"/>
      <c r="AL193" s="566"/>
      <c r="AM193" s="566"/>
      <c r="AN193" s="566"/>
      <c r="AO193" s="566"/>
      <c r="AP193" s="566"/>
      <c r="AQ193" s="566"/>
      <c r="AR193" s="566"/>
    </row>
    <row r="194" spans="1:44" x14ac:dyDescent="0.25">
      <c r="A194" s="566"/>
      <c r="B194" s="566"/>
      <c r="C194" s="566"/>
      <c r="D194" s="566"/>
      <c r="E194" s="566"/>
      <c r="F194" s="566"/>
      <c r="G194" s="566"/>
      <c r="H194" s="566"/>
      <c r="I194" s="566"/>
      <c r="J194" s="566"/>
      <c r="K194" s="566"/>
      <c r="L194" s="566"/>
      <c r="M194" s="566"/>
      <c r="N194" s="566"/>
      <c r="O194" s="566"/>
      <c r="P194" s="566"/>
      <c r="Q194" s="566"/>
      <c r="R194" s="566"/>
      <c r="S194" s="566"/>
      <c r="T194" s="566"/>
      <c r="U194" s="566"/>
      <c r="V194" s="566"/>
      <c r="W194" s="566"/>
      <c r="X194" s="566"/>
      <c r="Y194" s="566"/>
      <c r="Z194" s="566"/>
      <c r="AA194" s="566"/>
      <c r="AB194" s="566"/>
      <c r="AC194" s="566"/>
      <c r="AD194" s="566"/>
      <c r="AE194" s="566"/>
      <c r="AF194" s="566"/>
      <c r="AG194" s="566"/>
      <c r="AH194" s="566"/>
      <c r="AI194" s="566"/>
      <c r="AJ194" s="566"/>
      <c r="AK194" s="566"/>
      <c r="AL194" s="566"/>
      <c r="AM194" s="566"/>
      <c r="AN194" s="566"/>
      <c r="AO194" s="566"/>
      <c r="AP194" s="566"/>
      <c r="AQ194" s="566"/>
      <c r="AR194" s="566"/>
    </row>
    <row r="195" spans="1:44" x14ac:dyDescent="0.25">
      <c r="A195" s="566"/>
      <c r="B195" s="566"/>
      <c r="C195" s="566"/>
      <c r="D195" s="566"/>
      <c r="E195" s="566"/>
      <c r="F195" s="566"/>
      <c r="G195" s="566"/>
      <c r="H195" s="566"/>
      <c r="I195" s="566"/>
      <c r="J195" s="566"/>
      <c r="K195" s="566"/>
      <c r="L195" s="566"/>
      <c r="M195" s="566"/>
      <c r="N195" s="566"/>
      <c r="O195" s="566"/>
      <c r="P195" s="566"/>
      <c r="Q195" s="566"/>
      <c r="R195" s="566"/>
      <c r="S195" s="566"/>
      <c r="T195" s="566"/>
      <c r="U195" s="566"/>
      <c r="V195" s="566"/>
      <c r="W195" s="566"/>
      <c r="X195" s="566"/>
      <c r="Y195" s="566"/>
      <c r="Z195" s="566"/>
      <c r="AA195" s="566"/>
      <c r="AB195" s="566"/>
      <c r="AC195" s="566"/>
      <c r="AD195" s="566"/>
      <c r="AE195" s="566"/>
      <c r="AF195" s="566"/>
      <c r="AG195" s="566"/>
      <c r="AH195" s="566"/>
      <c r="AI195" s="566"/>
      <c r="AJ195" s="566"/>
      <c r="AK195" s="566"/>
      <c r="AL195" s="566"/>
      <c r="AM195" s="566"/>
      <c r="AN195" s="566"/>
      <c r="AO195" s="566"/>
      <c r="AP195" s="566"/>
      <c r="AQ195" s="566"/>
      <c r="AR195" s="566"/>
    </row>
    <row r="196" spans="1:44" x14ac:dyDescent="0.25">
      <c r="A196" s="566"/>
      <c r="B196" s="566"/>
      <c r="C196" s="566"/>
      <c r="D196" s="566"/>
      <c r="E196" s="566"/>
      <c r="F196" s="566"/>
      <c r="G196" s="566"/>
      <c r="H196" s="566"/>
      <c r="I196" s="566"/>
      <c r="J196" s="566"/>
      <c r="K196" s="566"/>
      <c r="L196" s="566"/>
      <c r="M196" s="566"/>
      <c r="N196" s="566"/>
      <c r="O196" s="566"/>
      <c r="P196" s="566"/>
      <c r="Q196" s="566"/>
      <c r="R196" s="566"/>
      <c r="S196" s="566"/>
      <c r="T196" s="566"/>
      <c r="U196" s="566"/>
      <c r="V196" s="566"/>
      <c r="W196" s="566"/>
      <c r="X196" s="566"/>
      <c r="Y196" s="566"/>
      <c r="Z196" s="566"/>
      <c r="AA196" s="566"/>
      <c r="AB196" s="566"/>
      <c r="AC196" s="566"/>
      <c r="AD196" s="566"/>
      <c r="AE196" s="566"/>
      <c r="AF196" s="566"/>
      <c r="AG196" s="566"/>
      <c r="AH196" s="566"/>
      <c r="AI196" s="566"/>
      <c r="AJ196" s="566"/>
      <c r="AK196" s="566"/>
      <c r="AL196" s="566"/>
      <c r="AM196" s="566"/>
      <c r="AN196" s="566"/>
      <c r="AO196" s="566"/>
      <c r="AP196" s="566"/>
      <c r="AQ196" s="566"/>
      <c r="AR196" s="566"/>
    </row>
    <row r="197" spans="1:44" x14ac:dyDescent="0.25">
      <c r="B197" s="566"/>
      <c r="C197" s="566"/>
      <c r="D197" s="566"/>
      <c r="E197" s="566"/>
      <c r="F197" s="566"/>
      <c r="G197" s="566"/>
      <c r="H197" s="566"/>
      <c r="I197" s="566"/>
      <c r="J197" s="566"/>
      <c r="K197" s="566"/>
      <c r="L197" s="566"/>
      <c r="M197" s="566"/>
      <c r="N197" s="566"/>
      <c r="O197" s="566"/>
      <c r="P197" s="566"/>
      <c r="Q197" s="566"/>
      <c r="R197" s="566"/>
      <c r="S197" s="566"/>
      <c r="T197" s="566"/>
      <c r="U197" s="566"/>
      <c r="V197" s="566"/>
      <c r="W197" s="566"/>
      <c r="X197" s="566"/>
      <c r="Y197" s="566"/>
      <c r="Z197" s="566"/>
      <c r="AA197" s="566"/>
      <c r="AB197" s="566"/>
      <c r="AC197" s="566"/>
      <c r="AD197" s="566"/>
      <c r="AE197" s="566"/>
      <c r="AF197" s="566"/>
      <c r="AG197" s="566"/>
      <c r="AH197" s="566"/>
      <c r="AI197" s="566"/>
      <c r="AJ197" s="566"/>
      <c r="AK197" s="566"/>
      <c r="AL197" s="566"/>
      <c r="AM197" s="566"/>
      <c r="AN197" s="566"/>
      <c r="AO197" s="566"/>
      <c r="AP197" s="566"/>
      <c r="AQ197" s="566"/>
      <c r="AR197" s="566"/>
    </row>
    <row r="198" spans="1:44" x14ac:dyDescent="0.25">
      <c r="B198" s="566"/>
      <c r="C198" s="566"/>
      <c r="D198" s="566"/>
      <c r="E198" s="566"/>
      <c r="F198" s="566"/>
      <c r="G198" s="566"/>
      <c r="H198" s="566"/>
      <c r="I198" s="566"/>
      <c r="J198" s="566"/>
      <c r="K198" s="566"/>
      <c r="L198" s="566"/>
      <c r="M198" s="566"/>
      <c r="N198" s="566"/>
      <c r="O198" s="566"/>
      <c r="P198" s="566"/>
      <c r="Q198" s="566"/>
      <c r="R198" s="566"/>
      <c r="S198" s="566"/>
      <c r="T198" s="566"/>
      <c r="U198" s="566"/>
      <c r="V198" s="566"/>
      <c r="W198" s="566"/>
      <c r="X198" s="566"/>
      <c r="Y198" s="566"/>
      <c r="Z198" s="566"/>
      <c r="AA198" s="566"/>
      <c r="AB198" s="566"/>
      <c r="AC198" s="566"/>
      <c r="AD198" s="566"/>
      <c r="AE198" s="566"/>
      <c r="AF198" s="566"/>
      <c r="AG198" s="566"/>
      <c r="AH198" s="566"/>
      <c r="AI198" s="566"/>
      <c r="AJ198" s="566"/>
      <c r="AK198" s="566"/>
      <c r="AL198" s="566"/>
      <c r="AM198" s="566"/>
      <c r="AN198" s="566"/>
      <c r="AO198" s="566"/>
      <c r="AP198" s="566"/>
      <c r="AQ198" s="566"/>
      <c r="AR198" s="566"/>
    </row>
    <row r="199" spans="1:44" x14ac:dyDescent="0.25">
      <c r="AL199" s="207"/>
    </row>
    <row r="200" spans="1:44" x14ac:dyDescent="0.25">
      <c r="AL200" s="207"/>
    </row>
    <row r="201" spans="1:44" x14ac:dyDescent="0.25">
      <c r="AL201" s="207"/>
    </row>
    <row r="202" spans="1:44" x14ac:dyDescent="0.25">
      <c r="AL202" s="207"/>
    </row>
    <row r="203" spans="1:44" x14ac:dyDescent="0.25">
      <c r="AL203" s="207"/>
    </row>
    <row r="204" spans="1:44" x14ac:dyDescent="0.25">
      <c r="AL204" s="207"/>
    </row>
    <row r="205" spans="1:44" x14ac:dyDescent="0.25">
      <c r="AL205" s="207"/>
    </row>
    <row r="206" spans="1:44" x14ac:dyDescent="0.25">
      <c r="AL206" s="207"/>
    </row>
    <row r="207" spans="1:44" x14ac:dyDescent="0.25">
      <c r="AL207" s="207"/>
    </row>
    <row r="208" spans="1:44" x14ac:dyDescent="0.25">
      <c r="AL208" s="207"/>
    </row>
    <row r="209" spans="38:38" x14ac:dyDescent="0.25">
      <c r="AL209" s="207"/>
    </row>
    <row r="210" spans="38:38" x14ac:dyDescent="0.25">
      <c r="AL210" s="207"/>
    </row>
    <row r="211" spans="38:38" x14ac:dyDescent="0.25">
      <c r="AL211" s="207"/>
    </row>
    <row r="212" spans="38:38" x14ac:dyDescent="0.25">
      <c r="AL212" s="207"/>
    </row>
    <row r="213" spans="38:38" x14ac:dyDescent="0.25">
      <c r="AL213" s="207"/>
    </row>
    <row r="214" spans="38:38" x14ac:dyDescent="0.25">
      <c r="AL214" s="207"/>
    </row>
    <row r="215" spans="38:38" x14ac:dyDescent="0.25">
      <c r="AL215" s="207"/>
    </row>
    <row r="216" spans="38:38" x14ac:dyDescent="0.25">
      <c r="AL216" s="207"/>
    </row>
    <row r="217" spans="38:38" x14ac:dyDescent="0.25">
      <c r="AL217" s="207"/>
    </row>
    <row r="218" spans="38:38" x14ac:dyDescent="0.25">
      <c r="AL218" s="207"/>
    </row>
    <row r="219" spans="38:38" x14ac:dyDescent="0.25">
      <c r="AL219" s="207"/>
    </row>
    <row r="220" spans="38:38" x14ac:dyDescent="0.25">
      <c r="AL220" s="207"/>
    </row>
    <row r="221" spans="38:38" x14ac:dyDescent="0.25">
      <c r="AL221" s="207"/>
    </row>
    <row r="222" spans="38:38" x14ac:dyDescent="0.25">
      <c r="AL222" s="207"/>
    </row>
    <row r="223" spans="38:38" x14ac:dyDescent="0.25">
      <c r="AL223" s="207"/>
    </row>
    <row r="224" spans="38:38" x14ac:dyDescent="0.25">
      <c r="AL224" s="207"/>
    </row>
    <row r="225" spans="38:38" x14ac:dyDescent="0.25">
      <c r="AL225" s="207"/>
    </row>
    <row r="226" spans="38:38" x14ac:dyDescent="0.25">
      <c r="AL226" s="207"/>
    </row>
    <row r="227" spans="38:38" x14ac:dyDescent="0.25">
      <c r="AL227" s="207"/>
    </row>
    <row r="228" spans="38:38" x14ac:dyDescent="0.25">
      <c r="AL228" s="207"/>
    </row>
    <row r="229" spans="38:38" x14ac:dyDescent="0.25">
      <c r="AL229" s="207"/>
    </row>
    <row r="230" spans="38:38" x14ac:dyDescent="0.25">
      <c r="AL230" s="207"/>
    </row>
    <row r="231" spans="38:38" x14ac:dyDescent="0.25">
      <c r="AL231" s="207"/>
    </row>
    <row r="232" spans="38:38" x14ac:dyDescent="0.25">
      <c r="AL232" s="207"/>
    </row>
    <row r="233" spans="38:38" x14ac:dyDescent="0.25">
      <c r="AL233" s="207"/>
    </row>
    <row r="234" spans="38:38" x14ac:dyDescent="0.25">
      <c r="AL234" s="207"/>
    </row>
    <row r="235" spans="38:38" x14ac:dyDescent="0.25">
      <c r="AL235" s="207"/>
    </row>
    <row r="236" spans="38:38" x14ac:dyDescent="0.25">
      <c r="AL236" s="207"/>
    </row>
    <row r="237" spans="38:38" x14ac:dyDescent="0.25">
      <c r="AL237" s="207"/>
    </row>
    <row r="238" spans="38:38" x14ac:dyDescent="0.25">
      <c r="AL238" s="207"/>
    </row>
    <row r="239" spans="38:38" x14ac:dyDescent="0.25">
      <c r="AL239" s="207"/>
    </row>
    <row r="240" spans="38:38" x14ac:dyDescent="0.25">
      <c r="AL240" s="207"/>
    </row>
    <row r="241" spans="38:38" x14ac:dyDescent="0.25">
      <c r="AL241" s="207"/>
    </row>
    <row r="242" spans="38:38" x14ac:dyDescent="0.25">
      <c r="AL242" s="207"/>
    </row>
    <row r="243" spans="38:38" x14ac:dyDescent="0.25">
      <c r="AL243" s="207"/>
    </row>
    <row r="244" spans="38:38" x14ac:dyDescent="0.25">
      <c r="AL244" s="207"/>
    </row>
    <row r="245" spans="38:38" x14ac:dyDescent="0.25">
      <c r="AL245" s="207"/>
    </row>
    <row r="246" spans="38:38" x14ac:dyDescent="0.25">
      <c r="AL246" s="207"/>
    </row>
    <row r="247" spans="38:38" x14ac:dyDescent="0.25">
      <c r="AL247" s="207"/>
    </row>
    <row r="248" spans="38:38" x14ac:dyDescent="0.25">
      <c r="AL248" s="207"/>
    </row>
    <row r="249" spans="38:38" x14ac:dyDescent="0.25">
      <c r="AL249" s="207"/>
    </row>
    <row r="250" spans="38:38" x14ac:dyDescent="0.25">
      <c r="AL250" s="207"/>
    </row>
    <row r="251" spans="38:38" x14ac:dyDescent="0.25">
      <c r="AL251" s="207"/>
    </row>
    <row r="252" spans="38:38" x14ac:dyDescent="0.25">
      <c r="AL252" s="207"/>
    </row>
    <row r="253" spans="38:38" x14ac:dyDescent="0.25">
      <c r="AL253" s="207"/>
    </row>
    <row r="254" spans="38:38" x14ac:dyDescent="0.25">
      <c r="AL254" s="207"/>
    </row>
    <row r="255" spans="38:38" x14ac:dyDescent="0.25">
      <c r="AL255" s="207"/>
    </row>
    <row r="256" spans="38:38" x14ac:dyDescent="0.25">
      <c r="AL256" s="207"/>
    </row>
    <row r="257" spans="38:38" x14ac:dyDescent="0.25">
      <c r="AL257" s="207"/>
    </row>
    <row r="258" spans="38:38" x14ac:dyDescent="0.25">
      <c r="AL258" s="207"/>
    </row>
    <row r="259" spans="38:38" x14ac:dyDescent="0.25">
      <c r="AL259" s="207"/>
    </row>
    <row r="260" spans="38:38" x14ac:dyDescent="0.25">
      <c r="AL260" s="207"/>
    </row>
    <row r="261" spans="38:38" x14ac:dyDescent="0.25">
      <c r="AL261" s="207"/>
    </row>
    <row r="262" spans="38:38" x14ac:dyDescent="0.25">
      <c r="AL262" s="207"/>
    </row>
    <row r="263" spans="38:38" x14ac:dyDescent="0.25">
      <c r="AL263" s="207"/>
    </row>
    <row r="264" spans="38:38" x14ac:dyDescent="0.25">
      <c r="AL264" s="207"/>
    </row>
    <row r="265" spans="38:38" x14ac:dyDescent="0.25">
      <c r="AL265" s="207"/>
    </row>
    <row r="266" spans="38:38" x14ac:dyDescent="0.25">
      <c r="AL266" s="207"/>
    </row>
    <row r="267" spans="38:38" x14ac:dyDescent="0.25">
      <c r="AL267" s="207"/>
    </row>
    <row r="268" spans="38:38" x14ac:dyDescent="0.25">
      <c r="AL268" s="207"/>
    </row>
    <row r="269" spans="38:38" x14ac:dyDescent="0.25">
      <c r="AL269" s="207"/>
    </row>
    <row r="270" spans="38:38" x14ac:dyDescent="0.25">
      <c r="AL270" s="207"/>
    </row>
    <row r="271" spans="38:38" x14ac:dyDescent="0.25">
      <c r="AL271" s="207"/>
    </row>
    <row r="272" spans="38:38" x14ac:dyDescent="0.25">
      <c r="AL272" s="207"/>
    </row>
    <row r="273" spans="38:38" x14ac:dyDescent="0.25">
      <c r="AL273" s="207"/>
    </row>
    <row r="274" spans="38:38" x14ac:dyDescent="0.25">
      <c r="AL274" s="207"/>
    </row>
    <row r="275" spans="38:38" x14ac:dyDescent="0.25">
      <c r="AL275" s="207"/>
    </row>
    <row r="276" spans="38:38" x14ac:dyDescent="0.25">
      <c r="AL276" s="207"/>
    </row>
    <row r="277" spans="38:38" x14ac:dyDescent="0.25">
      <c r="AL277" s="207"/>
    </row>
    <row r="278" spans="38:38" x14ac:dyDescent="0.25">
      <c r="AL278" s="207"/>
    </row>
    <row r="279" spans="38:38" x14ac:dyDescent="0.25">
      <c r="AL279" s="207"/>
    </row>
    <row r="280" spans="38:38" x14ac:dyDescent="0.25">
      <c r="AL280" s="207"/>
    </row>
    <row r="281" spans="38:38" x14ac:dyDescent="0.25">
      <c r="AL281" s="207"/>
    </row>
    <row r="282" spans="38:38" x14ac:dyDescent="0.25">
      <c r="AL282" s="207"/>
    </row>
    <row r="283" spans="38:38" x14ac:dyDescent="0.25">
      <c r="AL283" s="207"/>
    </row>
    <row r="284" spans="38:38" x14ac:dyDescent="0.25">
      <c r="AL284" s="207"/>
    </row>
    <row r="285" spans="38:38" x14ac:dyDescent="0.25">
      <c r="AL285" s="207"/>
    </row>
    <row r="286" spans="38:38" x14ac:dyDescent="0.25">
      <c r="AL286" s="207"/>
    </row>
    <row r="287" spans="38:38" x14ac:dyDescent="0.25">
      <c r="AL287" s="207"/>
    </row>
    <row r="288" spans="38:38" x14ac:dyDescent="0.25">
      <c r="AL288" s="207"/>
    </row>
    <row r="289" spans="38:38" x14ac:dyDescent="0.25">
      <c r="AL289" s="207"/>
    </row>
    <row r="290" spans="38:38" x14ac:dyDescent="0.25">
      <c r="AL290" s="207"/>
    </row>
    <row r="291" spans="38:38" x14ac:dyDescent="0.25">
      <c r="AL291" s="207"/>
    </row>
    <row r="292" spans="38:38" x14ac:dyDescent="0.25">
      <c r="AL292" s="207"/>
    </row>
    <row r="293" spans="38:38" x14ac:dyDescent="0.25">
      <c r="AL293" s="207"/>
    </row>
    <row r="294" spans="38:38" x14ac:dyDescent="0.25">
      <c r="AL294" s="207"/>
    </row>
    <row r="295" spans="38:38" x14ac:dyDescent="0.25">
      <c r="AL295" s="207"/>
    </row>
    <row r="296" spans="38:38" x14ac:dyDescent="0.25">
      <c r="AL296" s="207"/>
    </row>
    <row r="297" spans="38:38" x14ac:dyDescent="0.25">
      <c r="AL297" s="207"/>
    </row>
    <row r="298" spans="38:38" x14ac:dyDescent="0.25">
      <c r="AL298" s="207"/>
    </row>
    <row r="299" spans="38:38" x14ac:dyDescent="0.25">
      <c r="AL299" s="207"/>
    </row>
    <row r="300" spans="38:38" x14ac:dyDescent="0.25">
      <c r="AL300" s="207"/>
    </row>
    <row r="301" spans="38:38" x14ac:dyDescent="0.25">
      <c r="AL301" s="207"/>
    </row>
    <row r="302" spans="38:38" x14ac:dyDescent="0.25">
      <c r="AL302" s="207"/>
    </row>
    <row r="303" spans="38:38" x14ac:dyDescent="0.25">
      <c r="AL303" s="207"/>
    </row>
    <row r="304" spans="38:38" x14ac:dyDescent="0.25">
      <c r="AL304" s="207"/>
    </row>
    <row r="305" spans="38:38" x14ac:dyDescent="0.25">
      <c r="AL305" s="207"/>
    </row>
    <row r="306" spans="38:38" x14ac:dyDescent="0.25">
      <c r="AL306" s="207"/>
    </row>
    <row r="307" spans="38:38" x14ac:dyDescent="0.25">
      <c r="AL307" s="207"/>
    </row>
    <row r="308" spans="38:38" x14ac:dyDescent="0.25">
      <c r="AL308" s="207"/>
    </row>
    <row r="309" spans="38:38" x14ac:dyDescent="0.25">
      <c r="AL309" s="207"/>
    </row>
    <row r="310" spans="38:38" x14ac:dyDescent="0.25">
      <c r="AL310" s="207"/>
    </row>
    <row r="311" spans="38:38" x14ac:dyDescent="0.25">
      <c r="AL311" s="207"/>
    </row>
    <row r="312" spans="38:38" x14ac:dyDescent="0.25">
      <c r="AL312" s="207"/>
    </row>
    <row r="313" spans="38:38" x14ac:dyDescent="0.25">
      <c r="AL313" s="207"/>
    </row>
    <row r="314" spans="38:38" x14ac:dyDescent="0.25">
      <c r="AL314" s="207"/>
    </row>
    <row r="315" spans="38:38" x14ac:dyDescent="0.25">
      <c r="AL315" s="207"/>
    </row>
    <row r="316" spans="38:38" x14ac:dyDescent="0.25">
      <c r="AL316" s="207"/>
    </row>
    <row r="317" spans="38:38" x14ac:dyDescent="0.25">
      <c r="AL317" s="207"/>
    </row>
    <row r="318" spans="38:38" x14ac:dyDescent="0.25">
      <c r="AL318" s="207"/>
    </row>
    <row r="319" spans="38:38" x14ac:dyDescent="0.25">
      <c r="AL319" s="207"/>
    </row>
    <row r="320" spans="38:38" x14ac:dyDescent="0.25">
      <c r="AL320" s="207"/>
    </row>
    <row r="321" spans="38:38" x14ac:dyDescent="0.25">
      <c r="AL321" s="207"/>
    </row>
    <row r="322" spans="38:38" x14ac:dyDescent="0.25">
      <c r="AL322" s="207"/>
    </row>
    <row r="323" spans="38:38" x14ac:dyDescent="0.25">
      <c r="AL323" s="207"/>
    </row>
    <row r="324" spans="38:38" x14ac:dyDescent="0.25">
      <c r="AL324" s="207"/>
    </row>
    <row r="325" spans="38:38" x14ac:dyDescent="0.25">
      <c r="AL325" s="207"/>
    </row>
    <row r="326" spans="38:38" x14ac:dyDescent="0.25">
      <c r="AL326" s="207"/>
    </row>
    <row r="327" spans="38:38" x14ac:dyDescent="0.25">
      <c r="AL327" s="207"/>
    </row>
    <row r="328" spans="38:38" x14ac:dyDescent="0.25">
      <c r="AL328" s="207"/>
    </row>
    <row r="329" spans="38:38" x14ac:dyDescent="0.25">
      <c r="AL329" s="207"/>
    </row>
    <row r="330" spans="38:38" x14ac:dyDescent="0.25">
      <c r="AL330" s="207"/>
    </row>
    <row r="331" spans="38:38" x14ac:dyDescent="0.25">
      <c r="AL331" s="207"/>
    </row>
    <row r="332" spans="38:38" x14ac:dyDescent="0.25">
      <c r="AL332" s="207"/>
    </row>
    <row r="333" spans="38:38" x14ac:dyDescent="0.25">
      <c r="AL333" s="207"/>
    </row>
    <row r="334" spans="38:38" x14ac:dyDescent="0.25">
      <c r="AL334" s="207"/>
    </row>
    <row r="335" spans="38:38" x14ac:dyDescent="0.25">
      <c r="AL335" s="207"/>
    </row>
    <row r="336" spans="38:38" x14ac:dyDescent="0.25">
      <c r="AL336" s="207"/>
    </row>
    <row r="337" spans="38:38" x14ac:dyDescent="0.25">
      <c r="AL337" s="207"/>
    </row>
    <row r="338" spans="38:38" x14ac:dyDescent="0.25">
      <c r="AL338" s="207"/>
    </row>
    <row r="339" spans="38:38" x14ac:dyDescent="0.25">
      <c r="AL339" s="207"/>
    </row>
    <row r="340" spans="38:38" x14ac:dyDescent="0.25">
      <c r="AL340" s="207"/>
    </row>
    <row r="341" spans="38:38" x14ac:dyDescent="0.25">
      <c r="AL341" s="207"/>
    </row>
    <row r="342" spans="38:38" x14ac:dyDescent="0.25">
      <c r="AL342" s="207"/>
    </row>
    <row r="343" spans="38:38" x14ac:dyDescent="0.25">
      <c r="AL343" s="207"/>
    </row>
    <row r="344" spans="38:38" x14ac:dyDescent="0.25">
      <c r="AL344" s="207"/>
    </row>
    <row r="345" spans="38:38" x14ac:dyDescent="0.25">
      <c r="AL345" s="207"/>
    </row>
    <row r="346" spans="38:38" x14ac:dyDescent="0.25">
      <c r="AL346" s="207"/>
    </row>
    <row r="347" spans="38:38" x14ac:dyDescent="0.25">
      <c r="AL347" s="207"/>
    </row>
    <row r="348" spans="38:38" x14ac:dyDescent="0.25">
      <c r="AL348" s="207"/>
    </row>
    <row r="349" spans="38:38" x14ac:dyDescent="0.25">
      <c r="AL349" s="207"/>
    </row>
    <row r="350" spans="38:38" x14ac:dyDescent="0.25">
      <c r="AL350" s="207"/>
    </row>
    <row r="351" spans="38:38" x14ac:dyDescent="0.25">
      <c r="AL351" s="207"/>
    </row>
    <row r="352" spans="38:38" x14ac:dyDescent="0.25">
      <c r="AL352" s="207"/>
    </row>
    <row r="353" spans="38:38" x14ac:dyDescent="0.25">
      <c r="AL353" s="207"/>
    </row>
    <row r="354" spans="38:38" x14ac:dyDescent="0.25">
      <c r="AL354" s="207"/>
    </row>
    <row r="355" spans="38:38" x14ac:dyDescent="0.25">
      <c r="AL355" s="207"/>
    </row>
    <row r="356" spans="38:38" x14ac:dyDescent="0.25">
      <c r="AL356" s="207"/>
    </row>
    <row r="357" spans="38:38" x14ac:dyDescent="0.25">
      <c r="AL357" s="207"/>
    </row>
    <row r="358" spans="38:38" x14ac:dyDescent="0.25">
      <c r="AL358" s="207"/>
    </row>
    <row r="359" spans="38:38" x14ac:dyDescent="0.25">
      <c r="AL359" s="207"/>
    </row>
    <row r="360" spans="38:38" x14ac:dyDescent="0.25">
      <c r="AL360" s="207"/>
    </row>
    <row r="361" spans="38:38" x14ac:dyDescent="0.25">
      <c r="AL361" s="207"/>
    </row>
    <row r="362" spans="38:38" x14ac:dyDescent="0.25">
      <c r="AL362" s="207"/>
    </row>
    <row r="363" spans="38:38" x14ac:dyDescent="0.25">
      <c r="AL363" s="207"/>
    </row>
    <row r="364" spans="38:38" x14ac:dyDescent="0.25">
      <c r="AL364" s="207"/>
    </row>
    <row r="365" spans="38:38" x14ac:dyDescent="0.25">
      <c r="AL365" s="207"/>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20E2DB-67B7-4035-BF49-8901AD71CB71}">
  <sheetPr>
    <tabColor rgb="FFFF66FF"/>
  </sheetPr>
  <dimension ref="A1:BD34"/>
  <sheetViews>
    <sheetView topLeftCell="G1" zoomScaleNormal="100" workbookViewId="0">
      <selection activeCell="AB37" sqref="AB37"/>
    </sheetView>
  </sheetViews>
  <sheetFormatPr defaultRowHeight="15" x14ac:dyDescent="0.25"/>
  <cols>
    <col min="24" max="24" width="9.28515625" customWidth="1"/>
    <col min="25" max="27" width="9.85546875" customWidth="1"/>
    <col min="28" max="28" width="9.28515625" customWidth="1"/>
  </cols>
  <sheetData>
    <row r="1" spans="1:46" x14ac:dyDescent="0.25">
      <c r="A1" t="s">
        <v>939</v>
      </c>
      <c r="Q1" s="4" t="s">
        <v>971</v>
      </c>
      <c r="T1" s="4" t="s">
        <v>972</v>
      </c>
      <c r="X1" s="4" t="s">
        <v>1002</v>
      </c>
      <c r="AP1" s="4" t="s">
        <v>978</v>
      </c>
    </row>
    <row r="2" spans="1:46" x14ac:dyDescent="0.25">
      <c r="A2" s="562" t="str">
        <f>'Inputs-Imperial'!C12</f>
        <v>Spar_x/c</v>
      </c>
      <c r="B2" s="639">
        <f>'Inputs-Imperial'!E12</f>
        <v>0.25</v>
      </c>
    </row>
    <row r="3" spans="1:46" x14ac:dyDescent="0.25">
      <c r="Q3" t="s">
        <v>969</v>
      </c>
      <c r="R3" s="606">
        <f>'ASWING AERO'!V4</f>
        <v>1.85</v>
      </c>
      <c r="T3" t="s">
        <v>969</v>
      </c>
      <c r="U3" s="606">
        <f>'ASWING AERO'!Y4</f>
        <v>2.25</v>
      </c>
      <c r="X3" t="s">
        <v>952</v>
      </c>
      <c r="Y3" s="606">
        <f>'ASWING AERO'!Y13</f>
        <v>9.0000000000000024E-2</v>
      </c>
      <c r="AP3" t="s">
        <v>980</v>
      </c>
      <c r="AR3" s="606">
        <f>'ASWING AERO'!AV3</f>
        <v>0.85</v>
      </c>
      <c r="AT3" s="41" t="s">
        <v>981</v>
      </c>
    </row>
    <row r="4" spans="1:46" x14ac:dyDescent="0.25">
      <c r="Q4" t="s">
        <v>970</v>
      </c>
      <c r="R4" s="606">
        <f>'ASWING AERO'!V5</f>
        <v>-1.55</v>
      </c>
      <c r="T4" t="s">
        <v>970</v>
      </c>
      <c r="U4" s="606">
        <f>'ASWING AERO'!Y5</f>
        <v>-1.65</v>
      </c>
      <c r="X4" t="s">
        <v>739</v>
      </c>
      <c r="Y4" s="606">
        <f>'ASWING AERO'!Y14</f>
        <v>8.0285145591739146E-2</v>
      </c>
      <c r="Z4" t="s">
        <v>953</v>
      </c>
    </row>
    <row r="5" spans="1:46" x14ac:dyDescent="0.25">
      <c r="Q5" t="s">
        <v>718</v>
      </c>
      <c r="R5" s="606">
        <f>'ASWING AERO'!V6</f>
        <v>5.4999999999999997E-3</v>
      </c>
      <c r="T5" t="s">
        <v>718</v>
      </c>
      <c r="U5" s="606">
        <f>'ASWING AERO'!Y6</f>
        <v>5.4999999999999997E-3</v>
      </c>
      <c r="X5" t="s">
        <v>742</v>
      </c>
      <c r="Y5" s="606">
        <f>'ASWING AERO'!Y15</f>
        <v>-7.2256631032565251E-3</v>
      </c>
      <c r="AP5" t="s">
        <v>979</v>
      </c>
    </row>
    <row r="6" spans="1:46" x14ac:dyDescent="0.25">
      <c r="Q6" t="s">
        <v>720</v>
      </c>
      <c r="R6" s="606">
        <f>'ASWING AERO'!V7</f>
        <v>5.4999999999999997E-3</v>
      </c>
      <c r="T6" t="s">
        <v>720</v>
      </c>
      <c r="U6" s="606">
        <f>'ASWING AERO'!Y7</f>
        <v>5.4999999999999997E-3</v>
      </c>
      <c r="AP6">
        <f>AE24+AI24</f>
        <v>44.619423999999995</v>
      </c>
    </row>
    <row r="7" spans="1:46" x14ac:dyDescent="0.25">
      <c r="Q7" t="s">
        <v>804</v>
      </c>
      <c r="R7" s="606">
        <f>'ASWING AERO'!V8</f>
        <v>0</v>
      </c>
      <c r="T7" t="s">
        <v>804</v>
      </c>
      <c r="U7" s="606">
        <f>'ASWING AERO'!Y8</f>
        <v>0</v>
      </c>
      <c r="AP7">
        <f>AE25+AI25</f>
        <v>43.963256000000001</v>
      </c>
    </row>
    <row r="9" spans="1:46" x14ac:dyDescent="0.25">
      <c r="Q9" s="4" t="s">
        <v>973</v>
      </c>
    </row>
    <row r="11" spans="1:46" x14ac:dyDescent="0.25">
      <c r="Q11" t="s">
        <v>969</v>
      </c>
      <c r="R11" s="606">
        <f>'ASWING AERO'!AB4</f>
        <v>1.4</v>
      </c>
    </row>
    <row r="12" spans="1:46" x14ac:dyDescent="0.25">
      <c r="Q12" t="s">
        <v>970</v>
      </c>
      <c r="R12" s="606">
        <f>'ASWING AERO'!AB5</f>
        <v>-1.4</v>
      </c>
    </row>
    <row r="13" spans="1:46" x14ac:dyDescent="0.25">
      <c r="Q13" t="s">
        <v>718</v>
      </c>
      <c r="R13" s="606">
        <f>'ASWING AERO'!AB6</f>
        <v>5.4999999999999997E-3</v>
      </c>
    </row>
    <row r="14" spans="1:46" x14ac:dyDescent="0.25">
      <c r="Q14" t="s">
        <v>720</v>
      </c>
      <c r="R14" s="606">
        <f>'ASWING AERO'!AB7</f>
        <v>5.4999999999999997E-3</v>
      </c>
    </row>
    <row r="15" spans="1:46" x14ac:dyDescent="0.25">
      <c r="Q15" t="s">
        <v>804</v>
      </c>
      <c r="R15" s="606">
        <f>'ASWING AERO'!AB8</f>
        <v>0</v>
      </c>
    </row>
    <row r="20" spans="1:56" x14ac:dyDescent="0.25">
      <c r="A20" s="627" t="s">
        <v>871</v>
      </c>
      <c r="B20" s="628"/>
      <c r="C20" s="628"/>
      <c r="D20" s="610" t="s">
        <v>914</v>
      </c>
      <c r="E20" s="610"/>
      <c r="F20" s="610"/>
      <c r="G20" s="610"/>
      <c r="H20" s="610"/>
      <c r="I20" s="610"/>
      <c r="J20" s="610"/>
      <c r="K20" s="610"/>
      <c r="L20" s="610"/>
      <c r="M20" s="610"/>
      <c r="N20" s="611"/>
      <c r="O20" s="586" t="s">
        <v>880</v>
      </c>
      <c r="P20" s="619"/>
      <c r="Q20" s="619"/>
      <c r="R20" s="587"/>
      <c r="S20" s="587"/>
      <c r="T20" s="587"/>
      <c r="U20" s="587"/>
      <c r="V20" s="587"/>
      <c r="W20" s="587"/>
      <c r="X20" s="587"/>
      <c r="Y20" s="587"/>
      <c r="Z20" s="587"/>
      <c r="AA20" s="587"/>
      <c r="AB20" s="587"/>
      <c r="AC20" s="587"/>
      <c r="AD20" s="588"/>
      <c r="AE20" s="586" t="s">
        <v>945</v>
      </c>
      <c r="AF20" s="619"/>
      <c r="AG20" s="587"/>
      <c r="AH20" s="587"/>
      <c r="AI20" s="587"/>
      <c r="AJ20" s="587"/>
      <c r="AK20" s="587"/>
      <c r="AL20" s="587"/>
      <c r="AM20" s="587"/>
      <c r="AN20" s="587"/>
      <c r="AO20" s="587"/>
      <c r="AP20" s="587"/>
      <c r="AQ20" s="588"/>
      <c r="AR20" s="586" t="s">
        <v>946</v>
      </c>
      <c r="AS20" s="619"/>
      <c r="AT20" s="587"/>
      <c r="AU20" s="587"/>
      <c r="AV20" s="587"/>
      <c r="AW20" s="587"/>
      <c r="AX20" s="587"/>
      <c r="AY20" s="587"/>
      <c r="AZ20" s="587"/>
      <c r="BA20" s="587"/>
      <c r="BB20" s="587"/>
      <c r="BC20" s="587"/>
      <c r="BD20" s="588"/>
    </row>
    <row r="21" spans="1:56" x14ac:dyDescent="0.25">
      <c r="A21" s="629" t="s">
        <v>872</v>
      </c>
      <c r="B21" s="630"/>
      <c r="C21" s="630"/>
      <c r="D21" s="631"/>
      <c r="E21" s="631"/>
      <c r="F21" s="631"/>
      <c r="G21" s="631"/>
      <c r="H21" s="631"/>
      <c r="I21" s="631"/>
      <c r="J21" s="631"/>
      <c r="K21" s="631"/>
      <c r="L21" s="631"/>
      <c r="M21" s="631"/>
      <c r="N21" s="632"/>
      <c r="O21" s="589" t="s">
        <v>872</v>
      </c>
      <c r="P21" s="593"/>
      <c r="Q21" s="593"/>
      <c r="R21" s="590"/>
      <c r="S21" s="590"/>
      <c r="T21" s="590"/>
      <c r="U21" s="590"/>
      <c r="V21" s="590"/>
      <c r="W21" s="590"/>
      <c r="X21" s="590"/>
      <c r="Y21" s="590"/>
      <c r="Z21" s="590"/>
      <c r="AA21" s="590"/>
      <c r="AB21" s="590"/>
      <c r="AC21" s="590"/>
      <c r="AD21" s="591"/>
      <c r="AE21" s="589" t="s">
        <v>882</v>
      </c>
      <c r="AF21" s="593"/>
      <c r="AG21" s="590"/>
      <c r="AH21" s="590"/>
      <c r="AI21" s="590"/>
      <c r="AJ21" s="590"/>
      <c r="AK21" s="590"/>
      <c r="AL21" s="590"/>
      <c r="AM21" s="590"/>
      <c r="AN21" s="590"/>
      <c r="AO21" s="590"/>
      <c r="AP21" s="590"/>
      <c r="AQ21" s="591"/>
      <c r="AR21" s="589" t="s">
        <v>882</v>
      </c>
      <c r="AS21" s="593"/>
      <c r="AT21" s="590"/>
      <c r="AU21" s="590"/>
      <c r="AV21" s="590"/>
      <c r="AW21" s="590"/>
      <c r="AX21" s="590"/>
      <c r="AY21" s="590"/>
      <c r="AZ21" s="590"/>
      <c r="BA21" s="590"/>
      <c r="BB21" s="590"/>
      <c r="BC21" s="590"/>
      <c r="BD21" s="591"/>
    </row>
    <row r="22" spans="1:56" x14ac:dyDescent="0.25">
      <c r="A22" s="629">
        <f>'ASWING AERO'!A22</f>
        <v>2.85</v>
      </c>
      <c r="B22" s="630"/>
      <c r="C22" s="630"/>
      <c r="D22" s="631" t="s">
        <v>653</v>
      </c>
      <c r="E22" s="631"/>
      <c r="F22" s="631"/>
      <c r="G22" s="631"/>
      <c r="H22" s="631"/>
      <c r="I22" s="631"/>
      <c r="J22" s="631"/>
      <c r="K22" s="631"/>
      <c r="L22" s="631"/>
      <c r="M22" s="631"/>
      <c r="N22" s="632"/>
      <c r="O22" s="592">
        <f>'ASWING AERO'!S22</f>
        <v>5.9</v>
      </c>
      <c r="P22" s="590"/>
      <c r="Q22" s="590"/>
      <c r="R22" s="590" t="s">
        <v>653</v>
      </c>
      <c r="S22" s="593"/>
      <c r="T22" s="590"/>
      <c r="U22" s="590"/>
      <c r="V22" s="590"/>
      <c r="W22" s="590"/>
      <c r="X22" s="590"/>
      <c r="Y22" s="590"/>
      <c r="Z22" s="590"/>
      <c r="AA22" s="590"/>
      <c r="AB22" s="590"/>
      <c r="AC22" s="590" t="s">
        <v>951</v>
      </c>
      <c r="AD22" s="591"/>
      <c r="AE22" s="592">
        <f>'ASWING AERO'!AM22</f>
        <v>0</v>
      </c>
      <c r="AF22" s="590"/>
      <c r="AG22" s="590" t="s">
        <v>653</v>
      </c>
      <c r="AH22" s="590"/>
      <c r="AI22" s="590"/>
      <c r="AJ22" s="590"/>
      <c r="AK22" s="590"/>
      <c r="AL22" s="590"/>
      <c r="AM22" s="590"/>
      <c r="AN22" s="590"/>
      <c r="AO22" s="590"/>
      <c r="AP22" s="590"/>
      <c r="AQ22" s="591"/>
      <c r="AR22" s="592">
        <f>'ASWING AERO'!BD22</f>
        <v>0</v>
      </c>
      <c r="AS22" s="590"/>
      <c r="AT22" s="590" t="s">
        <v>653</v>
      </c>
      <c r="AU22" s="590"/>
      <c r="AV22" s="590"/>
      <c r="AW22" s="590"/>
      <c r="AX22" s="590"/>
      <c r="AY22" s="590"/>
      <c r="AZ22" s="590"/>
      <c r="BA22" s="590"/>
      <c r="BB22" s="590"/>
      <c r="BC22" s="590"/>
      <c r="BD22" s="591"/>
    </row>
    <row r="23" spans="1:56" x14ac:dyDescent="0.25">
      <c r="A23" s="581" t="s">
        <v>873</v>
      </c>
      <c r="B23" s="571" t="s">
        <v>977</v>
      </c>
      <c r="C23" s="571" t="s">
        <v>940</v>
      </c>
      <c r="D23" s="571" t="s">
        <v>874</v>
      </c>
      <c r="E23" s="571" t="s">
        <v>875</v>
      </c>
      <c r="F23" s="571" t="s">
        <v>613</v>
      </c>
      <c r="G23" s="571" t="s">
        <v>876</v>
      </c>
      <c r="H23" s="571" t="s">
        <v>931</v>
      </c>
      <c r="I23" s="571" t="s">
        <v>565</v>
      </c>
      <c r="J23" s="571" t="s">
        <v>804</v>
      </c>
      <c r="K23" s="571" t="s">
        <v>969</v>
      </c>
      <c r="L23" s="571" t="s">
        <v>970</v>
      </c>
      <c r="M23" s="571" t="s">
        <v>718</v>
      </c>
      <c r="N23" s="582" t="s">
        <v>720</v>
      </c>
      <c r="O23" s="581" t="s">
        <v>873</v>
      </c>
      <c r="P23" s="571" t="s">
        <v>977</v>
      </c>
      <c r="Q23" s="571" t="s">
        <v>940</v>
      </c>
      <c r="R23" s="571" t="s">
        <v>874</v>
      </c>
      <c r="S23" s="571" t="s">
        <v>875</v>
      </c>
      <c r="T23" s="571" t="s">
        <v>613</v>
      </c>
      <c r="U23" s="571" t="s">
        <v>876</v>
      </c>
      <c r="V23" s="571" t="s">
        <v>931</v>
      </c>
      <c r="W23" s="571" t="s">
        <v>565</v>
      </c>
      <c r="X23" s="571" t="s">
        <v>804</v>
      </c>
      <c r="Y23" s="571" t="s">
        <v>969</v>
      </c>
      <c r="Z23" s="571" t="s">
        <v>970</v>
      </c>
      <c r="AA23" s="571" t="s">
        <v>718</v>
      </c>
      <c r="AB23" s="582" t="s">
        <v>720</v>
      </c>
      <c r="AC23" s="615" t="s">
        <v>955</v>
      </c>
      <c r="AD23" s="582" t="s">
        <v>956</v>
      </c>
      <c r="AE23" s="683" t="s">
        <v>873</v>
      </c>
      <c r="AF23" s="615" t="s">
        <v>977</v>
      </c>
      <c r="AG23" s="615" t="s">
        <v>874</v>
      </c>
      <c r="AH23" s="615" t="s">
        <v>875</v>
      </c>
      <c r="AI23" s="615" t="s">
        <v>613</v>
      </c>
      <c r="AJ23" s="615" t="s">
        <v>876</v>
      </c>
      <c r="AK23" s="615" t="s">
        <v>931</v>
      </c>
      <c r="AL23" s="615" t="s">
        <v>565</v>
      </c>
      <c r="AM23" s="615" t="s">
        <v>804</v>
      </c>
      <c r="AN23" s="615" t="s">
        <v>969</v>
      </c>
      <c r="AO23" s="615" t="s">
        <v>970</v>
      </c>
      <c r="AP23" s="615" t="s">
        <v>718</v>
      </c>
      <c r="AQ23" s="684" t="s">
        <v>720</v>
      </c>
      <c r="AR23" s="581" t="s">
        <v>873</v>
      </c>
      <c r="AS23" s="571" t="s">
        <v>977</v>
      </c>
      <c r="AT23" s="571" t="s">
        <v>874</v>
      </c>
      <c r="AU23" s="571" t="s">
        <v>875</v>
      </c>
      <c r="AV23" s="571" t="s">
        <v>613</v>
      </c>
      <c r="AW23" s="571" t="s">
        <v>876</v>
      </c>
      <c r="AX23" s="571" t="s">
        <v>931</v>
      </c>
      <c r="AY23" s="571" t="s">
        <v>565</v>
      </c>
      <c r="AZ23" s="571" t="s">
        <v>804</v>
      </c>
      <c r="BA23" s="571" t="s">
        <v>969</v>
      </c>
      <c r="BB23" s="571" t="s">
        <v>970</v>
      </c>
      <c r="BC23" s="571" t="s">
        <v>718</v>
      </c>
      <c r="BD23" s="582" t="s">
        <v>720</v>
      </c>
    </row>
    <row r="24" spans="1:56" x14ac:dyDescent="0.25">
      <c r="A24" s="606">
        <f>'ASWING AERO'!A24*3.28084</f>
        <v>29.51324897592</v>
      </c>
      <c r="B24" s="606">
        <f>'ASWING AERO'!G24*3.28084</f>
        <v>30.787035105919998</v>
      </c>
      <c r="C24" s="606">
        <f>'ASWING AERO'!E24*3.28084</f>
        <v>34.608393495919998</v>
      </c>
      <c r="D24" s="606">
        <f>'ASWING AERO'!B24*3.28084</f>
        <v>0</v>
      </c>
      <c r="E24" s="606">
        <f>'ASWING AERO'!C24*3.28084</f>
        <v>13.297293076431998</v>
      </c>
      <c r="F24" s="606">
        <f>'ASWING AERO'!D24*3.28084</f>
        <v>5.0951445199999998</v>
      </c>
      <c r="G24" s="606">
        <v>5</v>
      </c>
      <c r="H24" s="606">
        <f>$A$22+G24</f>
        <v>7.85</v>
      </c>
      <c r="I24" s="606" t="s">
        <v>877</v>
      </c>
      <c r="J24" s="606">
        <f>$R$7</f>
        <v>0</v>
      </c>
      <c r="K24" s="606">
        <f>$R$3</f>
        <v>1.85</v>
      </c>
      <c r="L24" s="606">
        <f>$R$4</f>
        <v>-1.55</v>
      </c>
      <c r="M24" s="606">
        <f>$R$5</f>
        <v>5.4999999999999997E-3</v>
      </c>
      <c r="N24" s="607">
        <f>$R$6</f>
        <v>5.4999999999999997E-3</v>
      </c>
      <c r="O24" s="606">
        <f>('ASWING AERO'!S24)*3.28084</f>
        <v>10.409657157255999</v>
      </c>
      <c r="P24" s="606">
        <f>'ASWING AERO'!Z24</f>
        <v>0.63425085048827801</v>
      </c>
      <c r="Q24" s="606">
        <f>('ASWING AERO'!W24)*3.28084</f>
        <v>12.542203157255999</v>
      </c>
      <c r="R24" s="606">
        <f>('ASWING AERO'!T24)*3.28084</f>
        <v>0</v>
      </c>
      <c r="S24" s="606">
        <f>('ASWING AERO'!U24)*3.28084</f>
        <v>12.850247130368</v>
      </c>
      <c r="T24" s="606">
        <f>('ASWING AERO'!V24)*3.28084</f>
        <v>2.1325460000000001</v>
      </c>
      <c r="U24" s="606">
        <f>'ASWING AERO'!AA24</f>
        <v>0</v>
      </c>
      <c r="V24" s="606">
        <f>'ASWING AERO'!AB24</f>
        <v>5.9</v>
      </c>
      <c r="W24" s="606" t="str">
        <f>'ASWING AERO'!AC24</f>
        <v>MB_2_18-45_Canard.dat</v>
      </c>
      <c r="X24" s="606">
        <f>'ASWING AERO'!AD24</f>
        <v>0</v>
      </c>
      <c r="Y24" s="606">
        <f>'ASWING AERO'!AG24</f>
        <v>2.25</v>
      </c>
      <c r="Z24" s="606">
        <f>'ASWING AERO'!AH24</f>
        <v>-1.65</v>
      </c>
      <c r="AA24" s="606">
        <f>'ASWING AERO'!AI24</f>
        <v>5.4999999999999997E-3</v>
      </c>
      <c r="AB24" s="606">
        <f>'ASWING AERO'!AJ24</f>
        <v>5.4999999999999997E-3</v>
      </c>
      <c r="AC24" s="606">
        <f>'ASWING AERO'!AK24</f>
        <v>8.0285145591739146E-2</v>
      </c>
      <c r="AD24" s="606">
        <f>'ASWING AERO'!AL24</f>
        <v>-7.2256631032565251E-3</v>
      </c>
      <c r="AE24" s="605">
        <f>('ASWING AERO'!AM24)*3.28084</f>
        <v>38.549869999999999</v>
      </c>
      <c r="AF24" s="584">
        <f>'ASWING AERO'!AS24</f>
        <v>1.4295435708716833</v>
      </c>
      <c r="AG24" s="606">
        <f>('ASWING AERO'!AN24)*3.28084</f>
        <v>5.1181103999999999</v>
      </c>
      <c r="AH24" s="606">
        <f>('ASWING AERO'!AO24)*3.28084</f>
        <v>12.795275999999999</v>
      </c>
      <c r="AI24" s="606">
        <f>('ASWING AERO'!AP24)*3.28084</f>
        <v>6.0695540000000001</v>
      </c>
      <c r="AJ24" s="584">
        <f>'ASWING AERO'!AT24</f>
        <v>0</v>
      </c>
      <c r="AK24" s="584">
        <f>'ASWING AERO'!AU24</f>
        <v>0</v>
      </c>
      <c r="AL24" s="584" t="str">
        <f>'ASWING AERO'!AV24</f>
        <v>Eppler_520_Airfoil.dat</v>
      </c>
      <c r="AM24" s="584">
        <f>'ASWING AERO'!AW24</f>
        <v>0</v>
      </c>
      <c r="AN24" s="584">
        <f>'ASWING AERO'!AZ24</f>
        <v>1.4</v>
      </c>
      <c r="AO24" s="584">
        <f>'ASWING AERO'!BA24</f>
        <v>-1.4</v>
      </c>
      <c r="AP24" s="584">
        <f>'ASWING AERO'!BB24</f>
        <v>5.4999999999999997E-3</v>
      </c>
      <c r="AQ24" s="585">
        <f>'ASWING AERO'!BC24</f>
        <v>5.4999999999999997E-3</v>
      </c>
      <c r="AR24" s="606">
        <f>('ASWING AERO'!BD24)*3.28084</f>
        <v>38.549869999999999</v>
      </c>
      <c r="AS24" s="584">
        <f>'ASWING AERO'!BE24</f>
        <v>-1.56</v>
      </c>
      <c r="AT24" s="606">
        <f>('ASWING AERO'!BF24)*3.28084</f>
        <v>12.795275999999999</v>
      </c>
      <c r="AU24" s="606">
        <f>('ASWING AERO'!BG24)*3.28084</f>
        <v>6.0695540000000001</v>
      </c>
      <c r="AV24" s="606">
        <f>('ASWING AERO'!BH24)*3.28084</f>
        <v>2.7887139999999997</v>
      </c>
      <c r="AW24" s="584">
        <f>'ASWING AERO'!BK24</f>
        <v>0</v>
      </c>
      <c r="AX24" s="584">
        <f>'ASWING AERO'!BL24</f>
        <v>0</v>
      </c>
      <c r="AY24" s="584" t="str">
        <f>'ASWING AERO'!BM24</f>
        <v>Eppler_520_Airfoil.dat</v>
      </c>
      <c r="AZ24" s="584">
        <f>'ASWING AERO'!BN24</f>
        <v>0</v>
      </c>
      <c r="BA24" s="584">
        <f>'ASWING AERO'!BQ24</f>
        <v>1.4</v>
      </c>
      <c r="BB24" s="584">
        <f>'ASWING AERO'!BR24</f>
        <v>-1.4</v>
      </c>
      <c r="BC24" s="584">
        <f>'ASWING AERO'!BS24</f>
        <v>5.4999999999999997E-3</v>
      </c>
      <c r="BD24" s="585">
        <f>'ASWING AERO'!BT24</f>
        <v>5.4999999999999997E-3</v>
      </c>
    </row>
    <row r="25" spans="1:56" x14ac:dyDescent="0.25">
      <c r="A25" s="606">
        <f>'ASWING AERO'!A25*3.28084</f>
        <v>29.542499633023997</v>
      </c>
      <c r="B25" s="606">
        <f>'ASWING AERO'!G25*3.28084</f>
        <v>30.786758203024</v>
      </c>
      <c r="C25" s="606">
        <f>'ASWING AERO'!E25*3.28084</f>
        <v>34.519533913023999</v>
      </c>
      <c r="D25" s="606">
        <f>'ASWING AERO'!B25*3.28084</f>
        <v>1.64042</v>
      </c>
      <c r="E25" s="606">
        <f>'ASWING AERO'!C25*3.28084</f>
        <v>13.293260267904</v>
      </c>
      <c r="F25" s="606">
        <f>'ASWING AERO'!D25*3.28084</f>
        <v>4.9770342799999998</v>
      </c>
      <c r="G25" s="606">
        <v>5</v>
      </c>
      <c r="H25" s="606">
        <f t="shared" ref="H25:H32" si="0">$A$22+G25</f>
        <v>7.85</v>
      </c>
      <c r="I25" s="606" t="s">
        <v>877</v>
      </c>
      <c r="J25" s="606">
        <f t="shared" ref="J25:J34" si="1">$R$7</f>
        <v>0</v>
      </c>
      <c r="K25" s="606">
        <f t="shared" ref="K25:K34" si="2">$R$3</f>
        <v>1.85</v>
      </c>
      <c r="L25" s="606">
        <f t="shared" ref="L25:L34" si="3">$R$4</f>
        <v>-1.55</v>
      </c>
      <c r="M25" s="606">
        <f t="shared" ref="M25:M34" si="4">$R$5</f>
        <v>5.4999999999999997E-3</v>
      </c>
      <c r="N25" s="607">
        <f t="shared" ref="N25:N34" si="5">$R$6</f>
        <v>5.4999999999999997E-3</v>
      </c>
      <c r="O25" s="606">
        <f>('ASWING AERO'!S25)*3.28084</f>
        <v>10.961182109288</v>
      </c>
      <c r="P25" s="606">
        <f>'ASWING AERO'!Z25</f>
        <v>0.56887422436102464</v>
      </c>
      <c r="Q25" s="606">
        <f>('ASWING AERO'!W25)*3.28084</f>
        <v>12.873911829288</v>
      </c>
      <c r="R25" s="606">
        <f>('ASWING AERO'!T25)*3.28084</f>
        <v>2.2145670000000002</v>
      </c>
      <c r="S25" s="606">
        <f>('ASWING AERO'!U25)*3.28084</f>
        <v>12.793252377887999</v>
      </c>
      <c r="T25" s="606">
        <f>('ASWING AERO'!V25)*3.28084</f>
        <v>1.91272972</v>
      </c>
      <c r="U25" s="606">
        <f>'ASWING AERO'!AA25</f>
        <v>0</v>
      </c>
      <c r="V25" s="606">
        <f>'ASWING AERO'!AB25</f>
        <v>5.9</v>
      </c>
      <c r="W25" s="606" t="str">
        <f>'ASWING AERO'!AC25</f>
        <v>MB_2_18-45_Canard.dat</v>
      </c>
      <c r="X25" s="606">
        <f>'ASWING AERO'!AD25</f>
        <v>0</v>
      </c>
      <c r="Y25" s="606">
        <f>'ASWING AERO'!AG25</f>
        <v>2.25</v>
      </c>
      <c r="Z25" s="606">
        <f>'ASWING AERO'!AH25</f>
        <v>-1.65</v>
      </c>
      <c r="AA25" s="606">
        <f>'ASWING AERO'!AI25</f>
        <v>5.4999999999999997E-3</v>
      </c>
      <c r="AB25" s="606">
        <f>'ASWING AERO'!AJ25</f>
        <v>5.4999999999999997E-3</v>
      </c>
      <c r="AC25" s="606">
        <f>'ASWING AERO'!AK25</f>
        <v>8.0285145591739146E-2</v>
      </c>
      <c r="AD25" s="606">
        <f>'ASWING AERO'!AL25</f>
        <v>-7.2256631032565251E-3</v>
      </c>
      <c r="AE25" s="605">
        <f>('ASWING AERO'!AM25)*3.28084</f>
        <v>42.322836000000002</v>
      </c>
      <c r="AF25" s="606">
        <f>'ASWING AERO'!AS25</f>
        <v>0.38636312726261707</v>
      </c>
      <c r="AG25" s="606">
        <f>('ASWING AERO'!AN25)*3.28084</f>
        <v>5.1181103999999999</v>
      </c>
      <c r="AH25" s="606">
        <f>('ASWING AERO'!AO25)*3.28084</f>
        <v>8.2020999999999997</v>
      </c>
      <c r="AI25" s="606">
        <f>('ASWING AERO'!AP25)*3.28084</f>
        <v>1.64042</v>
      </c>
      <c r="AJ25" s="606">
        <f>'ASWING AERO'!AT25</f>
        <v>0</v>
      </c>
      <c r="AK25" s="606">
        <f>'ASWING AERO'!AU25</f>
        <v>0</v>
      </c>
      <c r="AL25" s="606" t="str">
        <f>'ASWING AERO'!AV25</f>
        <v>Eppler_520_Airfoil.dat</v>
      </c>
      <c r="AM25" s="606">
        <f>'ASWING AERO'!AW25</f>
        <v>0</v>
      </c>
      <c r="AN25" s="606">
        <f>'ASWING AERO'!AZ25</f>
        <v>1.4</v>
      </c>
      <c r="AO25" s="606">
        <f>'ASWING AERO'!BA25</f>
        <v>-1.4</v>
      </c>
      <c r="AP25" s="606">
        <f>'ASWING AERO'!BB25</f>
        <v>5.4999999999999997E-3</v>
      </c>
      <c r="AQ25" s="607">
        <f>'ASWING AERO'!BC25</f>
        <v>5.4999999999999997E-3</v>
      </c>
      <c r="AR25" s="606">
        <f>('ASWING AERO'!BD25)*3.28084</f>
        <v>42.322836000000002</v>
      </c>
      <c r="AS25" s="606">
        <f>'ASWING AERO'!BE25</f>
        <v>-1.56</v>
      </c>
      <c r="AT25" s="606">
        <f>('ASWING AERO'!BF25)*3.28084</f>
        <v>8.2020999999999997</v>
      </c>
      <c r="AU25" s="606">
        <f>('ASWING AERO'!BG25)*3.28084</f>
        <v>1.64042</v>
      </c>
      <c r="AV25" s="606">
        <f>('ASWING AERO'!BH25)*3.28084</f>
        <v>2.7887139999999997</v>
      </c>
      <c r="AW25" s="606">
        <f>'ASWING AERO'!BK25</f>
        <v>0</v>
      </c>
      <c r="AX25" s="606">
        <f>'ASWING AERO'!BL25</f>
        <v>0</v>
      </c>
      <c r="AY25" s="606" t="str">
        <f>'ASWING AERO'!BM25</f>
        <v>Eppler_520_Airfoil.dat</v>
      </c>
      <c r="AZ25" s="606">
        <f>'ASWING AERO'!BN25</f>
        <v>0</v>
      </c>
      <c r="BA25" s="606">
        <f>'ASWING AERO'!BQ25</f>
        <v>1.4</v>
      </c>
      <c r="BB25" s="606">
        <f>'ASWING AERO'!BR25</f>
        <v>-1.4</v>
      </c>
      <c r="BC25" s="606">
        <f>'ASWING AERO'!BS25</f>
        <v>5.4999999999999997E-3</v>
      </c>
      <c r="BD25" s="607">
        <f>'ASWING AERO'!BT25</f>
        <v>5.4999999999999997E-3</v>
      </c>
    </row>
    <row r="26" spans="1:56" x14ac:dyDescent="0.25">
      <c r="A26" s="606">
        <f>'ASWING AERO'!A26*3.28084</f>
        <v>29.569043269043998</v>
      </c>
      <c r="B26" s="606">
        <f>'ASWING AERO'!G26*3.28084</f>
        <v>30.784594489043997</v>
      </c>
      <c r="C26" s="606">
        <f>'ASWING AERO'!E26*3.28084</f>
        <v>34.431248149043995</v>
      </c>
      <c r="D26" s="606">
        <f>'ASWING AERO'!B26*3.28084</f>
        <v>3.28084</v>
      </c>
      <c r="E26" s="606">
        <f>'ASWING AERO'!C26*3.28084</f>
        <v>13.268257642431999</v>
      </c>
      <c r="F26" s="606">
        <f>'ASWING AERO'!D26*3.28084</f>
        <v>4.8622048800000002</v>
      </c>
      <c r="G26" s="606">
        <v>4</v>
      </c>
      <c r="H26" s="606">
        <f t="shared" si="0"/>
        <v>6.85</v>
      </c>
      <c r="I26" s="606" t="s">
        <v>877</v>
      </c>
      <c r="J26" s="606">
        <f t="shared" si="1"/>
        <v>0</v>
      </c>
      <c r="K26" s="606">
        <f t="shared" si="2"/>
        <v>1.85</v>
      </c>
      <c r="L26" s="606">
        <f t="shared" si="3"/>
        <v>-1.55</v>
      </c>
      <c r="M26" s="606">
        <f t="shared" si="4"/>
        <v>5.4999999999999997E-3</v>
      </c>
      <c r="N26" s="607">
        <f t="shared" si="5"/>
        <v>5.4999999999999997E-3</v>
      </c>
      <c r="O26" s="606">
        <f>('ASWING AERO'!S26)*3.28084</f>
        <v>11.522497415963999</v>
      </c>
      <c r="P26" s="606">
        <f>'ASWING AERO'!Z26</f>
        <v>0.50150823302632064</v>
      </c>
      <c r="Q26" s="606">
        <f>('ASWING AERO'!W26)*3.28084</f>
        <v>13.208849175964</v>
      </c>
      <c r="R26" s="606">
        <f>('ASWING AERO'!T26)*3.28084</f>
        <v>4.4619423999999999</v>
      </c>
      <c r="S26" s="606">
        <f>('ASWING AERO'!U26)*3.28084</f>
        <v>12.735246142436001</v>
      </c>
      <c r="T26" s="606">
        <f>('ASWING AERO'!V26)*3.28084</f>
        <v>1.68635176</v>
      </c>
      <c r="U26" s="606">
        <f>'ASWING AERO'!AA26</f>
        <v>0</v>
      </c>
      <c r="V26" s="606">
        <f>'ASWING AERO'!AB26</f>
        <v>5.9</v>
      </c>
      <c r="W26" s="606" t="str">
        <f>'ASWING AERO'!AC26</f>
        <v>MB_2_18-45_Canard.dat</v>
      </c>
      <c r="X26" s="606">
        <f>'ASWING AERO'!AD26</f>
        <v>0</v>
      </c>
      <c r="Y26" s="606">
        <f>'ASWING AERO'!AG26</f>
        <v>2.25</v>
      </c>
      <c r="Z26" s="606">
        <f>'ASWING AERO'!AH26</f>
        <v>-1.65</v>
      </c>
      <c r="AA26" s="606">
        <f>'ASWING AERO'!AI26</f>
        <v>5.4999999999999997E-3</v>
      </c>
      <c r="AB26" s="606">
        <f>'ASWING AERO'!AJ26</f>
        <v>5.4999999999999997E-3</v>
      </c>
      <c r="AC26" s="606">
        <f>'ASWING AERO'!AK26</f>
        <v>0</v>
      </c>
      <c r="AD26" s="606">
        <f>'ASWING AERO'!AL26</f>
        <v>0</v>
      </c>
      <c r="AE26" s="605">
        <f>('ASWING AERO'!AM26)*3.28084</f>
        <v>0</v>
      </c>
      <c r="AF26" s="606">
        <f>'ASWING AERO'!AS26</f>
        <v>0</v>
      </c>
      <c r="AG26" s="606">
        <f>('ASWING AERO'!AN26)*3.28084</f>
        <v>0</v>
      </c>
      <c r="AH26" s="606">
        <f>('ASWING AERO'!AO26)*3.28084</f>
        <v>0</v>
      </c>
      <c r="AI26" s="606">
        <f>('ASWING AERO'!AP26)*3.28084</f>
        <v>0</v>
      </c>
      <c r="AJ26" s="606">
        <f>'ASWING AERO'!AT26</f>
        <v>0</v>
      </c>
      <c r="AK26" s="606">
        <f>'ASWING AERO'!AU26</f>
        <v>0</v>
      </c>
      <c r="AL26" s="606">
        <f>'ASWING AERO'!AV26</f>
        <v>0</v>
      </c>
      <c r="AM26" s="606">
        <f>'ASWING AERO'!AW26</f>
        <v>0</v>
      </c>
      <c r="AN26" s="606">
        <f>'ASWING AERO'!AZ26</f>
        <v>0</v>
      </c>
      <c r="AO26" s="606">
        <f>'ASWING AERO'!BA26</f>
        <v>0</v>
      </c>
      <c r="AP26" s="606">
        <f>'ASWING AERO'!BB26</f>
        <v>0</v>
      </c>
      <c r="AQ26" s="607">
        <f>'ASWING AERO'!BC26</f>
        <v>0</v>
      </c>
      <c r="AR26" s="606">
        <f>('ASWING AERO'!BD26)*3.28084</f>
        <v>0</v>
      </c>
      <c r="AS26" s="606">
        <f>'ASWING AERO'!BE26</f>
        <v>0</v>
      </c>
      <c r="AT26" s="606">
        <f>('ASWING AERO'!BF26)*3.28084</f>
        <v>0</v>
      </c>
      <c r="AU26" s="606">
        <f>('ASWING AERO'!BG26)*3.28084</f>
        <v>0</v>
      </c>
      <c r="AV26" s="606">
        <f>('ASWING AERO'!BH26)*3.28084</f>
        <v>0</v>
      </c>
      <c r="AW26" s="606">
        <f>'ASWING AERO'!BK26</f>
        <v>0</v>
      </c>
      <c r="AX26" s="606">
        <f>'ASWING AERO'!BL26</f>
        <v>0</v>
      </c>
      <c r="AY26" s="606">
        <f>'ASWING AERO'!BM26</f>
        <v>0</v>
      </c>
      <c r="AZ26" s="606">
        <f>'ASWING AERO'!BN26</f>
        <v>0</v>
      </c>
      <c r="BA26" s="606">
        <f>'ASWING AERO'!BQ26</f>
        <v>0</v>
      </c>
      <c r="BB26" s="606">
        <f>'ASWING AERO'!BR26</f>
        <v>0</v>
      </c>
      <c r="BC26" s="606">
        <f>'ASWING AERO'!BS26</f>
        <v>0</v>
      </c>
      <c r="BD26" s="607">
        <f>'ASWING AERO'!BT26</f>
        <v>0</v>
      </c>
    </row>
    <row r="27" spans="1:56" x14ac:dyDescent="0.25">
      <c r="A27" s="606">
        <f>'ASWING AERO'!A27*3.28084</f>
        <v>29.586247009752</v>
      </c>
      <c r="B27" s="606">
        <f>'ASWING AERO'!G27*3.28084</f>
        <v>30.768989829752002</v>
      </c>
      <c r="C27" s="606">
        <f>'ASWING AERO'!E27*3.28084</f>
        <v>34.317218289751999</v>
      </c>
      <c r="D27" s="606">
        <f>'ASWING AERO'!B27*3.28084</f>
        <v>4.4619423999999999</v>
      </c>
      <c r="E27" s="606">
        <f>'ASWING AERO'!C27*3.28084</f>
        <v>13.244481394952</v>
      </c>
      <c r="F27" s="606">
        <f>'ASWING AERO'!D27*3.28084</f>
        <v>4.7309712799999994</v>
      </c>
      <c r="G27" s="606">
        <v>3</v>
      </c>
      <c r="H27" s="606">
        <f t="shared" si="0"/>
        <v>5.85</v>
      </c>
      <c r="I27" s="606" t="s">
        <v>877</v>
      </c>
      <c r="J27" s="606">
        <f t="shared" si="1"/>
        <v>0</v>
      </c>
      <c r="K27" s="606">
        <f t="shared" si="2"/>
        <v>1.85</v>
      </c>
      <c r="L27" s="606">
        <f t="shared" si="3"/>
        <v>-1.55</v>
      </c>
      <c r="M27" s="606">
        <f t="shared" si="4"/>
        <v>5.4999999999999997E-3</v>
      </c>
      <c r="N27" s="607">
        <f t="shared" si="5"/>
        <v>5.4999999999999997E-3</v>
      </c>
      <c r="O27" s="606">
        <f>('ASWING AERO'!S27)*3.28084</f>
        <v>11.682406869899999</v>
      </c>
      <c r="P27" s="606">
        <f>'ASWING AERO'!Z27</f>
        <v>0.48259344391659614</v>
      </c>
      <c r="Q27" s="606">
        <f>('ASWING AERO'!W27)*3.28084</f>
        <v>13.303141829900001</v>
      </c>
      <c r="R27" s="606">
        <f>('ASWING AERO'!T27)*3.28084</f>
        <v>5.1181103999999999</v>
      </c>
      <c r="S27" s="606">
        <f>('ASWING AERO'!U27)*3.28084</f>
        <v>12.718721207524</v>
      </c>
      <c r="T27" s="606">
        <f>('ASWING AERO'!V27)*3.28084</f>
        <v>1.6207349600000001</v>
      </c>
      <c r="U27" s="606">
        <f>'ASWING AERO'!AA27</f>
        <v>0</v>
      </c>
      <c r="V27" s="606">
        <f>'ASWING AERO'!AB27</f>
        <v>5.9</v>
      </c>
      <c r="W27" s="606" t="str">
        <f>'ASWING AERO'!AC27</f>
        <v>MB_2_18-45_Canard.dat</v>
      </c>
      <c r="X27" s="606">
        <f>'ASWING AERO'!AD27</f>
        <v>0</v>
      </c>
      <c r="Y27" s="606">
        <f>'ASWING AERO'!AG27</f>
        <v>2.25</v>
      </c>
      <c r="Z27" s="606">
        <f>'ASWING AERO'!AH27</f>
        <v>-1.65</v>
      </c>
      <c r="AA27" s="606">
        <f>'ASWING AERO'!AI27</f>
        <v>5.4999999999999997E-3</v>
      </c>
      <c r="AB27" s="606">
        <f>'ASWING AERO'!AJ27</f>
        <v>5.4999999999999997E-3</v>
      </c>
      <c r="AC27" s="606">
        <f>'ASWING AERO'!AK27</f>
        <v>0</v>
      </c>
      <c r="AD27" s="606">
        <f>'ASWING AERO'!AL27</f>
        <v>0</v>
      </c>
      <c r="AE27" s="605">
        <f>('ASWING AERO'!AM27)*3.28084</f>
        <v>0</v>
      </c>
      <c r="AF27" s="606">
        <f>'ASWING AERO'!AS27</f>
        <v>0</v>
      </c>
      <c r="AG27" s="606">
        <f>('ASWING AERO'!AN27)*3.28084</f>
        <v>0</v>
      </c>
      <c r="AH27" s="606">
        <f>('ASWING AERO'!AO27)*3.28084</f>
        <v>0</v>
      </c>
      <c r="AI27" s="606">
        <f>('ASWING AERO'!AP27)*3.28084</f>
        <v>0</v>
      </c>
      <c r="AJ27" s="606">
        <f>'ASWING AERO'!AT27</f>
        <v>0</v>
      </c>
      <c r="AK27" s="606">
        <f>'ASWING AERO'!AU27</f>
        <v>0</v>
      </c>
      <c r="AL27" s="606">
        <f>'ASWING AERO'!AV27</f>
        <v>0</v>
      </c>
      <c r="AM27" s="606">
        <f>'ASWING AERO'!AW27</f>
        <v>0</v>
      </c>
      <c r="AN27" s="606">
        <f>'ASWING AERO'!AZ27</f>
        <v>0</v>
      </c>
      <c r="AO27" s="606">
        <f>'ASWING AERO'!BA27</f>
        <v>0</v>
      </c>
      <c r="AP27" s="606">
        <f>'ASWING AERO'!BB27</f>
        <v>0</v>
      </c>
      <c r="AQ27" s="607">
        <f>'ASWING AERO'!BC27</f>
        <v>0</v>
      </c>
      <c r="AR27" s="606">
        <f>('ASWING AERO'!BD27)*3.28084</f>
        <v>0</v>
      </c>
      <c r="AS27" s="606">
        <f>'ASWING AERO'!BE27</f>
        <v>0</v>
      </c>
      <c r="AT27" s="606">
        <f>('ASWING AERO'!BF27)*3.28084</f>
        <v>0</v>
      </c>
      <c r="AU27" s="606">
        <f>('ASWING AERO'!BG27)*3.28084</f>
        <v>0</v>
      </c>
      <c r="AV27" s="606">
        <f>('ASWING AERO'!BH27)*3.28084</f>
        <v>0</v>
      </c>
      <c r="AW27" s="606">
        <f>'ASWING AERO'!BK27</f>
        <v>0</v>
      </c>
      <c r="AX27" s="606">
        <f>'ASWING AERO'!BL27</f>
        <v>0</v>
      </c>
      <c r="AY27" s="606">
        <f>'ASWING AERO'!BM27</f>
        <v>0</v>
      </c>
      <c r="AZ27" s="606">
        <f>'ASWING AERO'!BN27</f>
        <v>0</v>
      </c>
      <c r="BA27" s="606">
        <f>'ASWING AERO'!BQ27</f>
        <v>0</v>
      </c>
      <c r="BB27" s="606">
        <f>'ASWING AERO'!BR27</f>
        <v>0</v>
      </c>
      <c r="BC27" s="606">
        <f>'ASWING AERO'!BS27</f>
        <v>0</v>
      </c>
      <c r="BD27" s="607">
        <f>'ASWING AERO'!BT27</f>
        <v>0</v>
      </c>
    </row>
    <row r="28" spans="1:56" x14ac:dyDescent="0.25">
      <c r="A28" s="606">
        <f>'ASWING AERO'!A28*3.28084</f>
        <v>29.599334280511997</v>
      </c>
      <c r="B28" s="606">
        <f>'ASWING AERO'!G28*3.28084</f>
        <v>30.782077100511998</v>
      </c>
      <c r="C28" s="606">
        <f>'ASWING AERO'!E28*3.28084</f>
        <v>34.330305560511995</v>
      </c>
      <c r="D28" s="606">
        <f>'ASWING AERO'!B28*3.28084</f>
        <v>5.1181103999999999</v>
      </c>
      <c r="E28" s="606">
        <f>'ASWING AERO'!C28*3.28084</f>
        <v>13.243828835876</v>
      </c>
      <c r="F28" s="606">
        <f>'ASWING AERO'!D28*3.28084</f>
        <v>4.7309712799999994</v>
      </c>
      <c r="G28" s="606">
        <v>3</v>
      </c>
      <c r="H28" s="606">
        <f t="shared" si="0"/>
        <v>5.85</v>
      </c>
      <c r="I28" s="606" t="s">
        <v>877</v>
      </c>
      <c r="J28" s="606">
        <f t="shared" si="1"/>
        <v>0</v>
      </c>
      <c r="K28" s="606">
        <f t="shared" si="2"/>
        <v>1.85</v>
      </c>
      <c r="L28" s="606">
        <f t="shared" si="3"/>
        <v>-1.55</v>
      </c>
      <c r="M28" s="606">
        <f t="shared" si="4"/>
        <v>5.4999999999999997E-3</v>
      </c>
      <c r="N28" s="607">
        <f t="shared" si="5"/>
        <v>5.4999999999999997E-3</v>
      </c>
      <c r="O28" s="606">
        <f>('ASWING AERO'!S28)*3.28084</f>
        <v>11.845580103467999</v>
      </c>
      <c r="P28" s="606">
        <f>'ASWING AERO'!Z28</f>
        <v>0.46256981657431301</v>
      </c>
      <c r="Q28" s="606">
        <f>('ASWING AERO'!W28)*3.28084</f>
        <v>13.400698263467998</v>
      </c>
      <c r="R28" s="606">
        <f>('ASWING AERO'!T28)*3.28084</f>
        <v>5.7742784</v>
      </c>
      <c r="S28" s="606">
        <f>('ASWING AERO'!U28)*3.28084</f>
        <v>12.701859002259999</v>
      </c>
      <c r="T28" s="606">
        <f>('ASWING AERO'!V28)*3.28084</f>
        <v>1.5551181599999999</v>
      </c>
      <c r="U28" s="606">
        <f>'ASWING AERO'!AA28</f>
        <v>0</v>
      </c>
      <c r="V28" s="606">
        <f>'ASWING AERO'!AB28</f>
        <v>5.9</v>
      </c>
      <c r="W28" s="606" t="str">
        <f>'ASWING AERO'!AC28</f>
        <v>MB_2_18-45_Canard.dat</v>
      </c>
      <c r="X28" s="606">
        <f>'ASWING AERO'!AD28</f>
        <v>0</v>
      </c>
      <c r="Y28" s="606">
        <f>'ASWING AERO'!AG28</f>
        <v>2.25</v>
      </c>
      <c r="Z28" s="606">
        <f>'ASWING AERO'!AH28</f>
        <v>-1.65</v>
      </c>
      <c r="AA28" s="606">
        <f>'ASWING AERO'!AI28</f>
        <v>5.4999999999999997E-3</v>
      </c>
      <c r="AB28" s="606">
        <f>'ASWING AERO'!AJ28</f>
        <v>5.4999999999999997E-3</v>
      </c>
      <c r="AC28" s="606">
        <f>'ASWING AERO'!AK28</f>
        <v>8.0285145591739146E-2</v>
      </c>
      <c r="AD28" s="606">
        <f>'ASWING AERO'!AL28</f>
        <v>-7.2256631032565251E-3</v>
      </c>
      <c r="AE28" s="605">
        <f>('ASWING AERO'!AM28)*3.28084</f>
        <v>0</v>
      </c>
      <c r="AF28" s="606">
        <f>'ASWING AERO'!AS28</f>
        <v>0</v>
      </c>
      <c r="AG28" s="606">
        <f>('ASWING AERO'!AN28)*3.28084</f>
        <v>0</v>
      </c>
      <c r="AH28" s="606">
        <f>('ASWING AERO'!AO28)*3.28084</f>
        <v>0</v>
      </c>
      <c r="AI28" s="606">
        <f>('ASWING AERO'!AP28)*3.28084</f>
        <v>0</v>
      </c>
      <c r="AJ28" s="606">
        <f>'ASWING AERO'!AT28</f>
        <v>0</v>
      </c>
      <c r="AK28" s="606">
        <f>'ASWING AERO'!AU28</f>
        <v>0</v>
      </c>
      <c r="AL28" s="606">
        <f>'ASWING AERO'!AV28</f>
        <v>0</v>
      </c>
      <c r="AM28" s="606">
        <f>'ASWING AERO'!AW28</f>
        <v>0</v>
      </c>
      <c r="AN28" s="606">
        <f>'ASWING AERO'!AZ28</f>
        <v>0</v>
      </c>
      <c r="AO28" s="606">
        <f>'ASWING AERO'!BA28</f>
        <v>0</v>
      </c>
      <c r="AP28" s="606">
        <f>'ASWING AERO'!BB28</f>
        <v>0</v>
      </c>
      <c r="AQ28" s="607">
        <f>'ASWING AERO'!BC28</f>
        <v>0</v>
      </c>
      <c r="AR28" s="606">
        <f>('ASWING AERO'!BD28)*3.28084</f>
        <v>0</v>
      </c>
      <c r="AS28" s="606">
        <f>'ASWING AERO'!BE28</f>
        <v>0</v>
      </c>
      <c r="AT28" s="606">
        <f>('ASWING AERO'!BF28)*3.28084</f>
        <v>0</v>
      </c>
      <c r="AU28" s="606">
        <f>('ASWING AERO'!BG28)*3.28084</f>
        <v>0</v>
      </c>
      <c r="AV28" s="606">
        <f>('ASWING AERO'!BH28)*3.28084</f>
        <v>0</v>
      </c>
      <c r="AW28" s="606">
        <f>'ASWING AERO'!BK28</f>
        <v>0</v>
      </c>
      <c r="AX28" s="606">
        <f>'ASWING AERO'!BL28</f>
        <v>0</v>
      </c>
      <c r="AY28" s="606">
        <f>'ASWING AERO'!BM28</f>
        <v>0</v>
      </c>
      <c r="AZ28" s="606">
        <f>'ASWING AERO'!BN28</f>
        <v>0</v>
      </c>
      <c r="BA28" s="606">
        <f>'ASWING AERO'!BQ28</f>
        <v>0</v>
      </c>
      <c r="BB28" s="606">
        <f>'ASWING AERO'!BR28</f>
        <v>0</v>
      </c>
      <c r="BC28" s="606">
        <f>'ASWING AERO'!BS28</f>
        <v>0</v>
      </c>
      <c r="BD28" s="607">
        <f>'ASWING AERO'!BT28</f>
        <v>0</v>
      </c>
    </row>
    <row r="29" spans="1:56" x14ac:dyDescent="0.25">
      <c r="A29" s="606">
        <f>'ASWING AERO'!A29*3.28084</f>
        <v>29.681214860560001</v>
      </c>
      <c r="B29" s="606">
        <f>'ASWING AERO'!G29*3.28084</f>
        <v>30.854115160560003</v>
      </c>
      <c r="C29" s="606">
        <f>'ASWING AERO'!E29*3.28084</f>
        <v>34.372816060559998</v>
      </c>
      <c r="D29" s="606">
        <f>'ASWING AERO'!B29*3.28084</f>
        <v>5.7742784</v>
      </c>
      <c r="E29" s="606">
        <f>'ASWING AERO'!C29*3.28084</f>
        <v>13.239236972212002</v>
      </c>
      <c r="F29" s="606">
        <f>'ASWING AERO'!D29*3.28084</f>
        <v>4.6916012</v>
      </c>
      <c r="G29" s="606">
        <v>3</v>
      </c>
      <c r="H29" s="606">
        <f t="shared" si="0"/>
        <v>5.85</v>
      </c>
      <c r="I29" s="606" t="s">
        <v>877</v>
      </c>
      <c r="J29" s="606">
        <f t="shared" si="1"/>
        <v>0</v>
      </c>
      <c r="K29" s="606">
        <f t="shared" si="2"/>
        <v>1.85</v>
      </c>
      <c r="L29" s="606">
        <f t="shared" si="3"/>
        <v>-1.55</v>
      </c>
      <c r="M29" s="606">
        <f t="shared" si="4"/>
        <v>5.4999999999999997E-3</v>
      </c>
      <c r="N29" s="607">
        <f t="shared" si="5"/>
        <v>5.4999999999999997E-3</v>
      </c>
      <c r="O29" s="606">
        <f>('ASWING AERO'!S29)*3.28084</f>
        <v>12.351416405744001</v>
      </c>
      <c r="P29" s="606">
        <f>'ASWING AERO'!Z29</f>
        <v>0.40206493424878254</v>
      </c>
      <c r="Q29" s="606">
        <f>('ASWING AERO'!W29)*3.28084</f>
        <v>13.703122485744</v>
      </c>
      <c r="R29" s="606">
        <f>('ASWING AERO'!T29)*3.28084</f>
        <v>7.8083991999999993</v>
      </c>
      <c r="S29" s="606">
        <f>('ASWING AERO'!U29)*3.28084</f>
        <v>12.649585706624</v>
      </c>
      <c r="T29" s="606">
        <f>('ASWING AERO'!V29)*3.28084</f>
        <v>1.3517060799999998</v>
      </c>
      <c r="U29" s="606">
        <f>'ASWING AERO'!AA29</f>
        <v>0</v>
      </c>
      <c r="V29" s="606">
        <f>'ASWING AERO'!AB29</f>
        <v>5.9</v>
      </c>
      <c r="W29" s="606" t="str">
        <f>'ASWING AERO'!AC29</f>
        <v>MB_2_18-45_Canard.dat</v>
      </c>
      <c r="X29" s="606">
        <f>'ASWING AERO'!AD29</f>
        <v>0</v>
      </c>
      <c r="Y29" s="606">
        <f>'ASWING AERO'!AG29</f>
        <v>2.25</v>
      </c>
      <c r="Z29" s="606">
        <f>'ASWING AERO'!AH29</f>
        <v>-1.65</v>
      </c>
      <c r="AA29" s="606">
        <f>'ASWING AERO'!AI29</f>
        <v>5.4999999999999997E-3</v>
      </c>
      <c r="AB29" s="606">
        <f>'ASWING AERO'!AJ29</f>
        <v>5.4999999999999997E-3</v>
      </c>
      <c r="AC29" s="606">
        <f>'ASWING AERO'!AK29</f>
        <v>8.0285145591739146E-2</v>
      </c>
      <c r="AD29" s="606">
        <f>'ASWING AERO'!AL29</f>
        <v>-7.2256631032565251E-3</v>
      </c>
      <c r="AE29" s="605">
        <f>('ASWING AERO'!AM29)*3.28084</f>
        <v>0</v>
      </c>
      <c r="AF29" s="606">
        <f>'ASWING AERO'!AS29</f>
        <v>0</v>
      </c>
      <c r="AG29" s="606">
        <f>('ASWING AERO'!AN29)*3.28084</f>
        <v>0</v>
      </c>
      <c r="AH29" s="606">
        <f>('ASWING AERO'!AO29)*3.28084</f>
        <v>0</v>
      </c>
      <c r="AI29" s="606">
        <f>('ASWING AERO'!AP29)*3.28084</f>
        <v>0</v>
      </c>
      <c r="AJ29" s="606">
        <f>'ASWING AERO'!AT29</f>
        <v>0</v>
      </c>
      <c r="AK29" s="606">
        <f>'ASWING AERO'!AU29</f>
        <v>0</v>
      </c>
      <c r="AL29" s="606">
        <f>'ASWING AERO'!AV29</f>
        <v>0</v>
      </c>
      <c r="AM29" s="606">
        <f>'ASWING AERO'!AW29</f>
        <v>0</v>
      </c>
      <c r="AN29" s="606">
        <f>'ASWING AERO'!AZ29</f>
        <v>0</v>
      </c>
      <c r="AO29" s="606">
        <f>'ASWING AERO'!BA29</f>
        <v>0</v>
      </c>
      <c r="AP29" s="606">
        <f>'ASWING AERO'!BB29</f>
        <v>0</v>
      </c>
      <c r="AQ29" s="607">
        <f>'ASWING AERO'!BC29</f>
        <v>0</v>
      </c>
      <c r="AR29" s="606">
        <f>('ASWING AERO'!BD29)*3.28084</f>
        <v>0</v>
      </c>
      <c r="AS29" s="606">
        <f>'ASWING AERO'!BE29</f>
        <v>0</v>
      </c>
      <c r="AT29" s="606">
        <f>('ASWING AERO'!BF29)*3.28084</f>
        <v>0</v>
      </c>
      <c r="AU29" s="606">
        <f>('ASWING AERO'!BG29)*3.28084</f>
        <v>0</v>
      </c>
      <c r="AV29" s="606">
        <f>('ASWING AERO'!BH29)*3.28084</f>
        <v>0</v>
      </c>
      <c r="AW29" s="606">
        <f>'ASWING AERO'!BK29</f>
        <v>0</v>
      </c>
      <c r="AX29" s="606">
        <f>'ASWING AERO'!BL29</f>
        <v>0</v>
      </c>
      <c r="AY29" s="606">
        <f>'ASWING AERO'!BM29</f>
        <v>0</v>
      </c>
      <c r="AZ29" s="606">
        <f>'ASWING AERO'!BN29</f>
        <v>0</v>
      </c>
      <c r="BA29" s="606">
        <f>'ASWING AERO'!BQ29</f>
        <v>0</v>
      </c>
      <c r="BB29" s="606">
        <f>'ASWING AERO'!BR29</f>
        <v>0</v>
      </c>
      <c r="BC29" s="606">
        <f>'ASWING AERO'!BS29</f>
        <v>0</v>
      </c>
      <c r="BD29" s="607">
        <f>'ASWING AERO'!BT29</f>
        <v>0</v>
      </c>
    </row>
    <row r="30" spans="1:56" x14ac:dyDescent="0.25">
      <c r="A30" s="606">
        <f>'ASWING AERO'!A30*3.28084</f>
        <v>29.821069523827997</v>
      </c>
      <c r="B30" s="606">
        <f>'ASWING AERO'!G30*3.28084</f>
        <v>30.978385833828</v>
      </c>
      <c r="C30" s="606">
        <f>'ASWING AERO'!E30*3.28084</f>
        <v>34.450334763827996</v>
      </c>
      <c r="D30" s="606">
        <f>'ASWING AERO'!B30*3.28084</f>
        <v>6.8897640000000004</v>
      </c>
      <c r="E30" s="606">
        <f>'ASWING AERO'!C30*3.28084</f>
        <v>13.221357706548</v>
      </c>
      <c r="F30" s="606">
        <f>'ASWING AERO'!D30*3.28084</f>
        <v>4.6292652400000005</v>
      </c>
      <c r="G30" s="606">
        <v>2.5</v>
      </c>
      <c r="H30" s="606">
        <f t="shared" si="0"/>
        <v>5.35</v>
      </c>
      <c r="I30" s="606" t="s">
        <v>877</v>
      </c>
      <c r="J30" s="606">
        <f t="shared" si="1"/>
        <v>0</v>
      </c>
      <c r="K30" s="606">
        <f t="shared" si="2"/>
        <v>1.85</v>
      </c>
      <c r="L30" s="606">
        <f t="shared" si="3"/>
        <v>-1.55</v>
      </c>
      <c r="M30" s="606">
        <f t="shared" si="4"/>
        <v>5.4999999999999997E-3</v>
      </c>
      <c r="N30" s="607">
        <f t="shared" si="5"/>
        <v>5.4999999999999997E-3</v>
      </c>
      <c r="O30" s="606">
        <f>('ASWING AERO'!S30)*3.28084</f>
        <v>12.857253036104</v>
      </c>
      <c r="P30" s="606">
        <f>'ASWING AERO'!Z30</f>
        <v>0.34156000522367291</v>
      </c>
      <c r="Q30" s="606">
        <f>('ASWING AERO'!W30)*3.28084</f>
        <v>14.005547036104</v>
      </c>
      <c r="R30" s="606">
        <f>('ASWING AERO'!T30)*3.28084</f>
        <v>9.8425200000000004</v>
      </c>
      <c r="S30" s="606">
        <f>('ASWING AERO'!U30)*3.28084</f>
        <v>12.784147390719999</v>
      </c>
      <c r="T30" s="606">
        <f>('ASWING AERO'!V30)*3.28084</f>
        <v>1.1482939999999999</v>
      </c>
      <c r="U30" s="606">
        <f>'ASWING AERO'!AA30</f>
        <v>0</v>
      </c>
      <c r="V30" s="606">
        <f>'ASWING AERO'!AB30</f>
        <v>5.9</v>
      </c>
      <c r="W30" s="606" t="str">
        <f>'ASWING AERO'!AC30</f>
        <v>MB_2_18-45_Canard.dat</v>
      </c>
      <c r="X30" s="606">
        <f>'ASWING AERO'!AD30</f>
        <v>0</v>
      </c>
      <c r="Y30" s="606">
        <f>'ASWING AERO'!AG30</f>
        <v>2.25</v>
      </c>
      <c r="Z30" s="606">
        <f>'ASWING AERO'!AH30</f>
        <v>-1.65</v>
      </c>
      <c r="AA30" s="606">
        <f>'ASWING AERO'!AI30</f>
        <v>5.4999999999999997E-3</v>
      </c>
      <c r="AB30" s="606">
        <f>'ASWING AERO'!AJ30</f>
        <v>5.4999999999999997E-3</v>
      </c>
      <c r="AC30" s="606">
        <f>'ASWING AERO'!AK30</f>
        <v>8.0285145591739146E-2</v>
      </c>
      <c r="AD30" s="606">
        <f>'ASWING AERO'!AL30</f>
        <v>-7.2256631032565251E-3</v>
      </c>
      <c r="AE30" s="605">
        <f>('ASWING AERO'!AM30)*3.28084</f>
        <v>0</v>
      </c>
      <c r="AF30" s="606">
        <f>'ASWING AERO'!AS30</f>
        <v>0</v>
      </c>
      <c r="AG30" s="606">
        <f>('ASWING AERO'!AN30)*3.28084</f>
        <v>0</v>
      </c>
      <c r="AH30" s="606">
        <f>('ASWING AERO'!AO30)*3.28084</f>
        <v>0</v>
      </c>
      <c r="AI30" s="606">
        <f>('ASWING AERO'!AP30)*3.28084</f>
        <v>0</v>
      </c>
      <c r="AJ30" s="606">
        <f>'ASWING AERO'!AT30</f>
        <v>0</v>
      </c>
      <c r="AK30" s="606">
        <f>'ASWING AERO'!AU30</f>
        <v>0</v>
      </c>
      <c r="AL30" s="606">
        <f>'ASWING AERO'!AV30</f>
        <v>0</v>
      </c>
      <c r="AM30" s="606">
        <f>'ASWING AERO'!AW30</f>
        <v>0</v>
      </c>
      <c r="AN30" s="606">
        <f>'ASWING AERO'!AZ30</f>
        <v>0</v>
      </c>
      <c r="AO30" s="606">
        <f>'ASWING AERO'!BA30</f>
        <v>0</v>
      </c>
      <c r="AP30" s="606">
        <f>'ASWING AERO'!BB30</f>
        <v>0</v>
      </c>
      <c r="AQ30" s="607">
        <f>'ASWING AERO'!BC30</f>
        <v>0</v>
      </c>
      <c r="AR30" s="606">
        <f>('ASWING AERO'!BD30)*3.28084</f>
        <v>0</v>
      </c>
      <c r="AS30" s="606">
        <f>'ASWING AERO'!BE30</f>
        <v>0</v>
      </c>
      <c r="AT30" s="606">
        <f>('ASWING AERO'!BF30)*3.28084</f>
        <v>0</v>
      </c>
      <c r="AU30" s="606">
        <f>('ASWING AERO'!BG30)*3.28084</f>
        <v>0</v>
      </c>
      <c r="AV30" s="606">
        <f>('ASWING AERO'!BH30)*3.28084</f>
        <v>0</v>
      </c>
      <c r="AW30" s="606">
        <f>'ASWING AERO'!BK30</f>
        <v>0</v>
      </c>
      <c r="AX30" s="606">
        <f>'ASWING AERO'!BL30</f>
        <v>0</v>
      </c>
      <c r="AY30" s="606">
        <f>'ASWING AERO'!BM30</f>
        <v>0</v>
      </c>
      <c r="AZ30" s="606">
        <f>'ASWING AERO'!BN30</f>
        <v>0</v>
      </c>
      <c r="BA30" s="606">
        <f>'ASWING AERO'!BQ30</f>
        <v>0</v>
      </c>
      <c r="BB30" s="606">
        <f>'ASWING AERO'!BR30</f>
        <v>0</v>
      </c>
      <c r="BC30" s="606">
        <f>'ASWING AERO'!BS30</f>
        <v>0</v>
      </c>
      <c r="BD30" s="607">
        <f>'ASWING AERO'!BT30</f>
        <v>0</v>
      </c>
    </row>
    <row r="31" spans="1:56" x14ac:dyDescent="0.25">
      <c r="A31" s="606">
        <f>'ASWING AERO'!A31*3.28084</f>
        <v>30.088798206935998</v>
      </c>
      <c r="B31" s="606">
        <f>'ASWING AERO'!G31*3.28084</f>
        <v>31.216586956935998</v>
      </c>
      <c r="C31" s="606">
        <f>'ASWING AERO'!E31*3.28084</f>
        <v>34.599953206936</v>
      </c>
      <c r="D31" s="606">
        <f>'ASWING AERO'!B31*3.28084</f>
        <v>9.0223099999999992</v>
      </c>
      <c r="E31" s="606">
        <f>'ASWING AERO'!C31*3.28084</f>
        <v>13.196893138836</v>
      </c>
      <c r="F31" s="606">
        <f>'ASWING AERO'!D31*3.28084</f>
        <v>4.5111549999999996</v>
      </c>
      <c r="G31" s="606">
        <v>2</v>
      </c>
      <c r="H31" s="606">
        <f t="shared" si="0"/>
        <v>4.8499999999999996</v>
      </c>
      <c r="I31" s="606" t="s">
        <v>877</v>
      </c>
      <c r="J31" s="606">
        <f t="shared" si="1"/>
        <v>0</v>
      </c>
      <c r="K31" s="606">
        <f t="shared" si="2"/>
        <v>1.85</v>
      </c>
      <c r="L31" s="606">
        <f t="shared" si="3"/>
        <v>-1.55</v>
      </c>
      <c r="M31" s="606">
        <f t="shared" si="4"/>
        <v>5.4999999999999997E-3</v>
      </c>
      <c r="N31" s="607">
        <f t="shared" si="5"/>
        <v>5.4999999999999997E-3</v>
      </c>
      <c r="O31" s="606">
        <f>('ASWING AERO'!S31)*3.28084</f>
        <v>0</v>
      </c>
      <c r="P31" s="606">
        <f>'ASWING AERO'!Z31</f>
        <v>0</v>
      </c>
      <c r="Q31" s="606">
        <f>('ASWING AERO'!W31)*3.28084</f>
        <v>0</v>
      </c>
      <c r="R31" s="606">
        <f>('ASWING AERO'!T31)*3.28084</f>
        <v>0</v>
      </c>
      <c r="S31" s="606">
        <f>('ASWING AERO'!U31)*3.28084</f>
        <v>0</v>
      </c>
      <c r="T31" s="606">
        <f>('ASWING AERO'!V31)*3.28084</f>
        <v>0</v>
      </c>
      <c r="U31" s="606">
        <f>'ASWING AERO'!AA31</f>
        <v>0</v>
      </c>
      <c r="V31" s="606">
        <f>'ASWING AERO'!AB31</f>
        <v>0</v>
      </c>
      <c r="W31" s="606">
        <f>'ASWING AERO'!AC31</f>
        <v>0</v>
      </c>
      <c r="X31" s="606">
        <f>'ASWING AERO'!AD31</f>
        <v>0</v>
      </c>
      <c r="Y31" s="606">
        <f>'ASWING AERO'!AG31</f>
        <v>0</v>
      </c>
      <c r="Z31" s="606">
        <f>'ASWING AERO'!AH31</f>
        <v>0</v>
      </c>
      <c r="AA31" s="606">
        <f>'ASWING AERO'!AI31</f>
        <v>0</v>
      </c>
      <c r="AB31" s="606">
        <f>'ASWING AERO'!AJ31</f>
        <v>0</v>
      </c>
      <c r="AC31" s="606">
        <f>'ASWING AERO'!AK31</f>
        <v>0</v>
      </c>
      <c r="AD31" s="606">
        <f>'ASWING AERO'!AL31</f>
        <v>0</v>
      </c>
      <c r="AE31" s="605">
        <f>('ASWING AERO'!AM31)*3.28084</f>
        <v>0</v>
      </c>
      <c r="AF31" s="606">
        <f>'ASWING AERO'!AS31</f>
        <v>0</v>
      </c>
      <c r="AG31" s="606">
        <f>('ASWING AERO'!AN31)*3.28084</f>
        <v>0</v>
      </c>
      <c r="AH31" s="606">
        <f>('ASWING AERO'!AO31)*3.28084</f>
        <v>0</v>
      </c>
      <c r="AI31" s="606">
        <f>('ASWING AERO'!AP31)*3.28084</f>
        <v>0</v>
      </c>
      <c r="AJ31" s="606">
        <f>'ASWING AERO'!AT31</f>
        <v>0</v>
      </c>
      <c r="AK31" s="606">
        <f>'ASWING AERO'!AU31</f>
        <v>0</v>
      </c>
      <c r="AL31" s="606">
        <f>'ASWING AERO'!AV31</f>
        <v>0</v>
      </c>
      <c r="AM31" s="606">
        <f>'ASWING AERO'!AW31</f>
        <v>0</v>
      </c>
      <c r="AN31" s="606">
        <f>'ASWING AERO'!AZ31</f>
        <v>0</v>
      </c>
      <c r="AO31" s="606">
        <f>'ASWING AERO'!BA31</f>
        <v>0</v>
      </c>
      <c r="AP31" s="606">
        <f>'ASWING AERO'!BB31</f>
        <v>0</v>
      </c>
      <c r="AQ31" s="607">
        <f>'ASWING AERO'!BC31</f>
        <v>0</v>
      </c>
      <c r="AR31" s="606">
        <f>('ASWING AERO'!BD31)*3.28084</f>
        <v>0</v>
      </c>
      <c r="AS31" s="606">
        <f>'ASWING AERO'!BE31</f>
        <v>0</v>
      </c>
      <c r="AT31" s="606">
        <f>('ASWING AERO'!BF31)*3.28084</f>
        <v>0</v>
      </c>
      <c r="AU31" s="606">
        <f>('ASWING AERO'!BG31)*3.28084</f>
        <v>0</v>
      </c>
      <c r="AV31" s="606">
        <f>('ASWING AERO'!BH31)*3.28084</f>
        <v>0</v>
      </c>
      <c r="AW31" s="606">
        <f>'ASWING AERO'!BK31</f>
        <v>0</v>
      </c>
      <c r="AX31" s="606">
        <f>'ASWING AERO'!BL31</f>
        <v>0</v>
      </c>
      <c r="AY31" s="606">
        <f>'ASWING AERO'!BM31</f>
        <v>0</v>
      </c>
      <c r="AZ31" s="606">
        <f>'ASWING AERO'!BN31</f>
        <v>0</v>
      </c>
      <c r="BA31" s="606">
        <f>'ASWING AERO'!BQ31</f>
        <v>0</v>
      </c>
      <c r="BB31" s="606">
        <f>'ASWING AERO'!BR31</f>
        <v>0</v>
      </c>
      <c r="BC31" s="606">
        <f>'ASWING AERO'!BS31</f>
        <v>0</v>
      </c>
      <c r="BD31" s="607">
        <f>'ASWING AERO'!BT31</f>
        <v>0</v>
      </c>
    </row>
    <row r="32" spans="1:56" x14ac:dyDescent="0.25">
      <c r="A32" s="606">
        <f>'ASWING AERO'!A32*3.28084</f>
        <v>30.792943898759997</v>
      </c>
      <c r="B32" s="606">
        <f>'ASWING AERO'!G32*3.28084</f>
        <v>31.84281269876</v>
      </c>
      <c r="C32" s="606">
        <f>'ASWING AERO'!E32*3.28084</f>
        <v>34.992419098759996</v>
      </c>
      <c r="D32" s="606">
        <f>'ASWING AERO'!B32*3.28084</f>
        <v>14.4685044</v>
      </c>
      <c r="E32" s="606">
        <f>'ASWING AERO'!C32*3.28084</f>
        <v>13.152650355267999</v>
      </c>
      <c r="F32" s="606">
        <f>'ASWING AERO'!D32*3.28084</f>
        <v>4.1994752000000002</v>
      </c>
      <c r="G32" s="606">
        <v>1.6</v>
      </c>
      <c r="H32" s="606">
        <f t="shared" si="0"/>
        <v>4.45</v>
      </c>
      <c r="I32" s="606" t="s">
        <v>878</v>
      </c>
      <c r="J32" s="606">
        <f t="shared" si="1"/>
        <v>0</v>
      </c>
      <c r="K32" s="606">
        <f t="shared" si="2"/>
        <v>1.85</v>
      </c>
      <c r="L32" s="606">
        <f t="shared" si="3"/>
        <v>-1.55</v>
      </c>
      <c r="M32" s="606">
        <f t="shared" si="4"/>
        <v>5.4999999999999997E-3</v>
      </c>
      <c r="N32" s="607">
        <f t="shared" si="5"/>
        <v>5.4999999999999997E-3</v>
      </c>
      <c r="O32" s="606">
        <f>('ASWING AERO'!S32)*3.28084</f>
        <v>0</v>
      </c>
      <c r="P32" s="606">
        <f>'ASWING AERO'!Z32</f>
        <v>0</v>
      </c>
      <c r="Q32" s="606">
        <f>('ASWING AERO'!W32)*3.28084</f>
        <v>0</v>
      </c>
      <c r="R32" s="606">
        <f>('ASWING AERO'!T32)*3.28084</f>
        <v>0</v>
      </c>
      <c r="S32" s="606">
        <f>('ASWING AERO'!U32)*3.28084</f>
        <v>0</v>
      </c>
      <c r="T32" s="606">
        <f>('ASWING AERO'!V32)*3.28084</f>
        <v>0</v>
      </c>
      <c r="U32" s="606">
        <f>'ASWING AERO'!AA32</f>
        <v>0</v>
      </c>
      <c r="V32" s="606">
        <f>'ASWING AERO'!AB32</f>
        <v>0</v>
      </c>
      <c r="W32" s="606">
        <f>'ASWING AERO'!AC32</f>
        <v>0</v>
      </c>
      <c r="X32" s="606">
        <f>'ASWING AERO'!AD32</f>
        <v>0</v>
      </c>
      <c r="Y32" s="606">
        <f>'ASWING AERO'!AG32</f>
        <v>0</v>
      </c>
      <c r="Z32" s="606">
        <f>'ASWING AERO'!AH32</f>
        <v>0</v>
      </c>
      <c r="AA32" s="606">
        <f>'ASWING AERO'!AI32</f>
        <v>0</v>
      </c>
      <c r="AB32" s="606">
        <f>'ASWING AERO'!AJ32</f>
        <v>0</v>
      </c>
      <c r="AC32" s="606">
        <f>'ASWING AERO'!AK32</f>
        <v>0</v>
      </c>
      <c r="AD32" s="606">
        <f>'ASWING AERO'!AL32</f>
        <v>0</v>
      </c>
      <c r="AE32" s="605">
        <f>('ASWING AERO'!AM32)*3.28084</f>
        <v>0</v>
      </c>
      <c r="AF32" s="606">
        <f>'ASWING AERO'!AS32</f>
        <v>0</v>
      </c>
      <c r="AG32" s="606">
        <f>('ASWING AERO'!AN32)*3.28084</f>
        <v>0</v>
      </c>
      <c r="AH32" s="606">
        <f>('ASWING AERO'!AO32)*3.28084</f>
        <v>0</v>
      </c>
      <c r="AI32" s="606">
        <f>('ASWING AERO'!AP32)*3.28084</f>
        <v>0</v>
      </c>
      <c r="AJ32" s="606">
        <f>'ASWING AERO'!AT32</f>
        <v>0</v>
      </c>
      <c r="AK32" s="606">
        <f>'ASWING AERO'!AU32</f>
        <v>0</v>
      </c>
      <c r="AL32" s="606">
        <f>'ASWING AERO'!AV32</f>
        <v>0</v>
      </c>
      <c r="AM32" s="606">
        <f>'ASWING AERO'!AW32</f>
        <v>0</v>
      </c>
      <c r="AN32" s="606">
        <f>'ASWING AERO'!AZ32</f>
        <v>0</v>
      </c>
      <c r="AO32" s="606">
        <f>'ASWING AERO'!BA32</f>
        <v>0</v>
      </c>
      <c r="AP32" s="606">
        <f>'ASWING AERO'!BB32</f>
        <v>0</v>
      </c>
      <c r="AQ32" s="607">
        <f>'ASWING AERO'!BC32</f>
        <v>0</v>
      </c>
      <c r="AR32" s="606">
        <f>('ASWING AERO'!BD32)*3.28084</f>
        <v>0</v>
      </c>
      <c r="AS32" s="606">
        <f>'ASWING AERO'!BE32</f>
        <v>0</v>
      </c>
      <c r="AT32" s="606">
        <f>('ASWING AERO'!BF32)*3.28084</f>
        <v>0</v>
      </c>
      <c r="AU32" s="606">
        <f>('ASWING AERO'!BG32)*3.28084</f>
        <v>0</v>
      </c>
      <c r="AV32" s="606">
        <f>('ASWING AERO'!BH32)*3.28084</f>
        <v>0</v>
      </c>
      <c r="AW32" s="606">
        <f>'ASWING AERO'!BK32</f>
        <v>0</v>
      </c>
      <c r="AX32" s="606">
        <f>'ASWING AERO'!BL32</f>
        <v>0</v>
      </c>
      <c r="AY32" s="606">
        <f>'ASWING AERO'!BM32</f>
        <v>0</v>
      </c>
      <c r="AZ32" s="606">
        <f>'ASWING AERO'!BN32</f>
        <v>0</v>
      </c>
      <c r="BA32" s="606">
        <f>'ASWING AERO'!BQ32</f>
        <v>0</v>
      </c>
      <c r="BB32" s="606">
        <f>'ASWING AERO'!BR32</f>
        <v>0</v>
      </c>
      <c r="BC32" s="606">
        <f>'ASWING AERO'!BS32</f>
        <v>0</v>
      </c>
      <c r="BD32" s="607">
        <f>'ASWING AERO'!BT32</f>
        <v>0</v>
      </c>
    </row>
    <row r="33" spans="1:56" x14ac:dyDescent="0.25">
      <c r="A33" s="606">
        <f>'ASWING AERO'!A33*3.28084</f>
        <v>30.858049215803998</v>
      </c>
      <c r="B33" s="606">
        <f>'ASWING AERO'!G33*3.28084</f>
        <v>31.898895705803998</v>
      </c>
      <c r="C33" s="606">
        <f>'ASWING AERO'!E33*3.28084</f>
        <v>35.021435175804001</v>
      </c>
      <c r="D33" s="606">
        <f>'ASWING AERO'!B33*3.28084</f>
        <v>15.124672400000001</v>
      </c>
      <c r="E33" s="606">
        <f>'ASWING AERO'!C33*3.28084</f>
        <v>13.148287822319999</v>
      </c>
      <c r="F33" s="606">
        <f>'ASWING AERO'!D33*3.28084</f>
        <v>4.1633859599999994</v>
      </c>
      <c r="G33" s="606">
        <v>1.6</v>
      </c>
      <c r="H33" s="606">
        <f t="shared" ref="H33" si="6">$A$22+G33</f>
        <v>4.45</v>
      </c>
      <c r="I33" s="606" t="s">
        <v>878</v>
      </c>
      <c r="J33" s="606">
        <f t="shared" si="1"/>
        <v>0</v>
      </c>
      <c r="K33" s="606">
        <f t="shared" si="2"/>
        <v>1.85</v>
      </c>
      <c r="L33" s="606">
        <f t="shared" si="3"/>
        <v>-1.55</v>
      </c>
      <c r="M33" s="606">
        <f t="shared" si="4"/>
        <v>5.4999999999999997E-3</v>
      </c>
      <c r="N33" s="607">
        <f t="shared" si="5"/>
        <v>5.4999999999999997E-3</v>
      </c>
      <c r="O33" s="606">
        <f>('ASWING AERO'!S33)*3.28084</f>
        <v>0</v>
      </c>
      <c r="P33" s="606">
        <f>'ASWING AERO'!Z33</f>
        <v>0</v>
      </c>
      <c r="Q33" s="606">
        <f>('ASWING AERO'!W33)*3.28084</f>
        <v>0</v>
      </c>
      <c r="R33" s="606">
        <f>('ASWING AERO'!T33)*3.28084</f>
        <v>0</v>
      </c>
      <c r="S33" s="606">
        <f>('ASWING AERO'!U33)*3.28084</f>
        <v>0</v>
      </c>
      <c r="T33" s="606">
        <f>('ASWING AERO'!V33)*3.28084</f>
        <v>0</v>
      </c>
      <c r="U33" s="606">
        <f>'ASWING AERO'!AA33</f>
        <v>0</v>
      </c>
      <c r="V33" s="606">
        <f>'ASWING AERO'!AB33</f>
        <v>0</v>
      </c>
      <c r="W33" s="606">
        <f>'ASWING AERO'!AC33</f>
        <v>0</v>
      </c>
      <c r="X33" s="606">
        <f>'ASWING AERO'!AD33</f>
        <v>0</v>
      </c>
      <c r="Y33" s="606">
        <f>'ASWING AERO'!AG33</f>
        <v>0</v>
      </c>
      <c r="Z33" s="606">
        <f>'ASWING AERO'!AH33</f>
        <v>0</v>
      </c>
      <c r="AA33" s="606">
        <f>'ASWING AERO'!AI33</f>
        <v>0</v>
      </c>
      <c r="AB33" s="606">
        <f>'ASWING AERO'!AJ33</f>
        <v>0</v>
      </c>
      <c r="AC33" s="606">
        <f>'ASWING AERO'!AK33</f>
        <v>0</v>
      </c>
      <c r="AD33" s="606">
        <f>'ASWING AERO'!AL33</f>
        <v>0</v>
      </c>
      <c r="AE33" s="605">
        <f>('ASWING AERO'!AM33)*3.28084</f>
        <v>0</v>
      </c>
      <c r="AF33" s="606">
        <f>'ASWING AERO'!AS33</f>
        <v>0</v>
      </c>
      <c r="AG33" s="606">
        <f>('ASWING AERO'!AN33)*3.28084</f>
        <v>0</v>
      </c>
      <c r="AH33" s="606">
        <f>('ASWING AERO'!AO33)*3.28084</f>
        <v>0</v>
      </c>
      <c r="AI33" s="606">
        <f>('ASWING AERO'!AP33)*3.28084</f>
        <v>0</v>
      </c>
      <c r="AJ33" s="606">
        <f>'ASWING AERO'!AT33</f>
        <v>0</v>
      </c>
      <c r="AK33" s="606">
        <f>'ASWING AERO'!AU33</f>
        <v>0</v>
      </c>
      <c r="AL33" s="606">
        <f>'ASWING AERO'!AV33</f>
        <v>0</v>
      </c>
      <c r="AM33" s="606">
        <f>'ASWING AERO'!AW33</f>
        <v>0</v>
      </c>
      <c r="AN33" s="606">
        <f>'ASWING AERO'!AZ33</f>
        <v>0</v>
      </c>
      <c r="AO33" s="606">
        <f>'ASWING AERO'!BA33</f>
        <v>0</v>
      </c>
      <c r="AP33" s="606">
        <f>'ASWING AERO'!BB33</f>
        <v>0</v>
      </c>
      <c r="AQ33" s="607">
        <f>'ASWING AERO'!BC33</f>
        <v>0</v>
      </c>
      <c r="AR33" s="606">
        <f>('ASWING AERO'!BD33)*3.28084</f>
        <v>0</v>
      </c>
      <c r="AS33" s="606">
        <f>'ASWING AERO'!BE33</f>
        <v>0</v>
      </c>
      <c r="AT33" s="606">
        <f>('ASWING AERO'!BF33)*3.28084</f>
        <v>0</v>
      </c>
      <c r="AU33" s="606">
        <f>('ASWING AERO'!BG33)*3.28084</f>
        <v>0</v>
      </c>
      <c r="AV33" s="606">
        <f>('ASWING AERO'!BH33)*3.28084</f>
        <v>0</v>
      </c>
      <c r="AW33" s="606">
        <f>'ASWING AERO'!BK33</f>
        <v>0</v>
      </c>
      <c r="AX33" s="606">
        <f>'ASWING AERO'!BL33</f>
        <v>0</v>
      </c>
      <c r="AY33" s="606">
        <f>'ASWING AERO'!BM33</f>
        <v>0</v>
      </c>
      <c r="AZ33" s="606">
        <f>'ASWING AERO'!BN33</f>
        <v>0</v>
      </c>
      <c r="BA33" s="606">
        <f>'ASWING AERO'!BQ33</f>
        <v>0</v>
      </c>
      <c r="BB33" s="606">
        <f>'ASWING AERO'!BR33</f>
        <v>0</v>
      </c>
      <c r="BC33" s="606">
        <f>'ASWING AERO'!BS33</f>
        <v>0</v>
      </c>
      <c r="BD33" s="607">
        <f>'ASWING AERO'!BT33</f>
        <v>0</v>
      </c>
    </row>
    <row r="34" spans="1:56" x14ac:dyDescent="0.25">
      <c r="A34" s="606">
        <f>'ASWING AERO'!A34*3.28084</f>
        <v>30.966153878056002</v>
      </c>
      <c r="B34" s="606">
        <f>'ASWING AERO'!G34*3.28084</f>
        <v>31.991416378056002</v>
      </c>
      <c r="C34" s="606">
        <f>'ASWING AERO'!E34*3.28084</f>
        <v>35.067203878056006</v>
      </c>
      <c r="D34" s="606">
        <f>'ASWING AERO'!B34*3.28084</f>
        <v>15.782089087704001</v>
      </c>
      <c r="E34" s="606">
        <f>'ASWING AERO'!C34*3.28084</f>
        <v>13.142443005859999</v>
      </c>
      <c r="F34" s="606">
        <f>'ASWING AERO'!D34*3.28084</f>
        <v>4.1010499999999999</v>
      </c>
      <c r="G34" s="606">
        <v>0</v>
      </c>
      <c r="H34" s="606">
        <f>$A$22+G34</f>
        <v>2.85</v>
      </c>
      <c r="I34" s="606" t="s">
        <v>879</v>
      </c>
      <c r="J34" s="606">
        <f t="shared" si="1"/>
        <v>0</v>
      </c>
      <c r="K34" s="606">
        <f t="shared" si="2"/>
        <v>1.85</v>
      </c>
      <c r="L34" s="606">
        <f t="shared" si="3"/>
        <v>-1.55</v>
      </c>
      <c r="M34" s="606">
        <f t="shared" si="4"/>
        <v>5.4999999999999997E-3</v>
      </c>
      <c r="N34" s="607">
        <f t="shared" si="5"/>
        <v>5.4999999999999997E-3</v>
      </c>
      <c r="O34" s="606">
        <f>('ASWING AERO'!S34)*3.28084</f>
        <v>0</v>
      </c>
      <c r="P34" s="606">
        <f>'ASWING AERO'!Z34</f>
        <v>0</v>
      </c>
      <c r="Q34" s="606">
        <f>('ASWING AERO'!W34)*3.28084</f>
        <v>0</v>
      </c>
      <c r="R34" s="606">
        <f>('ASWING AERO'!T34)*3.28084</f>
        <v>0</v>
      </c>
      <c r="S34" s="606">
        <f>('ASWING AERO'!U34)*3.28084</f>
        <v>0</v>
      </c>
      <c r="T34" s="606">
        <f>('ASWING AERO'!V34)*3.28084</f>
        <v>0</v>
      </c>
      <c r="U34" s="606">
        <f>'ASWING AERO'!AA34</f>
        <v>0</v>
      </c>
      <c r="V34" s="606">
        <f>'ASWING AERO'!AB34</f>
        <v>0</v>
      </c>
      <c r="W34" s="606">
        <f>'ASWING AERO'!AC34</f>
        <v>0</v>
      </c>
      <c r="X34" s="606">
        <f>'ASWING AERO'!AD34</f>
        <v>0</v>
      </c>
      <c r="Y34" s="606">
        <f>'ASWING AERO'!AG34</f>
        <v>0</v>
      </c>
      <c r="Z34" s="606">
        <f>'ASWING AERO'!AH34</f>
        <v>0</v>
      </c>
      <c r="AA34" s="606">
        <f>'ASWING AERO'!AI34</f>
        <v>0</v>
      </c>
      <c r="AB34" s="606">
        <f>'ASWING AERO'!AJ34</f>
        <v>0</v>
      </c>
      <c r="AC34" s="606">
        <f>'ASWING AERO'!AK34</f>
        <v>0</v>
      </c>
      <c r="AD34" s="606">
        <f>'ASWING AERO'!AL34</f>
        <v>0</v>
      </c>
      <c r="AE34" s="605">
        <f>('ASWING AERO'!AM34)*3.28084</f>
        <v>0</v>
      </c>
      <c r="AF34" s="606">
        <f>'ASWING AERO'!AS34</f>
        <v>0</v>
      </c>
      <c r="AG34" s="606">
        <f>('ASWING AERO'!AN34)*3.28084</f>
        <v>0</v>
      </c>
      <c r="AH34" s="606">
        <f>('ASWING AERO'!AO34)*3.28084</f>
        <v>0</v>
      </c>
      <c r="AI34" s="606">
        <f>('ASWING AERO'!AP34)*3.28084</f>
        <v>0</v>
      </c>
      <c r="AJ34" s="606">
        <f>'ASWING AERO'!AT34</f>
        <v>0</v>
      </c>
      <c r="AK34" s="606">
        <f>'ASWING AERO'!AU34</f>
        <v>0</v>
      </c>
      <c r="AL34" s="606">
        <f>'ASWING AERO'!AV34</f>
        <v>0</v>
      </c>
      <c r="AM34" s="606">
        <f>'ASWING AERO'!AW34</f>
        <v>0</v>
      </c>
      <c r="AN34" s="606">
        <f>'ASWING AERO'!AZ34</f>
        <v>0</v>
      </c>
      <c r="AO34" s="606">
        <f>'ASWING AERO'!BA34</f>
        <v>0</v>
      </c>
      <c r="AP34" s="606">
        <f>'ASWING AERO'!BB34</f>
        <v>0</v>
      </c>
      <c r="AQ34" s="607">
        <f>'ASWING AERO'!BC34</f>
        <v>0</v>
      </c>
      <c r="AR34" s="606">
        <f>('ASWING AERO'!BD34)*3.28084</f>
        <v>0</v>
      </c>
      <c r="AS34" s="606">
        <f>'ASWING AERO'!BE34</f>
        <v>0</v>
      </c>
      <c r="AT34" s="606">
        <f>('ASWING AERO'!BF34)*3.28084</f>
        <v>0</v>
      </c>
      <c r="AU34" s="606">
        <f>('ASWING AERO'!BG34)*3.28084</f>
        <v>0</v>
      </c>
      <c r="AV34" s="606">
        <f>('ASWING AERO'!BH34)*3.28084</f>
        <v>0</v>
      </c>
      <c r="AW34" s="606">
        <f>'ASWING AERO'!BK34</f>
        <v>0</v>
      </c>
      <c r="AX34" s="606">
        <f>'ASWING AERO'!BL34</f>
        <v>0</v>
      </c>
      <c r="AY34" s="606">
        <f>'ASWING AERO'!BM34</f>
        <v>0</v>
      </c>
      <c r="AZ34" s="606">
        <f>'ASWING AERO'!BN34</f>
        <v>0</v>
      </c>
      <c r="BA34" s="606">
        <f>'ASWING AERO'!BQ34</f>
        <v>0</v>
      </c>
      <c r="BB34" s="606">
        <f>'ASWING AERO'!BR34</f>
        <v>0</v>
      </c>
      <c r="BC34" s="606">
        <f>'ASWING AERO'!BS34</f>
        <v>0</v>
      </c>
      <c r="BD34" s="607">
        <f>'ASWING AERO'!BT34</f>
        <v>0</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7AFE1-37AF-4F84-93D9-05D98F7990E1}">
  <sheetPr>
    <tabColor rgb="FFFF66FF"/>
  </sheetPr>
  <dimension ref="A1:HK120"/>
  <sheetViews>
    <sheetView zoomScale="85" zoomScaleNormal="85" workbookViewId="0">
      <selection activeCell="F38" sqref="F38"/>
    </sheetView>
  </sheetViews>
  <sheetFormatPr defaultRowHeight="15" outlineLevelCol="1" x14ac:dyDescent="0.25"/>
  <cols>
    <col min="1" max="1" width="20.140625" customWidth="1"/>
    <col min="2" max="2" width="11.42578125" customWidth="1"/>
    <col min="3" max="3" width="15.42578125" bestFit="1" customWidth="1"/>
    <col min="4" max="4" width="20.5703125" customWidth="1"/>
    <col min="5" max="5" width="12.85546875" customWidth="1"/>
    <col min="6" max="6" width="19.140625" customWidth="1"/>
    <col min="7" max="7" width="17.140625" bestFit="1" customWidth="1"/>
    <col min="9" max="9" width="13.5703125" customWidth="1"/>
    <col min="15" max="15" width="12.140625" bestFit="1" customWidth="1"/>
    <col min="16" max="16" width="12" bestFit="1" customWidth="1"/>
    <col min="17" max="19" width="9.28515625" bestFit="1" customWidth="1"/>
    <col min="20" max="20" width="11" bestFit="1" customWidth="1"/>
    <col min="21" max="31" width="11" customWidth="1"/>
    <col min="32" max="32" width="11.7109375" customWidth="1"/>
    <col min="33" max="41" width="11" customWidth="1"/>
    <col min="42" max="68" width="9.28515625" customWidth="1"/>
    <col min="69" max="71" width="9.140625" customWidth="1"/>
    <col min="72" max="72" width="9.140625" style="580" customWidth="1"/>
    <col min="73" max="79" width="9.140625" customWidth="1"/>
    <col min="80" max="80" width="21.28515625" bestFit="1" customWidth="1"/>
    <col min="87" max="87" width="9.140625" style="594"/>
    <col min="88" max="88" width="10" customWidth="1"/>
    <col min="89" max="91" width="8.7109375" customWidth="1" outlineLevel="1"/>
    <col min="92" max="92" width="12.7109375" customWidth="1" outlineLevel="1"/>
    <col min="93" max="130" width="8.7109375" customWidth="1" outlineLevel="1"/>
    <col min="131" max="131" width="20.5703125" bestFit="1" customWidth="1"/>
    <col min="136" max="136" width="14.85546875" bestFit="1" customWidth="1"/>
    <col min="179" max="179" width="14.85546875" bestFit="1" customWidth="1"/>
  </cols>
  <sheetData>
    <row r="1" spans="1:87" ht="15.75" thickBot="1" x14ac:dyDescent="0.3">
      <c r="A1" s="567">
        <v>45008</v>
      </c>
      <c r="D1" s="4" t="s">
        <v>869</v>
      </c>
      <c r="F1" s="675" t="s">
        <v>989</v>
      </c>
      <c r="BT1"/>
      <c r="CI1"/>
    </row>
    <row r="2" spans="1:87" x14ac:dyDescent="0.25">
      <c r="A2" s="567"/>
      <c r="D2" s="674"/>
      <c r="E2" s="674"/>
      <c r="H2" s="80" t="s">
        <v>129</v>
      </c>
      <c r="BT2"/>
      <c r="CI2"/>
    </row>
    <row r="3" spans="1:87" x14ac:dyDescent="0.25">
      <c r="A3" s="567"/>
      <c r="D3" s="673" t="s">
        <v>64</v>
      </c>
      <c r="E3" s="674"/>
      <c r="F3" s="682" t="s">
        <v>990</v>
      </c>
      <c r="H3" s="41"/>
      <c r="BT3"/>
      <c r="CI3"/>
    </row>
    <row r="4" spans="1:87" x14ac:dyDescent="0.25">
      <c r="A4" s="567"/>
      <c r="D4" s="674"/>
      <c r="E4" s="674"/>
      <c r="F4" s="676"/>
      <c r="H4" s="41"/>
      <c r="BT4"/>
      <c r="CI4"/>
    </row>
    <row r="5" spans="1:87" x14ac:dyDescent="0.25">
      <c r="A5" s="567"/>
      <c r="C5" s="524" t="s">
        <v>508</v>
      </c>
      <c r="D5" s="562" t="s">
        <v>858</v>
      </c>
      <c r="F5" s="646" t="s">
        <v>7</v>
      </c>
      <c r="BT5"/>
      <c r="CI5"/>
    </row>
    <row r="6" spans="1:87" x14ac:dyDescent="0.25">
      <c r="A6" s="567"/>
      <c r="D6" s="562" t="s">
        <v>859</v>
      </c>
      <c r="F6" s="646" t="s">
        <v>17</v>
      </c>
      <c r="BT6"/>
      <c r="CI6"/>
    </row>
    <row r="7" spans="1:87" x14ac:dyDescent="0.25">
      <c r="A7" s="567"/>
      <c r="D7" s="562" t="s">
        <v>860</v>
      </c>
      <c r="F7" s="646" t="s">
        <v>764</v>
      </c>
      <c r="BT7"/>
      <c r="CI7"/>
    </row>
    <row r="8" spans="1:87" x14ac:dyDescent="0.25">
      <c r="A8" s="567"/>
      <c r="F8" s="603"/>
      <c r="BT8"/>
      <c r="CI8"/>
    </row>
    <row r="9" spans="1:87" x14ac:dyDescent="0.25">
      <c r="A9" s="567"/>
      <c r="C9" s="524" t="s">
        <v>861</v>
      </c>
      <c r="D9" s="562" t="s">
        <v>862</v>
      </c>
      <c r="F9" s="647">
        <f>'ASWING STRUCT'!F9*3.28084</f>
        <v>32.185040399999998</v>
      </c>
      <c r="G9" s="2" t="s">
        <v>1011</v>
      </c>
      <c r="BT9"/>
      <c r="CI9"/>
    </row>
    <row r="10" spans="1:87" x14ac:dyDescent="0.25">
      <c r="A10" s="567"/>
      <c r="D10" s="562" t="s">
        <v>863</v>
      </c>
      <c r="F10" s="649">
        <v>2.3770000000000002E-3</v>
      </c>
      <c r="G10" s="2" t="s">
        <v>1009</v>
      </c>
      <c r="BT10"/>
      <c r="CI10"/>
    </row>
    <row r="11" spans="1:87" x14ac:dyDescent="0.25">
      <c r="A11" s="567"/>
      <c r="D11" s="562" t="s">
        <v>864</v>
      </c>
      <c r="F11" s="646">
        <f>'ASWING STRUCT'!F11*3.28084</f>
        <v>1115</v>
      </c>
      <c r="G11" s="2" t="s">
        <v>1010</v>
      </c>
      <c r="BT11"/>
      <c r="CI11"/>
    </row>
    <row r="12" spans="1:87" x14ac:dyDescent="0.25">
      <c r="A12" s="567"/>
      <c r="D12" s="562" t="s">
        <v>865</v>
      </c>
      <c r="F12" s="646">
        <f>'ASWING STRUCT'!F12*3.28084^2</f>
        <v>201.78339911979822</v>
      </c>
      <c r="G12" s="2" t="s">
        <v>1008</v>
      </c>
      <c r="BT12"/>
      <c r="CI12"/>
    </row>
    <row r="13" spans="1:87" x14ac:dyDescent="0.25">
      <c r="A13" s="567"/>
      <c r="D13" s="562" t="s">
        <v>615</v>
      </c>
      <c r="F13" s="646">
        <f>'ASWING STRUCT'!F13*3.28084</f>
        <v>4.2250190328384001</v>
      </c>
      <c r="G13" s="2" t="s">
        <v>1007</v>
      </c>
      <c r="BT13"/>
      <c r="CI13"/>
    </row>
    <row r="14" spans="1:87" x14ac:dyDescent="0.25">
      <c r="A14" s="567"/>
      <c r="D14" s="562" t="s">
        <v>866</v>
      </c>
      <c r="F14" s="646">
        <f>'ASWING STRUCT'!F14*3.28084</f>
        <v>50.524936000000004</v>
      </c>
      <c r="G14" s="2" t="s">
        <v>1007</v>
      </c>
      <c r="BT14"/>
      <c r="CI14"/>
    </row>
    <row r="15" spans="1:87" x14ac:dyDescent="0.25">
      <c r="A15" s="567"/>
      <c r="D15" s="562" t="s">
        <v>962</v>
      </c>
      <c r="F15" s="646">
        <f>'ASWING STRUCT'!F15*3.28084</f>
        <v>23.875672680031997</v>
      </c>
      <c r="G15" s="2" t="s">
        <v>1007</v>
      </c>
      <c r="H15" s="41" t="s">
        <v>954</v>
      </c>
      <c r="BT15"/>
      <c r="CI15"/>
    </row>
    <row r="16" spans="1:87" x14ac:dyDescent="0.25">
      <c r="A16" s="567"/>
      <c r="D16" s="562" t="s">
        <v>963</v>
      </c>
      <c r="F16" s="646">
        <f>'ASWING STRUCT'!F16*3.28084</f>
        <v>-1.214566968E-2</v>
      </c>
      <c r="G16" s="2" t="s">
        <v>1007</v>
      </c>
      <c r="BT16"/>
      <c r="CI16"/>
    </row>
    <row r="17" spans="1:87" x14ac:dyDescent="0.25">
      <c r="A17" s="567"/>
      <c r="D17" s="562" t="s">
        <v>964</v>
      </c>
      <c r="F17" s="646">
        <f>'ASWING STRUCT'!F17*3.28084</f>
        <v>8.1686780829199996</v>
      </c>
      <c r="G17" s="2" t="s">
        <v>1007</v>
      </c>
      <c r="BT17"/>
      <c r="CI17"/>
    </row>
    <row r="18" spans="1:87" x14ac:dyDescent="0.25">
      <c r="A18" s="567"/>
      <c r="D18" s="562" t="s">
        <v>867</v>
      </c>
      <c r="F18" s="646">
        <f>'Prosperity Reference'!E12</f>
        <v>0</v>
      </c>
      <c r="G18" s="2" t="s">
        <v>1007</v>
      </c>
      <c r="BT18"/>
      <c r="CI18"/>
    </row>
    <row r="19" spans="1:87" x14ac:dyDescent="0.25">
      <c r="A19" s="567"/>
      <c r="D19" s="562" t="s">
        <v>870</v>
      </c>
      <c r="F19" s="646">
        <f>F18</f>
        <v>0</v>
      </c>
      <c r="G19" s="2" t="s">
        <v>1007</v>
      </c>
      <c r="BT19"/>
      <c r="CI19"/>
    </row>
    <row r="20" spans="1:87" x14ac:dyDescent="0.25">
      <c r="A20" s="567"/>
      <c r="D20" s="562" t="s">
        <v>868</v>
      </c>
      <c r="F20" s="646">
        <f>F19</f>
        <v>0</v>
      </c>
      <c r="G20" s="2" t="s">
        <v>1007</v>
      </c>
      <c r="BT20"/>
      <c r="CI20"/>
    </row>
    <row r="21" spans="1:87" x14ac:dyDescent="0.25">
      <c r="A21" s="567"/>
      <c r="F21" s="5"/>
      <c r="G21" s="2"/>
      <c r="BT21"/>
      <c r="CI21"/>
    </row>
    <row r="22" spans="1:87" x14ac:dyDescent="0.25">
      <c r="A22" s="567"/>
      <c r="C22" s="4" t="s">
        <v>950</v>
      </c>
      <c r="F22" s="5"/>
      <c r="G22" s="2"/>
      <c r="BT22"/>
      <c r="CI22"/>
    </row>
    <row r="23" spans="1:87" x14ac:dyDescent="0.25">
      <c r="A23" s="567"/>
      <c r="D23" s="562" t="s">
        <v>913</v>
      </c>
      <c r="F23" s="648">
        <f>'ASWING STRUCT'!F23*3.28084</f>
        <v>0.49212599999999995</v>
      </c>
      <c r="G23" s="2" t="s">
        <v>1007</v>
      </c>
      <c r="BT23"/>
      <c r="CI23"/>
    </row>
    <row r="24" spans="1:87" x14ac:dyDescent="0.25">
      <c r="A24" s="567"/>
      <c r="D24" s="562" t="s">
        <v>659</v>
      </c>
      <c r="F24" s="650">
        <f ca="1">'ASWING STRUCT'!F24*2.20462*3.28084^2</f>
        <v>106482823.38167585</v>
      </c>
      <c r="G24" s="2" t="s">
        <v>1022</v>
      </c>
      <c r="H24" s="41" t="s">
        <v>994</v>
      </c>
      <c r="BT24"/>
      <c r="CI24"/>
    </row>
    <row r="25" spans="1:87" x14ac:dyDescent="0.25">
      <c r="A25" s="567"/>
      <c r="D25" s="562" t="s">
        <v>655</v>
      </c>
      <c r="F25" s="650">
        <f ca="1">'ASWING STRUCT'!F25*2.20462*3.28084^2</f>
        <v>48625835.020508327</v>
      </c>
      <c r="G25" s="2" t="s">
        <v>1022</v>
      </c>
      <c r="H25" s="41"/>
      <c r="BT25"/>
      <c r="CI25"/>
    </row>
    <row r="26" spans="1:87" x14ac:dyDescent="0.25">
      <c r="A26" s="567"/>
      <c r="D26" s="562" t="s">
        <v>667</v>
      </c>
      <c r="F26" s="650">
        <f ca="1">'ASWING STRUCT'!F26*2.20462*3.28084^2</f>
        <v>619366804.61945462</v>
      </c>
      <c r="G26" s="2" t="s">
        <v>1022</v>
      </c>
      <c r="H26" s="41"/>
      <c r="BT26"/>
      <c r="CI26"/>
    </row>
    <row r="27" spans="1:87" x14ac:dyDescent="0.25">
      <c r="A27" s="567"/>
      <c r="D27" s="562" t="s">
        <v>991</v>
      </c>
      <c r="F27" s="647">
        <f>'ASWING STRUCT'!F27*3.28084/2.20462</f>
        <v>8.4825448376590984</v>
      </c>
      <c r="G27" s="2" t="s">
        <v>1018</v>
      </c>
      <c r="BT27"/>
      <c r="CI27"/>
    </row>
    <row r="28" spans="1:87" x14ac:dyDescent="0.25">
      <c r="A28" s="567"/>
      <c r="F28" s="5"/>
      <c r="AF28" t="s">
        <v>938</v>
      </c>
      <c r="BT28"/>
      <c r="CI28"/>
    </row>
    <row r="29" spans="1:87" x14ac:dyDescent="0.25">
      <c r="A29" s="567"/>
      <c r="F29" s="5"/>
      <c r="BT29"/>
      <c r="CI29"/>
    </row>
    <row r="30" spans="1:87" x14ac:dyDescent="0.25">
      <c r="A30" s="567"/>
      <c r="D30" s="4" t="s">
        <v>807</v>
      </c>
      <c r="F30" s="604" t="s">
        <v>152</v>
      </c>
      <c r="BT30"/>
      <c r="CI30"/>
    </row>
    <row r="31" spans="1:87" x14ac:dyDescent="0.25">
      <c r="A31" s="567"/>
      <c r="D31" s="562" t="s">
        <v>930</v>
      </c>
      <c r="F31" s="651">
        <f>'Inputs-Imperial'!E12</f>
        <v>0.25</v>
      </c>
      <c r="G31" s="562" t="s">
        <v>803</v>
      </c>
      <c r="BT31"/>
      <c r="CI31"/>
    </row>
    <row r="32" spans="1:87" x14ac:dyDescent="0.25">
      <c r="A32" s="567"/>
      <c r="D32" s="562" t="s">
        <v>809</v>
      </c>
      <c r="F32" s="651">
        <f>'Inputs-Imperial'!E11</f>
        <v>0.18</v>
      </c>
      <c r="G32" s="562" t="s">
        <v>803</v>
      </c>
      <c r="BT32"/>
      <c r="CI32"/>
    </row>
    <row r="33" spans="1:219" x14ac:dyDescent="0.25">
      <c r="A33" s="567"/>
      <c r="F33" s="5"/>
      <c r="BT33"/>
      <c r="CI33"/>
    </row>
    <row r="34" spans="1:219" x14ac:dyDescent="0.25">
      <c r="A34" s="567"/>
      <c r="D34" s="4" t="s">
        <v>975</v>
      </c>
      <c r="F34" s="5"/>
      <c r="BT34"/>
      <c r="CI34"/>
    </row>
    <row r="35" spans="1:219" x14ac:dyDescent="0.25">
      <c r="A35" s="567"/>
      <c r="D35" s="562" t="s">
        <v>974</v>
      </c>
      <c r="F35" s="646">
        <f>'ASWING STRUCT'!F35</f>
        <v>21</v>
      </c>
      <c r="G35" s="2"/>
      <c r="BS35" s="352"/>
      <c r="BT35"/>
      <c r="CI35"/>
    </row>
    <row r="36" spans="1:219" x14ac:dyDescent="0.25">
      <c r="F36" s="5"/>
      <c r="G36" s="2"/>
      <c r="BT36"/>
      <c r="CI36"/>
    </row>
    <row r="37" spans="1:219" x14ac:dyDescent="0.25">
      <c r="D37" s="562" t="s">
        <v>982</v>
      </c>
      <c r="F37" s="652">
        <f>'ASWING STRUCT'!F37*3.28084</f>
        <v>0</v>
      </c>
      <c r="G37" s="2" t="s">
        <v>1007</v>
      </c>
      <c r="H37" s="41" t="s">
        <v>988</v>
      </c>
      <c r="BT37"/>
      <c r="CI37"/>
    </row>
    <row r="38" spans="1:219" x14ac:dyDescent="0.25">
      <c r="D38" s="562" t="s">
        <v>729</v>
      </c>
      <c r="F38" s="652">
        <f>'ASWING STRUCT'!F38*3.28084</f>
        <v>0</v>
      </c>
      <c r="G38" s="2" t="s">
        <v>1007</v>
      </c>
      <c r="BT38"/>
      <c r="CI38"/>
    </row>
    <row r="39" spans="1:219" x14ac:dyDescent="0.25">
      <c r="F39" s="5"/>
      <c r="BT39"/>
      <c r="CI39"/>
    </row>
    <row r="40" spans="1:219" ht="14.25" customHeight="1" x14ac:dyDescent="0.25">
      <c r="F40" s="5" t="s">
        <v>992</v>
      </c>
      <c r="BT40"/>
      <c r="CI40"/>
    </row>
    <row r="41" spans="1:219" x14ac:dyDescent="0.25">
      <c r="D41" s="562" t="s">
        <v>811</v>
      </c>
      <c r="F41" s="653">
        <f>'ASWING STRUCT'!F41</f>
        <v>10</v>
      </c>
      <c r="G41" t="s">
        <v>857</v>
      </c>
      <c r="AY41" s="637"/>
      <c r="BT41"/>
      <c r="CI41"/>
    </row>
    <row r="42" spans="1:219" x14ac:dyDescent="0.25">
      <c r="D42" s="562" t="s">
        <v>993</v>
      </c>
      <c r="F42" s="653">
        <f>'ASWING STRUCT'!F42</f>
        <v>0.01</v>
      </c>
      <c r="G42" t="s">
        <v>856</v>
      </c>
      <c r="BT42"/>
      <c r="CI42"/>
    </row>
    <row r="43" spans="1:219" x14ac:dyDescent="0.25">
      <c r="D43" s="562" t="s">
        <v>703</v>
      </c>
      <c r="F43" s="653">
        <f>'ASWING STRUCT'!F43</f>
        <v>2E-3</v>
      </c>
      <c r="AY43" s="207"/>
      <c r="BT43"/>
      <c r="CI43"/>
    </row>
    <row r="44" spans="1:219" x14ac:dyDescent="0.25">
      <c r="D44" s="562" t="s">
        <v>706</v>
      </c>
      <c r="F44" s="653">
        <f>'ASWING STRUCT'!F44</f>
        <v>2E-3</v>
      </c>
      <c r="BT44"/>
      <c r="CI44"/>
    </row>
    <row r="45" spans="1:219" x14ac:dyDescent="0.25">
      <c r="BT45"/>
      <c r="CI45"/>
    </row>
    <row r="46" spans="1:219" x14ac:dyDescent="0.25">
      <c r="AP46" s="2"/>
      <c r="BT46"/>
      <c r="CI46"/>
    </row>
    <row r="47" spans="1:219" x14ac:dyDescent="0.25">
      <c r="Q47" t="s">
        <v>943</v>
      </c>
      <c r="V47" t="s">
        <v>957</v>
      </c>
      <c r="AA47" t="s">
        <v>958</v>
      </c>
      <c r="AF47" t="s">
        <v>959</v>
      </c>
      <c r="AK47" t="s">
        <v>960</v>
      </c>
      <c r="AP47" t="s">
        <v>961</v>
      </c>
      <c r="AW47" s="2" t="s">
        <v>1007</v>
      </c>
      <c r="AX47" s="2" t="s">
        <v>1007</v>
      </c>
      <c r="AY47" s="2" t="s">
        <v>1007</v>
      </c>
      <c r="AZ47" s="2" t="s">
        <v>1021</v>
      </c>
      <c r="BA47" s="2" t="s">
        <v>1032</v>
      </c>
      <c r="BB47" s="2" t="s">
        <v>1032</v>
      </c>
      <c r="BC47" s="2" t="s">
        <v>1032</v>
      </c>
      <c r="BD47" s="2" t="s">
        <v>1032</v>
      </c>
      <c r="BE47" s="2" t="s">
        <v>1032</v>
      </c>
      <c r="BF47" s="2" t="s">
        <v>1032</v>
      </c>
      <c r="BG47" s="2"/>
      <c r="BH47" s="2" t="s">
        <v>1033</v>
      </c>
      <c r="BI47" s="2" t="s">
        <v>1033</v>
      </c>
      <c r="BJ47" s="2" t="s">
        <v>1023</v>
      </c>
      <c r="BK47" s="2" t="s">
        <v>1023</v>
      </c>
      <c r="BL47" s="2" t="s">
        <v>1018</v>
      </c>
      <c r="BM47" s="2" t="s">
        <v>1007</v>
      </c>
      <c r="BN47" s="2" t="s">
        <v>1007</v>
      </c>
      <c r="BO47" s="2" t="s">
        <v>1023</v>
      </c>
      <c r="BP47" s="2" t="s">
        <v>1023</v>
      </c>
      <c r="BQ47" s="2" t="s">
        <v>1018</v>
      </c>
      <c r="BR47" s="2" t="s">
        <v>1007</v>
      </c>
      <c r="BS47" s="2" t="s">
        <v>1007</v>
      </c>
      <c r="BT47" s="2" t="s">
        <v>1007</v>
      </c>
      <c r="BU47" s="2" t="s">
        <v>1007</v>
      </c>
      <c r="BV47" s="2" t="s">
        <v>1007</v>
      </c>
      <c r="BW47" s="2" t="s">
        <v>1007</v>
      </c>
      <c r="BX47" s="2" t="s">
        <v>1024</v>
      </c>
      <c r="BY47" s="2" t="s">
        <v>1024</v>
      </c>
      <c r="BZ47" s="2" t="s">
        <v>1007</v>
      </c>
      <c r="CA47" s="2" t="s">
        <v>1007</v>
      </c>
      <c r="CB47" s="2" t="s">
        <v>1025</v>
      </c>
      <c r="CC47" s="2" t="s">
        <v>1007</v>
      </c>
      <c r="CF47" s="2" t="s">
        <v>1007</v>
      </c>
      <c r="CH47" s="2" t="s">
        <v>1021</v>
      </c>
      <c r="CI47"/>
      <c r="CL47" t="s">
        <v>1026</v>
      </c>
      <c r="CN47" s="2" t="s">
        <v>1007</v>
      </c>
      <c r="CO47" s="2" t="s">
        <v>1007</v>
      </c>
      <c r="CP47" s="2" t="s">
        <v>1007</v>
      </c>
      <c r="CQ47" s="2" t="s">
        <v>1021</v>
      </c>
      <c r="CR47" s="2" t="s">
        <v>1032</v>
      </c>
      <c r="CS47" s="2" t="s">
        <v>1032</v>
      </c>
      <c r="CT47" s="2" t="s">
        <v>1032</v>
      </c>
      <c r="CU47" s="2" t="s">
        <v>1032</v>
      </c>
      <c r="CV47" s="2" t="s">
        <v>1032</v>
      </c>
      <c r="CW47" s="2" t="s">
        <v>1032</v>
      </c>
      <c r="CX47" s="2"/>
      <c r="CY47" s="2" t="s">
        <v>1033</v>
      </c>
      <c r="CZ47" s="2" t="s">
        <v>1033</v>
      </c>
      <c r="DA47" s="2" t="s">
        <v>1023</v>
      </c>
      <c r="DB47" s="2" t="s">
        <v>1023</v>
      </c>
      <c r="DC47" s="2" t="s">
        <v>1018</v>
      </c>
      <c r="DD47" s="2" t="s">
        <v>1007</v>
      </c>
      <c r="DE47" s="2" t="s">
        <v>1007</v>
      </c>
      <c r="DF47" s="2" t="s">
        <v>1023</v>
      </c>
      <c r="DG47" s="2" t="s">
        <v>1023</v>
      </c>
      <c r="DH47" s="2" t="s">
        <v>1018</v>
      </c>
      <c r="DI47" s="2" t="s">
        <v>1007</v>
      </c>
      <c r="DJ47" s="2" t="s">
        <v>1007</v>
      </c>
      <c r="DK47" s="2" t="s">
        <v>1007</v>
      </c>
      <c r="DL47" s="2" t="s">
        <v>1007</v>
      </c>
      <c r="DM47" s="2" t="s">
        <v>1007</v>
      </c>
      <c r="DN47" s="2" t="s">
        <v>1007</v>
      </c>
      <c r="DO47" s="2" t="s">
        <v>1024</v>
      </c>
      <c r="DP47" s="2" t="s">
        <v>1024</v>
      </c>
      <c r="DQ47" s="2" t="s">
        <v>1007</v>
      </c>
      <c r="DR47" s="2" t="s">
        <v>1007</v>
      </c>
      <c r="DS47" s="2" t="s">
        <v>1025</v>
      </c>
      <c r="DT47" s="2" t="s">
        <v>1007</v>
      </c>
      <c r="DW47" s="2" t="s">
        <v>1007</v>
      </c>
      <c r="DY47" s="2" t="s">
        <v>1021</v>
      </c>
      <c r="EC47" t="s">
        <v>1026</v>
      </c>
      <c r="EE47" s="2" t="s">
        <v>1007</v>
      </c>
      <c r="EF47" s="2" t="s">
        <v>1007</v>
      </c>
      <c r="EG47" s="2" t="s">
        <v>1007</v>
      </c>
      <c r="EH47" s="2" t="s">
        <v>1021</v>
      </c>
      <c r="EI47" s="2" t="s">
        <v>1032</v>
      </c>
      <c r="EJ47" s="2" t="s">
        <v>1032</v>
      </c>
      <c r="EK47" s="2" t="s">
        <v>1032</v>
      </c>
      <c r="EL47" s="2" t="s">
        <v>1032</v>
      </c>
      <c r="EM47" s="2" t="s">
        <v>1032</v>
      </c>
      <c r="EN47" s="2" t="s">
        <v>1032</v>
      </c>
      <c r="EO47" s="2"/>
      <c r="EP47" s="2" t="s">
        <v>1033</v>
      </c>
      <c r="EQ47" s="2" t="s">
        <v>1033</v>
      </c>
      <c r="ER47" s="2" t="s">
        <v>1023</v>
      </c>
      <c r="ES47" s="2" t="s">
        <v>1023</v>
      </c>
      <c r="ET47" s="2" t="s">
        <v>1018</v>
      </c>
      <c r="EU47" s="2" t="s">
        <v>1007</v>
      </c>
      <c r="EV47" s="2" t="s">
        <v>1007</v>
      </c>
      <c r="EW47" s="2" t="s">
        <v>1023</v>
      </c>
      <c r="EX47" s="2" t="s">
        <v>1023</v>
      </c>
      <c r="EY47" s="2" t="s">
        <v>1018</v>
      </c>
      <c r="EZ47" s="2" t="s">
        <v>1007</v>
      </c>
      <c r="FA47" s="2" t="s">
        <v>1007</v>
      </c>
      <c r="FB47" s="2" t="s">
        <v>1007</v>
      </c>
      <c r="FC47" s="2" t="s">
        <v>1007</v>
      </c>
      <c r="FD47" s="2" t="s">
        <v>1007</v>
      </c>
      <c r="FE47" s="2" t="s">
        <v>1007</v>
      </c>
      <c r="FF47" s="2" t="s">
        <v>1024</v>
      </c>
      <c r="FG47" s="2" t="s">
        <v>1024</v>
      </c>
      <c r="FH47" s="2" t="s">
        <v>1007</v>
      </c>
      <c r="FI47" s="2" t="s">
        <v>1007</v>
      </c>
      <c r="FJ47" s="2" t="s">
        <v>1025</v>
      </c>
      <c r="FK47" s="2" t="s">
        <v>1007</v>
      </c>
      <c r="FN47" s="2" t="s">
        <v>1007</v>
      </c>
      <c r="FP47" s="2" t="s">
        <v>1021</v>
      </c>
      <c r="FT47" t="s">
        <v>1026</v>
      </c>
      <c r="FV47" s="2" t="s">
        <v>1007</v>
      </c>
      <c r="FW47" s="2" t="s">
        <v>1007</v>
      </c>
      <c r="FX47" s="2" t="s">
        <v>1007</v>
      </c>
      <c r="FY47" s="2" t="s">
        <v>1021</v>
      </c>
      <c r="FZ47" s="2" t="s">
        <v>1032</v>
      </c>
      <c r="GA47" s="2" t="s">
        <v>1032</v>
      </c>
      <c r="GB47" s="2" t="s">
        <v>1032</v>
      </c>
      <c r="GC47" s="2" t="s">
        <v>1032</v>
      </c>
      <c r="GD47" s="2" t="s">
        <v>1032</v>
      </c>
      <c r="GE47" s="2" t="s">
        <v>1032</v>
      </c>
      <c r="GF47" s="2"/>
      <c r="GG47" s="2" t="s">
        <v>1033</v>
      </c>
      <c r="GH47" s="2" t="s">
        <v>1033</v>
      </c>
      <c r="GI47" s="2" t="s">
        <v>1023</v>
      </c>
      <c r="GJ47" s="2" t="s">
        <v>1023</v>
      </c>
      <c r="GK47" s="2" t="s">
        <v>1018</v>
      </c>
      <c r="GL47" s="2" t="s">
        <v>1007</v>
      </c>
      <c r="GM47" s="2" t="s">
        <v>1007</v>
      </c>
      <c r="GN47" s="2" t="s">
        <v>1023</v>
      </c>
      <c r="GO47" s="2" t="s">
        <v>1023</v>
      </c>
      <c r="GP47" s="2" t="s">
        <v>1018</v>
      </c>
      <c r="GQ47" s="2" t="s">
        <v>1007</v>
      </c>
      <c r="GR47" s="2" t="s">
        <v>1007</v>
      </c>
      <c r="GS47" s="2" t="s">
        <v>1007</v>
      </c>
      <c r="GT47" s="2" t="s">
        <v>1007</v>
      </c>
      <c r="GU47" s="2" t="s">
        <v>1007</v>
      </c>
      <c r="GV47" s="2" t="s">
        <v>1007</v>
      </c>
      <c r="GW47" s="2" t="s">
        <v>1024</v>
      </c>
      <c r="GX47" s="2" t="s">
        <v>1024</v>
      </c>
      <c r="GY47" s="2" t="s">
        <v>1007</v>
      </c>
      <c r="GZ47" s="2" t="s">
        <v>1007</v>
      </c>
      <c r="HA47" s="2" t="s">
        <v>1025</v>
      </c>
      <c r="HB47" s="2" t="s">
        <v>1007</v>
      </c>
      <c r="HE47" s="2" t="s">
        <v>1007</v>
      </c>
      <c r="HG47" s="2" t="s">
        <v>1021</v>
      </c>
      <c r="HK47" t="s">
        <v>1026</v>
      </c>
    </row>
    <row r="48" spans="1:219" x14ac:dyDescent="0.25">
      <c r="A48" s="583" t="s">
        <v>886</v>
      </c>
      <c r="B48" s="655"/>
      <c r="C48" s="584"/>
      <c r="D48" s="584"/>
      <c r="E48" s="584"/>
      <c r="F48" s="656"/>
      <c r="G48" s="584"/>
      <c r="H48" s="584"/>
      <c r="I48" s="584"/>
      <c r="J48" s="585"/>
      <c r="K48" s="657" t="s">
        <v>921</v>
      </c>
      <c r="L48" s="658"/>
      <c r="M48" s="658"/>
      <c r="N48" s="658"/>
      <c r="O48" s="659"/>
      <c r="P48" s="580"/>
      <c r="Q48" s="583" t="s">
        <v>884</v>
      </c>
      <c r="R48" s="584"/>
      <c r="S48" s="584"/>
      <c r="T48" s="584"/>
      <c r="U48" s="585"/>
      <c r="V48" s="583" t="s">
        <v>885</v>
      </c>
      <c r="W48" s="584"/>
      <c r="X48" s="584"/>
      <c r="Y48" s="584"/>
      <c r="Z48" s="585"/>
      <c r="AA48" s="583" t="s">
        <v>910</v>
      </c>
      <c r="AB48" s="584"/>
      <c r="AC48" s="584"/>
      <c r="AD48" s="584"/>
      <c r="AE48" s="585"/>
      <c r="AF48" s="583" t="s">
        <v>911</v>
      </c>
      <c r="AG48" s="584"/>
      <c r="AH48" s="584"/>
      <c r="AI48" s="584"/>
      <c r="AJ48" s="585"/>
      <c r="AK48" s="583" t="s">
        <v>948</v>
      </c>
      <c r="AL48" s="584"/>
      <c r="AM48" s="584"/>
      <c r="AN48" s="584"/>
      <c r="AO48" s="585"/>
      <c r="AP48" s="583" t="s">
        <v>949</v>
      </c>
      <c r="AQ48" s="584"/>
      <c r="AR48" s="584"/>
      <c r="AS48" s="584"/>
      <c r="AT48" s="585"/>
      <c r="AU48" s="594"/>
      <c r="AV48" s="614" t="s">
        <v>915</v>
      </c>
      <c r="AW48" s="610"/>
      <c r="AX48" s="610"/>
      <c r="AY48" s="610"/>
      <c r="AZ48" s="610"/>
      <c r="BA48" s="610"/>
      <c r="BB48" s="610"/>
      <c r="BC48" s="610"/>
      <c r="BD48" s="610"/>
      <c r="BE48" s="610"/>
      <c r="BF48" s="610"/>
      <c r="BG48" s="610"/>
      <c r="BH48" s="610"/>
      <c r="BI48" s="610"/>
      <c r="BJ48" s="610"/>
      <c r="BK48" s="610"/>
      <c r="BL48" s="610"/>
      <c r="BM48" s="610"/>
      <c r="BN48" s="610"/>
      <c r="BO48" s="610"/>
      <c r="BP48" s="610"/>
      <c r="BQ48" s="610"/>
      <c r="BR48" s="610"/>
      <c r="BS48" s="610"/>
      <c r="BT48" s="610"/>
      <c r="BU48" s="610"/>
      <c r="BV48" s="610"/>
      <c r="BW48" s="610"/>
      <c r="BX48" s="610"/>
      <c r="BY48" s="610"/>
      <c r="BZ48" s="610"/>
      <c r="CA48" s="610"/>
      <c r="CB48" s="610"/>
      <c r="CC48" s="610"/>
      <c r="CD48" s="610"/>
      <c r="CE48" s="610"/>
      <c r="CF48" s="610"/>
      <c r="CG48" s="610"/>
      <c r="CH48" s="610"/>
      <c r="CI48" s="610"/>
      <c r="CJ48" s="610"/>
      <c r="CK48" s="610"/>
      <c r="CL48" s="611"/>
      <c r="CM48" s="655" t="s">
        <v>920</v>
      </c>
      <c r="CN48" s="584"/>
      <c r="CO48" s="584"/>
      <c r="CP48" s="584"/>
      <c r="CQ48" s="584"/>
      <c r="CR48" s="584"/>
      <c r="CS48" s="584"/>
      <c r="CT48" s="584"/>
      <c r="CU48" s="584"/>
      <c r="CV48" s="584"/>
      <c r="CW48" s="584"/>
      <c r="CX48" s="584"/>
      <c r="CY48" s="584"/>
      <c r="CZ48" s="584"/>
      <c r="DA48" s="584"/>
      <c r="DB48" s="584"/>
      <c r="DC48" s="584"/>
      <c r="DD48" s="584"/>
      <c r="DE48" s="584"/>
      <c r="DF48" s="584"/>
      <c r="DG48" s="584"/>
      <c r="DH48" s="584"/>
      <c r="DI48" s="584"/>
      <c r="DJ48" s="584"/>
      <c r="DK48" s="584"/>
      <c r="DL48" s="584"/>
      <c r="DM48" s="584"/>
      <c r="DN48" s="584"/>
      <c r="DO48" s="584"/>
      <c r="DP48" s="584"/>
      <c r="DQ48" s="584"/>
      <c r="DR48" s="584"/>
      <c r="DS48" s="584"/>
      <c r="DT48" s="584"/>
      <c r="DU48" s="584"/>
      <c r="DV48" s="584"/>
      <c r="DW48" s="584"/>
      <c r="DX48" s="584"/>
      <c r="DY48" s="584"/>
      <c r="DZ48" s="584"/>
      <c r="EA48" s="584"/>
      <c r="EB48" s="584"/>
      <c r="EC48" s="585"/>
      <c r="ED48" s="583" t="s">
        <v>923</v>
      </c>
      <c r="EE48" s="584"/>
      <c r="EF48" s="584"/>
      <c r="EG48" s="584"/>
      <c r="EH48" s="584"/>
      <c r="EI48" s="584"/>
      <c r="EJ48" s="584"/>
      <c r="EK48" s="584"/>
      <c r="EL48" s="584"/>
      <c r="EM48" s="584"/>
      <c r="EN48" s="584"/>
      <c r="EO48" s="584"/>
      <c r="EP48" s="584"/>
      <c r="EQ48" s="584"/>
      <c r="ER48" s="584"/>
      <c r="ES48" s="584"/>
      <c r="ET48" s="584"/>
      <c r="EU48" s="584"/>
      <c r="EV48" s="584"/>
      <c r="EW48" s="584"/>
      <c r="EX48" s="584"/>
      <c r="EY48" s="584"/>
      <c r="EZ48" s="584"/>
      <c r="FA48" s="584"/>
      <c r="FB48" s="584"/>
      <c r="FC48" s="584"/>
      <c r="FD48" s="584"/>
      <c r="FE48" s="584"/>
      <c r="FF48" s="584"/>
      <c r="FG48" s="584"/>
      <c r="FH48" s="584"/>
      <c r="FI48" s="584"/>
      <c r="FJ48" s="584"/>
      <c r="FK48" s="584"/>
      <c r="FL48" s="584"/>
      <c r="FM48" s="584"/>
      <c r="FN48" s="584"/>
      <c r="FO48" s="584"/>
      <c r="FP48" s="584"/>
      <c r="FQ48" s="584"/>
      <c r="FR48" s="584"/>
      <c r="FS48" s="584"/>
      <c r="FT48" s="585"/>
      <c r="FU48" s="583" t="s">
        <v>924</v>
      </c>
      <c r="FV48" s="584"/>
      <c r="FW48" s="584"/>
      <c r="FX48" s="584"/>
      <c r="FY48" s="584"/>
      <c r="FZ48" s="584"/>
      <c r="GA48" s="584"/>
      <c r="GB48" s="584"/>
      <c r="GC48" s="584"/>
      <c r="GD48" s="584"/>
      <c r="GE48" s="584"/>
      <c r="GF48" s="584"/>
      <c r="GG48" s="584"/>
      <c r="GH48" s="584"/>
      <c r="GI48" s="584"/>
      <c r="GJ48" s="584"/>
      <c r="GK48" s="584"/>
      <c r="GL48" s="584"/>
      <c r="GM48" s="584"/>
      <c r="GN48" s="584"/>
      <c r="GO48" s="584"/>
      <c r="GP48" s="584"/>
      <c r="GQ48" s="584"/>
      <c r="GR48" s="584"/>
      <c r="GS48" s="584"/>
      <c r="GT48" s="584"/>
      <c r="GU48" s="584"/>
      <c r="GV48" s="584"/>
      <c r="GW48" s="584"/>
      <c r="GX48" s="584"/>
      <c r="GY48" s="584"/>
      <c r="GZ48" s="584"/>
      <c r="HA48" s="584"/>
      <c r="HB48" s="584"/>
      <c r="HC48" s="584"/>
      <c r="HD48" s="584"/>
      <c r="HE48" s="584"/>
      <c r="HF48" s="584"/>
      <c r="HG48" s="584"/>
      <c r="HH48" s="584"/>
      <c r="HI48" s="584"/>
      <c r="HJ48" s="584"/>
      <c r="HK48" s="585"/>
    </row>
    <row r="49" spans="1:219" x14ac:dyDescent="0.25">
      <c r="A49" s="575" t="s">
        <v>887</v>
      </c>
      <c r="E49" s="14" t="s">
        <v>996</v>
      </c>
      <c r="F49" s="14" t="s">
        <v>997</v>
      </c>
      <c r="G49" s="14" t="s">
        <v>998</v>
      </c>
      <c r="I49" s="872" t="s">
        <v>995</v>
      </c>
      <c r="J49" s="576"/>
      <c r="K49" s="562" t="s">
        <v>918</v>
      </c>
      <c r="L49" s="562" t="s">
        <v>916</v>
      </c>
      <c r="M49" s="562" t="s">
        <v>919</v>
      </c>
      <c r="N49" s="562" t="s">
        <v>917</v>
      </c>
      <c r="O49" s="640" t="s">
        <v>65</v>
      </c>
      <c r="P49" s="580"/>
      <c r="Q49" s="683" t="s">
        <v>797</v>
      </c>
      <c r="R49" s="615" t="s">
        <v>798</v>
      </c>
      <c r="S49" s="615" t="s">
        <v>799</v>
      </c>
      <c r="T49" s="615" t="s">
        <v>913</v>
      </c>
      <c r="U49" s="582" t="s">
        <v>804</v>
      </c>
      <c r="V49" s="581" t="s">
        <v>797</v>
      </c>
      <c r="W49" s="571" t="s">
        <v>798</v>
      </c>
      <c r="X49" s="571" t="s">
        <v>799</v>
      </c>
      <c r="Y49" s="571" t="s">
        <v>913</v>
      </c>
      <c r="Z49" s="582" t="s">
        <v>804</v>
      </c>
      <c r="AA49" s="581" t="s">
        <v>797</v>
      </c>
      <c r="AB49" s="571" t="s">
        <v>798</v>
      </c>
      <c r="AC49" s="571" t="s">
        <v>799</v>
      </c>
      <c r="AD49" s="571" t="s">
        <v>913</v>
      </c>
      <c r="AE49" s="582" t="s">
        <v>804</v>
      </c>
      <c r="AF49" s="581" t="s">
        <v>797</v>
      </c>
      <c r="AG49" s="571" t="s">
        <v>798</v>
      </c>
      <c r="AH49" s="571" t="s">
        <v>799</v>
      </c>
      <c r="AI49" s="571" t="s">
        <v>913</v>
      </c>
      <c r="AJ49" s="582" t="s">
        <v>804</v>
      </c>
      <c r="AK49" s="581" t="s">
        <v>797</v>
      </c>
      <c r="AL49" s="571" t="s">
        <v>798</v>
      </c>
      <c r="AM49" s="571" t="s">
        <v>799</v>
      </c>
      <c r="AN49" s="571" t="s">
        <v>913</v>
      </c>
      <c r="AO49" s="582" t="s">
        <v>804</v>
      </c>
      <c r="AP49" s="581" t="s">
        <v>797</v>
      </c>
      <c r="AQ49" s="571" t="s">
        <v>798</v>
      </c>
      <c r="AR49" s="571" t="s">
        <v>799</v>
      </c>
      <c r="AS49" s="571" t="s">
        <v>913</v>
      </c>
      <c r="AT49" s="582" t="s">
        <v>804</v>
      </c>
      <c r="AU49" s="594"/>
      <c r="AV49" s="608" t="s">
        <v>616</v>
      </c>
      <c r="AW49" s="609" t="s">
        <v>646</v>
      </c>
      <c r="AX49" s="609" t="s">
        <v>648</v>
      </c>
      <c r="AY49" s="609" t="s">
        <v>650</v>
      </c>
      <c r="AZ49" s="609" t="s">
        <v>652</v>
      </c>
      <c r="BA49" s="609" t="s">
        <v>655</v>
      </c>
      <c r="BB49" s="609" t="s">
        <v>659</v>
      </c>
      <c r="BC49" s="609" t="s">
        <v>661</v>
      </c>
      <c r="BD49" s="609" t="s">
        <v>663</v>
      </c>
      <c r="BE49" s="609" t="s">
        <v>665</v>
      </c>
      <c r="BF49" s="609" t="s">
        <v>667</v>
      </c>
      <c r="BG49" s="609" t="s">
        <v>608</v>
      </c>
      <c r="BH49" s="609" t="s">
        <v>670</v>
      </c>
      <c r="BI49" s="609" t="s">
        <v>672</v>
      </c>
      <c r="BJ49" s="609" t="s">
        <v>674</v>
      </c>
      <c r="BK49" s="609" t="s">
        <v>676</v>
      </c>
      <c r="BL49" s="609" t="s">
        <v>678</v>
      </c>
      <c r="BM49" s="609" t="s">
        <v>681</v>
      </c>
      <c r="BN49" s="609" t="s">
        <v>683</v>
      </c>
      <c r="BO49" s="609" t="s">
        <v>685</v>
      </c>
      <c r="BP49" s="609" t="s">
        <v>687</v>
      </c>
      <c r="BQ49" s="609" t="s">
        <v>689</v>
      </c>
      <c r="BR49" s="609" t="s">
        <v>691</v>
      </c>
      <c r="BS49" s="609" t="s">
        <v>693</v>
      </c>
      <c r="BT49" s="609" t="s">
        <v>695</v>
      </c>
      <c r="BU49" s="609" t="s">
        <v>697</v>
      </c>
      <c r="BV49" s="609" t="s">
        <v>699</v>
      </c>
      <c r="BW49" s="609" t="s">
        <v>701</v>
      </c>
      <c r="BX49" s="609" t="s">
        <v>703</v>
      </c>
      <c r="BY49" s="609" t="s">
        <v>706</v>
      </c>
      <c r="BZ49" s="609" t="s">
        <v>708</v>
      </c>
      <c r="CA49" s="609" t="s">
        <v>710</v>
      </c>
      <c r="CB49" s="609" t="s">
        <v>712</v>
      </c>
      <c r="CC49" s="609" t="s">
        <v>716</v>
      </c>
      <c r="CD49" s="609" t="s">
        <v>718</v>
      </c>
      <c r="CE49" s="609" t="s">
        <v>720</v>
      </c>
      <c r="CF49" s="609" t="s">
        <v>722</v>
      </c>
      <c r="CG49" s="609" t="s">
        <v>725</v>
      </c>
      <c r="CH49" s="609" t="s">
        <v>727</v>
      </c>
      <c r="CI49" s="609" t="s">
        <v>729</v>
      </c>
      <c r="CJ49" s="609" t="s">
        <v>731</v>
      </c>
      <c r="CK49" s="609" t="s">
        <v>733</v>
      </c>
      <c r="CL49" s="613" t="s">
        <v>735</v>
      </c>
      <c r="CM49" s="14" t="s">
        <v>616</v>
      </c>
      <c r="CN49" s="4" t="s">
        <v>646</v>
      </c>
      <c r="CO49" s="4" t="s">
        <v>648</v>
      </c>
      <c r="CP49" s="4" t="s">
        <v>650</v>
      </c>
      <c r="CQ49" s="4" t="s">
        <v>652</v>
      </c>
      <c r="CR49" s="4" t="s">
        <v>655</v>
      </c>
      <c r="CS49" s="4" t="s">
        <v>659</v>
      </c>
      <c r="CT49" s="4" t="s">
        <v>661</v>
      </c>
      <c r="CU49" s="4" t="s">
        <v>663</v>
      </c>
      <c r="CV49" s="4" t="s">
        <v>665</v>
      </c>
      <c r="CW49" s="4" t="s">
        <v>667</v>
      </c>
      <c r="CX49" s="4" t="s">
        <v>608</v>
      </c>
      <c r="CY49" s="4" t="s">
        <v>670</v>
      </c>
      <c r="CZ49" s="4" t="s">
        <v>672</v>
      </c>
      <c r="DA49" s="4" t="s">
        <v>674</v>
      </c>
      <c r="DB49" s="4" t="s">
        <v>676</v>
      </c>
      <c r="DC49" s="4" t="s">
        <v>678</v>
      </c>
      <c r="DD49" s="4" t="s">
        <v>681</v>
      </c>
      <c r="DE49" s="4" t="s">
        <v>683</v>
      </c>
      <c r="DF49" s="4" t="s">
        <v>685</v>
      </c>
      <c r="DG49" s="4" t="s">
        <v>687</v>
      </c>
      <c r="DH49" s="4" t="s">
        <v>689</v>
      </c>
      <c r="DI49" s="4" t="s">
        <v>691</v>
      </c>
      <c r="DJ49" s="4" t="s">
        <v>693</v>
      </c>
      <c r="DK49" s="4" t="s">
        <v>695</v>
      </c>
      <c r="DL49" s="4" t="s">
        <v>697</v>
      </c>
      <c r="DM49" s="4" t="s">
        <v>699</v>
      </c>
      <c r="DN49" s="4" t="s">
        <v>701</v>
      </c>
      <c r="DO49" s="4" t="s">
        <v>703</v>
      </c>
      <c r="DP49" s="4" t="s">
        <v>706</v>
      </c>
      <c r="DQ49" s="4" t="s">
        <v>708</v>
      </c>
      <c r="DR49" s="4" t="s">
        <v>710</v>
      </c>
      <c r="DS49" s="4" t="s">
        <v>712</v>
      </c>
      <c r="DT49" s="4" t="s">
        <v>716</v>
      </c>
      <c r="DU49" s="4" t="s">
        <v>718</v>
      </c>
      <c r="DV49" s="4" t="s">
        <v>720</v>
      </c>
      <c r="DW49" s="4" t="s">
        <v>722</v>
      </c>
      <c r="DX49" s="4" t="s">
        <v>725</v>
      </c>
      <c r="DY49" s="4" t="s">
        <v>727</v>
      </c>
      <c r="DZ49" s="4" t="s">
        <v>729</v>
      </c>
      <c r="EA49" s="4" t="s">
        <v>731</v>
      </c>
      <c r="EB49" s="4" t="s">
        <v>733</v>
      </c>
      <c r="EC49" s="4" t="s">
        <v>735</v>
      </c>
      <c r="ED49" s="612" t="s">
        <v>616</v>
      </c>
      <c r="EE49" s="609" t="s">
        <v>646</v>
      </c>
      <c r="EF49" s="609" t="s">
        <v>648</v>
      </c>
      <c r="EG49" s="609" t="s">
        <v>650</v>
      </c>
      <c r="EH49" s="609" t="s">
        <v>652</v>
      </c>
      <c r="EI49" s="4" t="s">
        <v>655</v>
      </c>
      <c r="EJ49" s="4" t="s">
        <v>659</v>
      </c>
      <c r="EK49" s="4" t="s">
        <v>661</v>
      </c>
      <c r="EL49" s="4" t="s">
        <v>663</v>
      </c>
      <c r="EM49" s="4" t="s">
        <v>665</v>
      </c>
      <c r="EN49" s="4" t="s">
        <v>667</v>
      </c>
      <c r="EO49" s="4" t="s">
        <v>608</v>
      </c>
      <c r="EP49" s="4" t="s">
        <v>670</v>
      </c>
      <c r="EQ49" s="4" t="s">
        <v>672</v>
      </c>
      <c r="ER49" s="609" t="s">
        <v>674</v>
      </c>
      <c r="ES49" s="609" t="s">
        <v>676</v>
      </c>
      <c r="ET49" s="609" t="s">
        <v>678</v>
      </c>
      <c r="EU49" s="609" t="s">
        <v>681</v>
      </c>
      <c r="EV49" s="609" t="s">
        <v>683</v>
      </c>
      <c r="EW49" s="609" t="s">
        <v>685</v>
      </c>
      <c r="EX49" s="609" t="s">
        <v>687</v>
      </c>
      <c r="EY49" s="609" t="s">
        <v>689</v>
      </c>
      <c r="EZ49" s="609" t="s">
        <v>691</v>
      </c>
      <c r="FA49" s="609" t="s">
        <v>693</v>
      </c>
      <c r="FB49" s="609" t="s">
        <v>695</v>
      </c>
      <c r="FC49" s="609" t="s">
        <v>697</v>
      </c>
      <c r="FD49" s="609" t="s">
        <v>699</v>
      </c>
      <c r="FE49" s="609" t="s">
        <v>701</v>
      </c>
      <c r="FF49" s="609" t="s">
        <v>703</v>
      </c>
      <c r="FG49" s="609" t="s">
        <v>706</v>
      </c>
      <c r="FH49" s="609" t="s">
        <v>708</v>
      </c>
      <c r="FI49" s="609" t="s">
        <v>710</v>
      </c>
      <c r="FJ49" s="609" t="s">
        <v>712</v>
      </c>
      <c r="FK49" s="609" t="s">
        <v>716</v>
      </c>
      <c r="FL49" s="609" t="s">
        <v>718</v>
      </c>
      <c r="FM49" s="609" t="s">
        <v>720</v>
      </c>
      <c r="FN49" s="609" t="s">
        <v>722</v>
      </c>
      <c r="FO49" s="609" t="s">
        <v>725</v>
      </c>
      <c r="FP49" s="609" t="s">
        <v>727</v>
      </c>
      <c r="FQ49" s="609" t="s">
        <v>729</v>
      </c>
      <c r="FR49" s="609" t="s">
        <v>731</v>
      </c>
      <c r="FS49" s="609" t="s">
        <v>733</v>
      </c>
      <c r="FT49" s="609" t="s">
        <v>735</v>
      </c>
      <c r="FU49" s="612" t="s">
        <v>616</v>
      </c>
      <c r="FV49" s="609" t="s">
        <v>646</v>
      </c>
      <c r="FW49" s="609" t="s">
        <v>648</v>
      </c>
      <c r="FX49" s="609" t="s">
        <v>650</v>
      </c>
      <c r="FY49" s="609" t="s">
        <v>652</v>
      </c>
      <c r="FZ49" s="609" t="s">
        <v>655</v>
      </c>
      <c r="GA49" s="609" t="s">
        <v>659</v>
      </c>
      <c r="GB49" s="609" t="s">
        <v>661</v>
      </c>
      <c r="GC49" s="609" t="s">
        <v>663</v>
      </c>
      <c r="GD49" s="609" t="s">
        <v>665</v>
      </c>
      <c r="GE49" s="609" t="s">
        <v>667</v>
      </c>
      <c r="GF49" s="609" t="s">
        <v>608</v>
      </c>
      <c r="GG49" s="609" t="s">
        <v>670</v>
      </c>
      <c r="GH49" s="609" t="s">
        <v>672</v>
      </c>
      <c r="GI49" s="609" t="s">
        <v>674</v>
      </c>
      <c r="GJ49" s="609" t="s">
        <v>676</v>
      </c>
      <c r="GK49" s="609" t="s">
        <v>678</v>
      </c>
      <c r="GL49" s="609" t="s">
        <v>681</v>
      </c>
      <c r="GM49" s="609" t="s">
        <v>683</v>
      </c>
      <c r="GN49" s="609" t="s">
        <v>685</v>
      </c>
      <c r="GO49" s="609" t="s">
        <v>687</v>
      </c>
      <c r="GP49" s="609" t="s">
        <v>689</v>
      </c>
      <c r="GQ49" s="609" t="s">
        <v>691</v>
      </c>
      <c r="GR49" s="609" t="s">
        <v>693</v>
      </c>
      <c r="GS49" s="609" t="s">
        <v>695</v>
      </c>
      <c r="GT49" s="609" t="s">
        <v>697</v>
      </c>
      <c r="GU49" s="609" t="s">
        <v>699</v>
      </c>
      <c r="GV49" s="609" t="s">
        <v>701</v>
      </c>
      <c r="GW49" s="609" t="s">
        <v>703</v>
      </c>
      <c r="GX49" s="609" t="s">
        <v>706</v>
      </c>
      <c r="GY49" s="609" t="s">
        <v>708</v>
      </c>
      <c r="GZ49" s="609" t="s">
        <v>710</v>
      </c>
      <c r="HA49" s="609" t="s">
        <v>712</v>
      </c>
      <c r="HB49" s="609" t="s">
        <v>716</v>
      </c>
      <c r="HC49" s="609" t="s">
        <v>718</v>
      </c>
      <c r="HD49" s="609" t="s">
        <v>720</v>
      </c>
      <c r="HE49" s="609" t="s">
        <v>722</v>
      </c>
      <c r="HF49" s="609" t="s">
        <v>725</v>
      </c>
      <c r="HG49" s="609" t="s">
        <v>727</v>
      </c>
      <c r="HH49" s="609" t="s">
        <v>729</v>
      </c>
      <c r="HI49" s="609" t="s">
        <v>731</v>
      </c>
      <c r="HJ49" s="609" t="s">
        <v>733</v>
      </c>
      <c r="HK49" s="613" t="s">
        <v>735</v>
      </c>
    </row>
    <row r="50" spans="1:219" x14ac:dyDescent="0.25">
      <c r="A50" s="872" t="s">
        <v>889</v>
      </c>
      <c r="E50" s="663" t="e">
        <f>'ASWING STRUCT'!E50*3.28084</f>
        <v>#VALUE!</v>
      </c>
      <c r="F50" s="663" t="e">
        <f>'ASWING STRUCT'!F50*3.28084</f>
        <v>#VALUE!</v>
      </c>
      <c r="G50" s="663" t="e">
        <f>'ASWING STRUCT'!G50*3.28084</f>
        <v>#VALUE!</v>
      </c>
      <c r="H50" s="4" t="s">
        <v>925</v>
      </c>
      <c r="I50" s="872"/>
      <c r="K50" s="575">
        <v>1</v>
      </c>
      <c r="L50" s="626">
        <f ca="1">R51/MAX(AX50:AX100) *MAX(AV50:AV100)</f>
        <v>21.264130764589989</v>
      </c>
      <c r="M50">
        <v>5</v>
      </c>
      <c r="N50">
        <f>MAX(Q50:Q51)</f>
        <v>30.782077100511998</v>
      </c>
      <c r="O50" s="576">
        <v>0</v>
      </c>
      <c r="P50" s="580"/>
      <c r="Q50" s="638">
        <f>'ASWING STRUCT'!Q50*3.28084</f>
        <v>12.857253036104</v>
      </c>
      <c r="R50" s="584">
        <f>'ASWING STRUCT'!R50*3.28084</f>
        <v>5.1181103999999999</v>
      </c>
      <c r="S50" s="584">
        <f>'ASWING STRUCT'!S50*3.28084</f>
        <v>12.795275999999999</v>
      </c>
      <c r="T50" s="584">
        <f>'ASWING STRUCT'!T50*3.28084</f>
        <v>0.49212599999999995</v>
      </c>
      <c r="U50" s="607">
        <v>0</v>
      </c>
      <c r="V50" s="638">
        <f>'ASWING STRUCT'!V50*3.28084</f>
        <v>12.857253036104</v>
      </c>
      <c r="W50" s="584">
        <f>'ASWING STRUCT'!W50*3.28084</f>
        <v>-5.1181103999999999</v>
      </c>
      <c r="X50" s="584">
        <f>'ASWING STRUCT'!X50*3.28084</f>
        <v>12.795275999999999</v>
      </c>
      <c r="Y50" s="606">
        <f>F23</f>
        <v>0.49212599999999995</v>
      </c>
      <c r="Z50" s="607">
        <v>0</v>
      </c>
      <c r="AA50" s="638">
        <f>'ASWING STRUCT'!AA50*3.28084</f>
        <v>30.782077100511998</v>
      </c>
      <c r="AB50" s="584">
        <f>'ASWING STRUCT'!AB50*3.28084</f>
        <v>5.1181103999999999</v>
      </c>
      <c r="AC50" s="584">
        <f>'ASWING STRUCT'!AC50*3.28084</f>
        <v>12.795275999999999</v>
      </c>
      <c r="AD50" s="606">
        <f>F23</f>
        <v>0.49212599999999995</v>
      </c>
      <c r="AE50" s="607">
        <v>0</v>
      </c>
      <c r="AF50" s="638">
        <f>'ASWING STRUCT'!AF50*3.28084</f>
        <v>30.782077100511998</v>
      </c>
      <c r="AG50" s="584">
        <f>'ASWING STRUCT'!AG50*3.28084</f>
        <v>-5.1181103999999999</v>
      </c>
      <c r="AH50" s="584">
        <f>'ASWING STRUCT'!AH50*3.28084</f>
        <v>12.795275999999999</v>
      </c>
      <c r="AI50" s="606">
        <f>F23</f>
        <v>0.49212599999999995</v>
      </c>
      <c r="AJ50" s="607">
        <v>0</v>
      </c>
      <c r="AK50" s="638">
        <f>'ASWING STRUCT'!AK50*3.28084</f>
        <v>23.690945639999999</v>
      </c>
      <c r="AL50" s="584">
        <f>'ASWING STRUCT'!AL50*3.28084</f>
        <v>15.124672400000001</v>
      </c>
      <c r="AM50" s="584">
        <f>'ASWING STRUCT'!AM50*3.28084</f>
        <v>12.139108</v>
      </c>
      <c r="AN50" s="606">
        <f>F23</f>
        <v>0.49212599999999995</v>
      </c>
      <c r="AO50" s="607">
        <v>0</v>
      </c>
      <c r="AP50" s="638">
        <f>'ASWING STRUCT'!AP50*3.28084</f>
        <v>23.690945639999999</v>
      </c>
      <c r="AQ50" s="584">
        <f>'ASWING STRUCT'!AQ50*3.28084</f>
        <v>-15.124672400000001</v>
      </c>
      <c r="AR50" s="584">
        <f>'ASWING STRUCT'!AR50*3.28084</f>
        <v>12.139108</v>
      </c>
      <c r="AS50" s="606">
        <f>F23</f>
        <v>0.49212599999999995</v>
      </c>
      <c r="AT50" s="607">
        <v>0</v>
      </c>
      <c r="AU50" s="594"/>
      <c r="AV50" s="574">
        <f ca="1">100*(AX50-$AX$50)/(MAX($AX$50:INDEX(($AX$50:$AX$150),$F$35+1,1))-MIN($AX$50:INDEX(($AX$50:$AX$150),$F$35+1,1)))</f>
        <v>0</v>
      </c>
      <c r="AW50" s="660">
        <f ca="1">OFFSET('Trapezoidal Wing Summary'!C$45,((ROW('Trapezoidal Wing Summary'!$A45)-ROW('Trapezoidal Wing Summary'!$A$45))*100/$F$35),0)+$F$15</f>
        <v>23.875672680031997</v>
      </c>
      <c r="AX50" s="660">
        <f ca="1">OFFSET('Trapezoidal Wing Summary'!D$45,((ROW('Trapezoidal Wing Summary'!$A45)-ROW('Trapezoidal Wing Summary'!$A$45))*100/$F$35),0)+$F$16</f>
        <v>-1.214566968E-2</v>
      </c>
      <c r="AY50" s="660">
        <f ca="1">OFFSET('Trapezoidal Wing Summary'!E$45,((ROW('Trapezoidal Wing Summary'!$A45)-ROW('Trapezoidal Wing Summary'!$A$45))*100/$F$35),0)+$F$17</f>
        <v>8.1686780829199996</v>
      </c>
      <c r="AZ50" s="41">
        <f ca="1">OFFSET('Trapezoidal Wing Summary'!F$45,((ROW('Trapezoidal Wing Summary'!$A45)-ROW('Trapezoidal Wing Summary'!$A$45))*100/$F$35),0)</f>
        <v>0</v>
      </c>
      <c r="BA50" s="41">
        <f ca="1">OFFSET('Trapezoidal Wing Summary'!G$45,((ROW('Trapezoidal Wing Summary'!$A45)-ROW('Trapezoidal Wing Summary'!$A$45))*100/$F$35),0)</f>
        <v>4958462.9313949831</v>
      </c>
      <c r="BB50" s="41">
        <f ca="1">OFFSET('Trapezoidal Wing Summary'!H$45,((ROW('Trapezoidal Wing Summary'!$A45)-ROW('Trapezoidal Wing Summary'!$A$45))*100/$F$35),0)</f>
        <v>10858242.996662872</v>
      </c>
      <c r="BC50" s="41">
        <f ca="1">OFFSET('Trapezoidal Wing Summary'!I$45,((ROW('Trapezoidal Wing Summary'!$A45)-ROW('Trapezoidal Wing Summary'!$A$45))*100/$F$35),0)</f>
        <v>0</v>
      </c>
      <c r="BD50" s="41">
        <f ca="1">OFFSET('Trapezoidal Wing Summary'!J$45,((ROW('Trapezoidal Wing Summary'!$A45)-ROW('Trapezoidal Wing Summary'!$A$45))*100/$F$35),0)</f>
        <v>0</v>
      </c>
      <c r="BE50" s="41">
        <f ca="1">OFFSET('Trapezoidal Wing Summary'!K$45,((ROW('Trapezoidal Wing Summary'!$A45)-ROW('Trapezoidal Wing Summary'!$A$45))*100/$F$35),0)</f>
        <v>0</v>
      </c>
      <c r="BF50" s="41">
        <f ca="1">OFFSET('Trapezoidal Wing Summary'!L$45,((ROW('Trapezoidal Wing Summary'!$A45)-ROW('Trapezoidal Wing Summary'!$A$45))*100/$F$35),0)</f>
        <v>63157935.28988985</v>
      </c>
      <c r="BG50" s="41">
        <f ca="1">OFFSET('Trapezoidal Wing Summary'!M$45,((ROW('Trapezoidal Wing Summary'!$A45)-ROW('Trapezoidal Wing Summary'!$A$45))*100/$F$35),0)</f>
        <v>0</v>
      </c>
      <c r="BH50" s="41">
        <f ca="1">OFFSET('Trapezoidal Wing Summary'!N$45,((ROW('Trapezoidal Wing Summary'!$A45)-ROW('Trapezoidal Wing Summary'!$A$45))*100/$F$35),0)</f>
        <v>0</v>
      </c>
      <c r="BI50" s="41">
        <f ca="1">OFFSET('Trapezoidal Wing Summary'!O$45,((ROW('Trapezoidal Wing Summary'!$A45)-ROW('Trapezoidal Wing Summary'!$A$45))*100/$F$35),0)</f>
        <v>0</v>
      </c>
      <c r="BJ50" s="41">
        <f ca="1">OFFSET('Trapezoidal Wing Summary'!P$45,((ROW('Trapezoidal Wing Summary'!$A45)-ROW('Trapezoidal Wing Summary'!$A$45))*100/$F$35),0)</f>
        <v>0</v>
      </c>
      <c r="BK50" s="41">
        <f ca="1">OFFSET('Trapezoidal Wing Summary'!Q$45,((ROW('Trapezoidal Wing Summary'!$A45)-ROW('Trapezoidal Wing Summary'!$A$45))*100/$F$35),0)</f>
        <v>0</v>
      </c>
      <c r="BL50" s="41">
        <f ca="1">OFFSET('Trapezoidal Wing Summary'!R$45,((ROW('Trapezoidal Wing Summary'!$A45)-ROW('Trapezoidal Wing Summary'!$A$45))*100/$F$35),0)</f>
        <v>22.376096985788866</v>
      </c>
      <c r="BM50" s="41">
        <f ca="1">OFFSET('Trapezoidal Wing Summary'!S$45,((ROW('Trapezoidal Wing Summary'!$A45)-ROW('Trapezoidal Wing Summary'!$A$45))*100/$F$35),0)</f>
        <v>0.85828718620853528</v>
      </c>
      <c r="BN50" s="41">
        <f ca="1">OFFSET('Trapezoidal Wing Summary'!T$45,((ROW('Trapezoidal Wing Summary'!$A45)-ROW('Trapezoidal Wing Summary'!$A$45))*100/$F$35),0)</f>
        <v>0</v>
      </c>
      <c r="BO50" s="41">
        <f ca="1">OFFSET('Trapezoidal Wing Summary'!U$45,((ROW('Trapezoidal Wing Summary'!$A45)-ROW('Trapezoidal Wing Summary'!$A$45))*100/$F$35),0)</f>
        <v>0</v>
      </c>
      <c r="BP50" s="41">
        <f ca="1">OFFSET('Trapezoidal Wing Summary'!V$45,((ROW('Trapezoidal Wing Summary'!$A45)-ROW('Trapezoidal Wing Summary'!$A$45))*100/$F$35),0)</f>
        <v>0</v>
      </c>
      <c r="BQ50" s="41">
        <f ca="1">OFFSET('Trapezoidal Wing Summary'!W$45,((ROW('Trapezoidal Wing Summary'!$A45)-ROW('Trapezoidal Wing Summary'!$A$45))*100/$F$35),0)</f>
        <v>0</v>
      </c>
      <c r="BR50" s="41">
        <f ca="1">OFFSET('Trapezoidal Wing Summary'!X$45,((ROW('Trapezoidal Wing Summary'!$A45)-ROW('Trapezoidal Wing Summary'!$A$45))*100/$F$35),0)</f>
        <v>0</v>
      </c>
      <c r="BS50" s="41">
        <f ca="1">OFFSET('Trapezoidal Wing Summary'!Y$45,((ROW('Trapezoidal Wing Summary'!$A45)-ROW('Trapezoidal Wing Summary'!$A$45))*100/$F$35),0)</f>
        <v>0</v>
      </c>
      <c r="BT50" s="41">
        <f ca="1">OFFSET('Trapezoidal Wing Summary'!Z$45,((ROW('Trapezoidal Wing Summary'!$A45)-ROW('Trapezoidal Wing Summary'!$A$45))*100/$F$35),0)</f>
        <v>0.45322402370813686</v>
      </c>
      <c r="BU50" s="41">
        <f ca="1">OFFSET('Trapezoidal Wing Summary'!AA$45,((ROW('Trapezoidal Wing Summary'!$A45)-ROW('Trapezoidal Wing Summary'!$A$45))*100/$F$35),0)</f>
        <v>0</v>
      </c>
      <c r="BV50" s="41">
        <f ca="1">OFFSET('Trapezoidal Wing Summary'!AB$45,((ROW('Trapezoidal Wing Summary'!$A45)-ROW('Trapezoidal Wing Summary'!$A$45))*100/$F$35),0)</f>
        <v>0</v>
      </c>
      <c r="BW50" s="41">
        <f ca="1">OFFSET('Trapezoidal Wing Summary'!AC$45,((ROW('Trapezoidal Wing Summary'!$A45)-ROW('Trapezoidal Wing Summary'!$A$45))*100/$F$35),0)</f>
        <v>0</v>
      </c>
      <c r="BX50" s="41">
        <f ca="1">OFFSET('Trapezoidal Wing Summary'!AD$45,((ROW('Trapezoidal Wing Summary'!$A45)-ROW('Trapezoidal Wing Summary'!$A$45))*100/$F$35),0)</f>
        <v>2E-3</v>
      </c>
      <c r="BY50" s="41">
        <f ca="1">OFFSET('Trapezoidal Wing Summary'!AE$45,((ROW('Trapezoidal Wing Summary'!$A45)-ROW('Trapezoidal Wing Summary'!$A$45))*100/$F$35),0)</f>
        <v>2E-3</v>
      </c>
      <c r="BZ50" s="41">
        <f ca="1">OFFSET('Trapezoidal Wing Summary'!AF$45,((ROW('Trapezoidal Wing Summary'!$A45)-ROW('Trapezoidal Wing Summary'!$A$45))*100/$F$35),0)</f>
        <v>0</v>
      </c>
      <c r="CA50" s="41">
        <f ca="1">OFFSET('Trapezoidal Wing Summary'!AG$45,((ROW('Trapezoidal Wing Summary'!$A45)-ROW('Trapezoidal Wing Summary'!$A$45))*100/$F$35),0)</f>
        <v>0.45767718000000002</v>
      </c>
      <c r="CB50" s="41">
        <f ca="1">OFFSET('Trapezoidal Wing Summary'!AH$45,((ROW('Trapezoidal Wing Summary'!$A45)-ROW('Trapezoidal Wing Summary'!$A$45))*100/$F$35),0)</f>
        <v>8.0962646411440881E-3</v>
      </c>
      <c r="CC50" s="41">
        <f ca="1">OFFSET('Trapezoidal Wing Summary'!AI$45,((ROW('Trapezoidal Wing Summary'!$A45)-ROW('Trapezoidal Wing Summary'!$A$45))*100/$F$35),0)</f>
        <v>0</v>
      </c>
      <c r="CD50" s="41">
        <f>'REF - ASWING AERO-Imperial'!$R$5</f>
        <v>5.4999999999999997E-3</v>
      </c>
      <c r="CE50" s="41">
        <f>'REF - ASWING AERO-Imperial'!$R$6</f>
        <v>5.4999999999999997E-3</v>
      </c>
      <c r="CF50" s="41">
        <f ca="1">OFFSET('Trapezoidal Wing Summary'!AL$45,((ROW('Trapezoidal Wing Summary'!$A45)-ROW('Trapezoidal Wing Summary'!$A$45))*100/$F$35),0)</f>
        <v>5.0853020000000004</v>
      </c>
      <c r="CG50" s="41">
        <f ca="1">OFFSET('Trapezoidal Wing Summary'!AM$45,((ROW('Trapezoidal Wing Summary'!$A45)-ROW('Trapezoidal Wing Summary'!$A$45))*100/$F$35),0)</f>
        <v>0.25</v>
      </c>
      <c r="CH50" s="41">
        <f ca="1">OFFSET('Trapezoidal Wing Summary'!AN$45,((ROW('Trapezoidal Wing Summary'!$A45)-ROW('Trapezoidal Wing Summary'!$A$45))*100/$F$35),0)</f>
        <v>7.85</v>
      </c>
      <c r="CI50" s="41">
        <f ca="1">OFFSET('Trapezoidal Wing Summary'!AO$45,((ROW('Trapezoidal Wing Summary'!$A45)-ROW('Trapezoidal Wing Summary'!$A$45))*100/$F$35),0)</f>
        <v>-0.15</v>
      </c>
      <c r="CJ50" s="41">
        <f ca="1">OFFSET('Trapezoidal Wing Summary'!AP$45,((ROW('Trapezoidal Wing Summary'!$A45)-ROW('Trapezoidal Wing Summary'!$A$45))*100/$F$35),0)</f>
        <v>1.85</v>
      </c>
      <c r="CK50" s="41">
        <f ca="1">OFFSET('Trapezoidal Wing Summary'!AQ$45,((ROW('Trapezoidal Wing Summary'!$A45)-ROW('Trapezoidal Wing Summary'!$A$45))*100/$F$35),0)</f>
        <v>-1.55</v>
      </c>
      <c r="CL50" s="661">
        <f ca="1">OFFSET('Trapezoidal Wing Summary'!AR$45,((ROW('Trapezoidal Wing Summary'!$A45)-ROW('Trapezoidal Wing Summary'!$A$45))*100/$F$35),0)</f>
        <v>5.9690260418206069</v>
      </c>
      <c r="CM50" s="644">
        <f>'ASWING STRUCT'!CM50</f>
        <v>0</v>
      </c>
      <c r="CN50" s="690">
        <f>'ASWING STRUCT'!CN50*3.28084</f>
        <v>10.409657157255999</v>
      </c>
      <c r="CO50" s="690">
        <f>'ASWING STRUCT'!CO50*3.28084</f>
        <v>0</v>
      </c>
      <c r="CP50" s="690">
        <f>'ASWING STRUCT'!CP50*3.28084</f>
        <v>12.850247130368</v>
      </c>
      <c r="CQ50" s="690">
        <f>'ASWING STRUCT'!CQ50</f>
        <v>0</v>
      </c>
      <c r="CR50" s="691">
        <f>'ASWING STRUCT'!CR50*0.224809*3.28084^2</f>
        <v>262052.14258409478</v>
      </c>
      <c r="CS50" s="691">
        <f>'ASWING STRUCT'!CS50*0.224809*3.28084^2</f>
        <v>228442.6721102976</v>
      </c>
      <c r="CT50" s="691">
        <f>'ASWING STRUCT'!CT50*0.224809*3.28084^2</f>
        <v>0</v>
      </c>
      <c r="CU50" s="691">
        <f>'ASWING STRUCT'!CU50*0.224809*3.28084^2</f>
        <v>0</v>
      </c>
      <c r="CV50" s="691">
        <f>'ASWING STRUCT'!CV50*0.224809*3.28084^2</f>
        <v>0</v>
      </c>
      <c r="CW50" s="691">
        <f>'ASWING STRUCT'!CW50*0.224809*3.28084^2</f>
        <v>3881428.6352067916</v>
      </c>
      <c r="CX50" s="690">
        <f>'ASWING STRUCT'!CX50</f>
        <v>0</v>
      </c>
      <c r="CY50" s="690">
        <f>'ASWING STRUCT'!CY50*0.224809</f>
        <v>0</v>
      </c>
      <c r="CZ50" s="690">
        <f>'ASWING STRUCT'!CZ50*0.224809</f>
        <v>0</v>
      </c>
      <c r="DA50" s="690">
        <f>'ASWING STRUCT'!DA50*2.20462*3.28084</f>
        <v>0</v>
      </c>
      <c r="DB50" s="690">
        <f>'ASWING STRUCT'!DB50*2.20462*3.28084</f>
        <v>0</v>
      </c>
      <c r="DC50" s="690">
        <f>'ASWING STRUCT'!DC50*2.20462/3.28084</f>
        <v>3.4710670762196592</v>
      </c>
      <c r="DD50" s="690">
        <f>'ASWING STRUCT'!DD50*3.28084</f>
        <v>0.39367348423389248</v>
      </c>
      <c r="DE50" s="690">
        <f>'ASWING STRUCT'!DE50*3.28084</f>
        <v>0</v>
      </c>
      <c r="DF50" s="690">
        <f>'ASWING STRUCT'!DF50*2.20462*3.28084</f>
        <v>0</v>
      </c>
      <c r="DG50" s="690">
        <f>'ASWING STRUCT'!DG50*2.20462*3.28084</f>
        <v>0</v>
      </c>
      <c r="DH50" s="690">
        <f>'ASWING STRUCT'!DH50*2.20462/3.28084</f>
        <v>0</v>
      </c>
      <c r="DI50" s="690">
        <f>'ASWING STRUCT'!DI50*3.28084</f>
        <v>0</v>
      </c>
      <c r="DJ50" s="690">
        <f>'ASWING STRUCT'!DJ50*3.28084</f>
        <v>0</v>
      </c>
      <c r="DK50" s="690">
        <f>'ASWING STRUCT'!DK50*3.28084</f>
        <v>0.19193087158651834</v>
      </c>
      <c r="DL50" s="690">
        <f>'ASWING STRUCT'!DL50*3.28084</f>
        <v>0</v>
      </c>
      <c r="DM50" s="690">
        <f>'ASWING STRUCT'!DM50*3.28084</f>
        <v>0</v>
      </c>
      <c r="DN50" s="690">
        <f>'ASWING STRUCT'!DN50*3.28084</f>
        <v>0</v>
      </c>
      <c r="DO50" s="690">
        <f>'ASWING STRUCT'!DO50</f>
        <v>2E-3</v>
      </c>
      <c r="DP50" s="690">
        <f>'ASWING STRUCT'!DP50</f>
        <v>2E-3</v>
      </c>
      <c r="DQ50" s="690">
        <f>'ASWING STRUCT'!DQ50*3.28084</f>
        <v>0</v>
      </c>
      <c r="DR50" s="690">
        <f>'ASWING STRUCT'!DR50*3.28084</f>
        <v>0.19192914</v>
      </c>
      <c r="DS50" s="690">
        <f>'ASWING STRUCT'!DS50*3.28084^3</f>
        <v>1.1864973329460205E-3</v>
      </c>
      <c r="DT50" s="690">
        <f>'ASWING STRUCT'!DT50*3.28084</f>
        <v>0</v>
      </c>
      <c r="DU50" s="690">
        <f>'ASWING STRUCT'!DU50</f>
        <v>5.4999999999999997E-3</v>
      </c>
      <c r="DV50" s="690">
        <f>'ASWING STRUCT'!DV50</f>
        <v>5.4999999999999997E-3</v>
      </c>
      <c r="DW50" s="690">
        <f>'ASWING STRUCT'!DW50*3.28084</f>
        <v>2.1325460000000001</v>
      </c>
      <c r="DX50" s="690">
        <f>'ASWING STRUCT'!DX50</f>
        <v>0.25</v>
      </c>
      <c r="DY50" s="690">
        <f>'ASWING STRUCT'!DY50</f>
        <v>5.9</v>
      </c>
      <c r="DZ50" s="690">
        <f>'ASWING STRUCT'!DZ50</f>
        <v>-0.15</v>
      </c>
      <c r="EA50" s="690">
        <f>'ASWING STRUCT'!EA50</f>
        <v>2.25</v>
      </c>
      <c r="EB50" s="690">
        <f>'ASWING STRUCT'!EB50</f>
        <v>-1.65</v>
      </c>
      <c r="EC50" s="686">
        <f>'ASWING STRUCT'!EC50</f>
        <v>5.9690260418206069</v>
      </c>
      <c r="ED50" s="693">
        <f>'ASWING STRUCT'!ED50</f>
        <v>0</v>
      </c>
      <c r="EE50" s="694">
        <f>'ASWING STRUCT'!EE50*3.28084</f>
        <v>38.549869999999999</v>
      </c>
      <c r="EF50" s="694">
        <f>'ASWING STRUCT'!EF50*3.28084</f>
        <v>5.1181103999999999</v>
      </c>
      <c r="EG50" s="694">
        <f>'ASWING STRUCT'!EG50*3.28084</f>
        <v>12.795275999999999</v>
      </c>
      <c r="EH50" s="694">
        <f>'ASWING STRUCT'!EH50</f>
        <v>0</v>
      </c>
      <c r="EI50" s="695">
        <f>'ASWING STRUCT'!EI50*0.224809*3.28084^2</f>
        <v>1155070.6373785641</v>
      </c>
      <c r="EJ50" s="695">
        <f>'ASWING STRUCT'!EJ50*0.224809*3.28084^2</f>
        <v>947930.45856987394</v>
      </c>
      <c r="EK50" s="695">
        <f>'ASWING STRUCT'!EK50*0.224809*3.28084^2</f>
        <v>0</v>
      </c>
      <c r="EL50" s="695">
        <f>'ASWING STRUCT'!EL50*0.224809*3.28084^2</f>
        <v>0</v>
      </c>
      <c r="EM50" s="695">
        <f>'ASWING STRUCT'!EM50*0.224809*3.28084^2</f>
        <v>0</v>
      </c>
      <c r="EN50" s="695">
        <f>'ASWING STRUCT'!EN50*0.224809*3.28084^2</f>
        <v>220836859.08095074</v>
      </c>
      <c r="EO50" s="694">
        <f>'ASWING STRUCT'!EO50</f>
        <v>0</v>
      </c>
      <c r="EP50" s="695">
        <f>'ASWING STRUCT'!EP50*0.224809</f>
        <v>0</v>
      </c>
      <c r="EQ50" s="695">
        <f>'ASWING STRUCT'!EQ50*0.224809</f>
        <v>0</v>
      </c>
      <c r="ER50" s="694">
        <f>'ASWING STRUCT'!ER50*2.20462*3.28084</f>
        <v>0</v>
      </c>
      <c r="ES50" s="694">
        <f>'ASWING STRUCT'!ES50*2.20462*3.28084</f>
        <v>0</v>
      </c>
      <c r="ET50" s="694">
        <f>'ASWING STRUCT'!ET50*2.20462/3.28084</f>
        <v>20.295235150868329</v>
      </c>
      <c r="EU50" s="694">
        <f>'ASWING STRUCT'!EU50*3.28084</f>
        <v>-3.0462484239549656</v>
      </c>
      <c r="EV50" s="694">
        <f>'ASWING STRUCT'!EV50*3.28084</f>
        <v>0</v>
      </c>
      <c r="EW50" s="694">
        <f>'ASWING STRUCT'!EW50*2.20462*3.28084</f>
        <v>0</v>
      </c>
      <c r="EX50" s="694">
        <f>'ASWING STRUCT'!EX50*2.20462*3.28084</f>
        <v>0</v>
      </c>
      <c r="EY50" s="694">
        <f>'ASWING STRUCT'!EY50*2.20462/3.28084</f>
        <v>0</v>
      </c>
      <c r="EZ50" s="694">
        <f>'ASWING STRUCT'!EZ50*3.28084</f>
        <v>0</v>
      </c>
      <c r="FA50" s="694">
        <f>'ASWING STRUCT'!FA50*3.28084</f>
        <v>0</v>
      </c>
      <c r="FB50" s="694">
        <f>'ASWING STRUCT'!FB50*3.28084</f>
        <v>-5.0943607227246925</v>
      </c>
      <c r="FC50" s="694">
        <f>'ASWING STRUCT'!FC50*3.28084</f>
        <v>0</v>
      </c>
      <c r="FD50" s="694">
        <f>'ASWING STRUCT'!FD50*3.28084</f>
        <v>0</v>
      </c>
      <c r="FE50" s="694">
        <f>'ASWING STRUCT'!FE50*3.28084</f>
        <v>0</v>
      </c>
      <c r="FF50" s="694">
        <f>'ASWING STRUCT'!FF50</f>
        <v>2E-3</v>
      </c>
      <c r="FG50" s="694">
        <f>'ASWING STRUCT'!FG50</f>
        <v>2E-3</v>
      </c>
      <c r="FH50" s="694">
        <f>'ASWING STRUCT'!FH50*3.28084</f>
        <v>-4.9212600000000002</v>
      </c>
      <c r="FI50" s="694">
        <f>'ASWING STRUCT'!FI50*3.28084</f>
        <v>0.73818899999999998</v>
      </c>
      <c r="FJ50" s="694">
        <f>'ASWING STRUCT'!FJ50*3.28084^3</f>
        <v>1.7551735694467753E-2</v>
      </c>
      <c r="FK50" s="694">
        <f>'ASWING STRUCT'!FK50*3.28084</f>
        <v>0</v>
      </c>
      <c r="FL50" s="694">
        <f>'ASWING STRUCT'!FL50</f>
        <v>5.4999999999999997E-3</v>
      </c>
      <c r="FM50" s="694">
        <f>'ASWING STRUCT'!FM50</f>
        <v>5.4999999999999997E-3</v>
      </c>
      <c r="FN50" s="694">
        <f>'ASWING STRUCT'!FN50*3.28084</f>
        <v>8.2020999999999997</v>
      </c>
      <c r="FO50" s="694">
        <f>'ASWING STRUCT'!FO50</f>
        <v>0.85</v>
      </c>
      <c r="FP50" s="694">
        <f>'ASWING STRUCT'!FP50</f>
        <v>0</v>
      </c>
      <c r="FQ50" s="694">
        <f>'ASWING STRUCT'!FQ50</f>
        <v>0</v>
      </c>
      <c r="FR50" s="694">
        <f>'ASWING STRUCT'!FR50</f>
        <v>1.4</v>
      </c>
      <c r="FS50" s="694">
        <f>'ASWING STRUCT'!FS50</f>
        <v>-1.4</v>
      </c>
      <c r="FT50" s="696">
        <f>'ASWING STRUCT'!FT50</f>
        <v>5.9690260418206069</v>
      </c>
      <c r="FU50" s="693">
        <f>'ASWING STRUCT'!FU50</f>
        <v>0</v>
      </c>
      <c r="FV50" s="694">
        <f>'ASWING STRUCT'!FV50*3.28084</f>
        <v>38.549869999999999</v>
      </c>
      <c r="FW50" s="694">
        <f>'ASWING STRUCT'!FW50*3.28084</f>
        <v>-5.1181103999999999</v>
      </c>
      <c r="FX50" s="694">
        <f>'ASWING STRUCT'!FX50*3.28084</f>
        <v>12.795275999999999</v>
      </c>
      <c r="FY50" s="694">
        <f>'ASWING STRUCT'!FY50</f>
        <v>0</v>
      </c>
      <c r="FZ50" s="695">
        <f>'ASWING STRUCT'!FZ50*0.224809*3.28084^2</f>
        <v>1155070.6373785641</v>
      </c>
      <c r="GA50" s="695">
        <f>'ASWING STRUCT'!GA50*0.224809*3.28084^2</f>
        <v>947930.45856987394</v>
      </c>
      <c r="GB50" s="695">
        <f>'ASWING STRUCT'!GB50*0.224809*3.28084^2</f>
        <v>0</v>
      </c>
      <c r="GC50" s="695">
        <f>'ASWING STRUCT'!GC50*0.224809*3.28084^2</f>
        <v>0</v>
      </c>
      <c r="GD50" s="695">
        <f>'ASWING STRUCT'!GD50*0.224809*3.28084^2</f>
        <v>0</v>
      </c>
      <c r="GE50" s="695">
        <f>'ASWING STRUCT'!GE50*0.224809*3.28084^2</f>
        <v>220836859.08095074</v>
      </c>
      <c r="GF50" s="694">
        <f>'ASWING STRUCT'!GF50</f>
        <v>0</v>
      </c>
      <c r="GG50" s="695">
        <f>'ASWING STRUCT'!GG50*0.224809</f>
        <v>0</v>
      </c>
      <c r="GH50" s="695">
        <f>'ASWING STRUCT'!GH50*0.224809</f>
        <v>0</v>
      </c>
      <c r="GI50" s="694">
        <f>'ASWING STRUCT'!GI50*2.20462*3.28084</f>
        <v>0</v>
      </c>
      <c r="GJ50" s="694">
        <f>'ASWING STRUCT'!GJ50*2.20462*3.28084</f>
        <v>0</v>
      </c>
      <c r="GK50" s="694">
        <f>'ASWING STRUCT'!GK50*2.20462/3.28084</f>
        <v>20.295235150868329</v>
      </c>
      <c r="GL50" s="694">
        <f>'ASWING STRUCT'!GL50*3.28084</f>
        <v>-3.0462484239549656</v>
      </c>
      <c r="GM50" s="694">
        <f>'ASWING STRUCT'!GM50*3.28084</f>
        <v>0</v>
      </c>
      <c r="GN50" s="694">
        <f>'ASWING STRUCT'!GN50*2.20462*3.28084</f>
        <v>0</v>
      </c>
      <c r="GO50" s="694">
        <f>'ASWING STRUCT'!GO50*2.20462*3.28084</f>
        <v>0</v>
      </c>
      <c r="GP50" s="694">
        <f>'ASWING STRUCT'!GP50*2.20462/3.28084</f>
        <v>0</v>
      </c>
      <c r="GQ50" s="694">
        <f>'ASWING STRUCT'!GQ50*3.28084</f>
        <v>0</v>
      </c>
      <c r="GR50" s="694">
        <f>'ASWING STRUCT'!GR50*3.28084</f>
        <v>0</v>
      </c>
      <c r="GS50" s="694">
        <f>'ASWING STRUCT'!GS50*3.28084</f>
        <v>-5.0943607227246925</v>
      </c>
      <c r="GT50" s="694">
        <f>'ASWING STRUCT'!GT50*3.28084</f>
        <v>0</v>
      </c>
      <c r="GU50" s="694">
        <f>'ASWING STRUCT'!GU50*3.28084</f>
        <v>0</v>
      </c>
      <c r="GV50" s="694">
        <f>'ASWING STRUCT'!GV50*3.28084</f>
        <v>0</v>
      </c>
      <c r="GW50" s="694">
        <f>'ASWING STRUCT'!GW50</f>
        <v>2E-3</v>
      </c>
      <c r="GX50" s="694">
        <f>'ASWING STRUCT'!GX50</f>
        <v>2E-3</v>
      </c>
      <c r="GY50" s="694">
        <f>'ASWING STRUCT'!GY50*3.28084</f>
        <v>-4.9212600000000002</v>
      </c>
      <c r="GZ50" s="694">
        <f>'ASWING STRUCT'!GZ50*3.28084</f>
        <v>0.73818899999999998</v>
      </c>
      <c r="HA50" s="694">
        <f>'ASWING STRUCT'!HA50*3.28084^3</f>
        <v>1.7551735694467753E-2</v>
      </c>
      <c r="HB50" s="694">
        <f>'ASWING STRUCT'!HB50*3.28084</f>
        <v>0</v>
      </c>
      <c r="HC50" s="694">
        <f>'ASWING STRUCT'!HC50</f>
        <v>5.4999999999999997E-3</v>
      </c>
      <c r="HD50" s="694">
        <f>'ASWING STRUCT'!HD50</f>
        <v>5.4999999999999997E-3</v>
      </c>
      <c r="HE50" s="694">
        <f>'ASWING STRUCT'!HE50*3.28084</f>
        <v>8.2020999999999997</v>
      </c>
      <c r="HF50" s="694">
        <f>'ASWING STRUCT'!HF50</f>
        <v>0.85</v>
      </c>
      <c r="HG50" s="694">
        <f>'ASWING STRUCT'!HG50</f>
        <v>0</v>
      </c>
      <c r="HH50" s="694">
        <f>'ASWING STRUCT'!HH50</f>
        <v>0</v>
      </c>
      <c r="HI50" s="694">
        <f>'ASWING STRUCT'!HI50</f>
        <v>1.4</v>
      </c>
      <c r="HJ50" s="694">
        <f>'ASWING STRUCT'!HJ50</f>
        <v>-1.4</v>
      </c>
      <c r="HK50" s="696">
        <f>'ASWING STRUCT'!HK50</f>
        <v>5.9690260418206069</v>
      </c>
    </row>
    <row r="51" spans="1:219" x14ac:dyDescent="0.25">
      <c r="A51" s="872"/>
      <c r="B51" s="669" t="s">
        <v>999</v>
      </c>
      <c r="C51" s="669" t="s">
        <v>1000</v>
      </c>
      <c r="D51" s="669" t="s">
        <v>1001</v>
      </c>
      <c r="E51" s="608" t="s">
        <v>797</v>
      </c>
      <c r="F51" s="608" t="s">
        <v>798</v>
      </c>
      <c r="G51" s="608" t="s">
        <v>799</v>
      </c>
      <c r="H51" s="568" t="s">
        <v>912</v>
      </c>
      <c r="I51" s="625" t="s">
        <v>942</v>
      </c>
      <c r="J51" s="568" t="s">
        <v>947</v>
      </c>
      <c r="K51" s="575">
        <v>1</v>
      </c>
      <c r="L51" s="626">
        <f ca="1">W51/MAX(AX50:AX100) *MAX(AV50:AV100)</f>
        <v>-21.264130764589989</v>
      </c>
      <c r="M51">
        <v>6</v>
      </c>
      <c r="N51">
        <f>MAX(V50:V51)</f>
        <v>30.782077100511998</v>
      </c>
      <c r="O51" s="576">
        <v>0</v>
      </c>
      <c r="P51" s="580"/>
      <c r="Q51" s="605">
        <f>'ASWING STRUCT'!Q51*3.28084</f>
        <v>30.782077100511998</v>
      </c>
      <c r="R51" s="606">
        <f>'ASWING STRUCT'!R51*3.28084</f>
        <v>5.1181103999999999</v>
      </c>
      <c r="S51" s="606">
        <f>'ASWING STRUCT'!S51*3.28084</f>
        <v>12.795275999999999</v>
      </c>
      <c r="T51" s="606">
        <f>'ASWING STRUCT'!T51*3.28084</f>
        <v>0.49212599999999995</v>
      </c>
      <c r="U51" s="607">
        <v>0</v>
      </c>
      <c r="V51" s="605">
        <f>'ASWING STRUCT'!V51*3.28084</f>
        <v>30.782077100511998</v>
      </c>
      <c r="W51" s="606">
        <f>'ASWING STRUCT'!W51*3.28084</f>
        <v>-5.1181103999999999</v>
      </c>
      <c r="X51" s="606">
        <f>'ASWING STRUCT'!X51*3.28084</f>
        <v>12.795275999999999</v>
      </c>
      <c r="Y51" s="606">
        <f>F23</f>
        <v>0.49212599999999995</v>
      </c>
      <c r="Z51" s="607">
        <v>0</v>
      </c>
      <c r="AA51" s="605">
        <f>'ASWING STRUCT'!AA51*3.28084</f>
        <v>45.246064439999998</v>
      </c>
      <c r="AB51" s="606">
        <f>'ASWING STRUCT'!AB51*3.28084</f>
        <v>5.1181103999999999</v>
      </c>
      <c r="AC51" s="606">
        <f>'ASWING STRUCT'!AC51*3.28084</f>
        <v>12.795275999999999</v>
      </c>
      <c r="AD51" s="606">
        <f>F23</f>
        <v>0.49212599999999995</v>
      </c>
      <c r="AE51" s="607">
        <v>0</v>
      </c>
      <c r="AF51" s="605">
        <f>'ASWING STRUCT'!AF51*3.28084</f>
        <v>45.246064439999998</v>
      </c>
      <c r="AG51" s="606">
        <f>'ASWING STRUCT'!AG51*3.28084</f>
        <v>-5.1181103999999999</v>
      </c>
      <c r="AH51" s="606">
        <f>'ASWING STRUCT'!AH51*3.28084</f>
        <v>12.795275999999999</v>
      </c>
      <c r="AI51" s="606">
        <f>F23</f>
        <v>0.49212599999999995</v>
      </c>
      <c r="AJ51" s="607">
        <v>0</v>
      </c>
      <c r="AK51" s="605">
        <f>'ASWING STRUCT'!AK51*3.28084</f>
        <v>40.104988159999998</v>
      </c>
      <c r="AL51" s="606">
        <f>'ASWING STRUCT'!AL51*3.28084</f>
        <v>15.124672400000001</v>
      </c>
      <c r="AM51" s="606">
        <f>'ASWING STRUCT'!AM51*3.28084</f>
        <v>12.139108</v>
      </c>
      <c r="AN51" s="606">
        <f>F23</f>
        <v>0.49212599999999995</v>
      </c>
      <c r="AO51" s="607">
        <v>0</v>
      </c>
      <c r="AP51" s="605">
        <f>'ASWING STRUCT'!AP51*3.28084</f>
        <v>40.104988159999998</v>
      </c>
      <c r="AQ51" s="606">
        <f>'ASWING STRUCT'!AQ51*3.28084</f>
        <v>-15.124672400000001</v>
      </c>
      <c r="AR51" s="606">
        <f>'ASWING STRUCT'!AR51*3.28084</f>
        <v>12.139108</v>
      </c>
      <c r="AS51" s="606">
        <f>F23</f>
        <v>0.49212599999999995</v>
      </c>
      <c r="AT51" s="607">
        <v>0</v>
      </c>
      <c r="AU51" s="594"/>
      <c r="AV51" s="574">
        <f ca="1">100*(AX51-$AX$50)/(MAX($AX$50:INDEX(($AX$50:$AX$150),$F$35+1,1))-MIN($AX$50:INDEX(($AX$50:$AX$150),$F$35+1,1)))</f>
        <v>4</v>
      </c>
      <c r="AW51" s="660">
        <f ca="1">OFFSET('Trapezoidal Wing Summary'!C$45,((ROW('Trapezoidal Wing Summary'!$A46)-ROW('Trapezoidal Wing Summary'!$A$45))*100/$F$35),0)+$F$15</f>
        <v>23.893471237031996</v>
      </c>
      <c r="AX51" s="660">
        <f ca="1">OFFSET('Trapezoidal Wing Summary'!D$45,((ROW('Trapezoidal Wing Summary'!$A46)-ROW('Trapezoidal Wing Summary'!$A$45))*100/$F$35),0)+$F$16</f>
        <v>0.95110895431999998</v>
      </c>
      <c r="AY51" s="660">
        <f ca="1">OFFSET('Trapezoidal Wing Summary'!E$45,((ROW('Trapezoidal Wing Summary'!$A46)-ROW('Trapezoidal Wing Summary'!$A$45))*100/$F$35),0)+$F$17</f>
        <v>8.1686780829199996</v>
      </c>
      <c r="AZ51" s="41">
        <f ca="1">OFFSET('Trapezoidal Wing Summary'!F$45,((ROW('Trapezoidal Wing Summary'!$A46)-ROW('Trapezoidal Wing Summary'!$A$45))*100/$F$35),0)</f>
        <v>0</v>
      </c>
      <c r="BA51" s="41">
        <f ca="1">OFFSET('Trapezoidal Wing Summary'!G$45,((ROW('Trapezoidal Wing Summary'!$A46)-ROW('Trapezoidal Wing Summary'!$A$45))*100/$F$35),0)</f>
        <v>4657919.1017135717</v>
      </c>
      <c r="BB51" s="41">
        <f ca="1">OFFSET('Trapezoidal Wing Summary'!H$45,((ROW('Trapezoidal Wing Summary'!$A46)-ROW('Trapezoidal Wing Summary'!$A$45))*100/$F$35),0)</f>
        <v>10556340.40838366</v>
      </c>
      <c r="BC51" s="41">
        <f ca="1">OFFSET('Trapezoidal Wing Summary'!I$45,((ROW('Trapezoidal Wing Summary'!$A46)-ROW('Trapezoidal Wing Summary'!$A$45))*100/$F$35),0)</f>
        <v>0</v>
      </c>
      <c r="BD51" s="41">
        <f ca="1">OFFSET('Trapezoidal Wing Summary'!J$45,((ROW('Trapezoidal Wing Summary'!$A46)-ROW('Trapezoidal Wing Summary'!$A$45))*100/$F$35),0)</f>
        <v>0</v>
      </c>
      <c r="BE51" s="41">
        <f ca="1">OFFSET('Trapezoidal Wing Summary'!K$45,((ROW('Trapezoidal Wing Summary'!$A46)-ROW('Trapezoidal Wing Summary'!$A$45))*100/$F$35),0)</f>
        <v>0</v>
      </c>
      <c r="BF51" s="41">
        <f ca="1">OFFSET('Trapezoidal Wing Summary'!L$45,((ROW('Trapezoidal Wing Summary'!$A46)-ROW('Trapezoidal Wing Summary'!$A$45))*100/$F$35),0)</f>
        <v>60542265.568290457</v>
      </c>
      <c r="BG51" s="41">
        <f ca="1">OFFSET('Trapezoidal Wing Summary'!M$45,((ROW('Trapezoidal Wing Summary'!$A46)-ROW('Trapezoidal Wing Summary'!$A$45))*100/$F$35),0)</f>
        <v>0</v>
      </c>
      <c r="BH51" s="41">
        <f ca="1">OFFSET('Trapezoidal Wing Summary'!N$45,((ROW('Trapezoidal Wing Summary'!$A46)-ROW('Trapezoidal Wing Summary'!$A$45))*100/$F$35),0)</f>
        <v>0</v>
      </c>
      <c r="BI51" s="41">
        <f ca="1">OFFSET('Trapezoidal Wing Summary'!O$45,((ROW('Trapezoidal Wing Summary'!$A46)-ROW('Trapezoidal Wing Summary'!$A$45))*100/$F$35),0)</f>
        <v>0</v>
      </c>
      <c r="BJ51" s="41">
        <f ca="1">OFFSET('Trapezoidal Wing Summary'!P$45,((ROW('Trapezoidal Wing Summary'!$A46)-ROW('Trapezoidal Wing Summary'!$A$45))*100/$F$35),0)</f>
        <v>0</v>
      </c>
      <c r="BK51" s="41">
        <f ca="1">OFFSET('Trapezoidal Wing Summary'!Q$45,((ROW('Trapezoidal Wing Summary'!$A46)-ROW('Trapezoidal Wing Summary'!$A$45))*100/$F$35),0)</f>
        <v>0</v>
      </c>
      <c r="BL51" s="41">
        <f ca="1">OFFSET('Trapezoidal Wing Summary'!R$45,((ROW('Trapezoidal Wing Summary'!$A46)-ROW('Trapezoidal Wing Summary'!$A$45))*100/$F$35),0)</f>
        <v>22.142097346808416</v>
      </c>
      <c r="BM51" s="41">
        <f ca="1">OFFSET('Trapezoidal Wing Summary'!S$45,((ROW('Trapezoidal Wing Summary'!$A46)-ROW('Trapezoidal Wing Summary'!$A$45))*100/$F$35),0)</f>
        <v>0.84325136890660435</v>
      </c>
      <c r="BN51" s="41">
        <f ca="1">OFFSET('Trapezoidal Wing Summary'!T$45,((ROW('Trapezoidal Wing Summary'!$A46)-ROW('Trapezoidal Wing Summary'!$A$45))*100/$F$35),0)</f>
        <v>0</v>
      </c>
      <c r="BO51" s="41">
        <f ca="1">OFFSET('Trapezoidal Wing Summary'!U$45,((ROW('Trapezoidal Wing Summary'!$A46)-ROW('Trapezoidal Wing Summary'!$A$45))*100/$F$35),0)</f>
        <v>0</v>
      </c>
      <c r="BP51" s="41">
        <f ca="1">OFFSET('Trapezoidal Wing Summary'!V$45,((ROW('Trapezoidal Wing Summary'!$A46)-ROW('Trapezoidal Wing Summary'!$A$45))*100/$F$35),0)</f>
        <v>0</v>
      </c>
      <c r="BQ51" s="41">
        <f ca="1">OFFSET('Trapezoidal Wing Summary'!W$45,((ROW('Trapezoidal Wing Summary'!$A46)-ROW('Trapezoidal Wing Summary'!$A$45))*100/$F$35),0)</f>
        <v>0</v>
      </c>
      <c r="BR51" s="41">
        <f ca="1">OFFSET('Trapezoidal Wing Summary'!X$45,((ROW('Trapezoidal Wing Summary'!$A46)-ROW('Trapezoidal Wing Summary'!$A$45))*100/$F$35),0)</f>
        <v>0</v>
      </c>
      <c r="BS51" s="41">
        <f ca="1">OFFSET('Trapezoidal Wing Summary'!Y$45,((ROW('Trapezoidal Wing Summary'!$A46)-ROW('Trapezoidal Wing Summary'!$A$45))*100/$F$35),0)</f>
        <v>0</v>
      </c>
      <c r="BT51" s="41">
        <f ca="1">OFFSET('Trapezoidal Wing Summary'!Z$45,((ROW('Trapezoidal Wing Summary'!$A46)-ROW('Trapezoidal Wing Summary'!$A$45))*100/$F$35),0)</f>
        <v>0.4470830229264493</v>
      </c>
      <c r="BU51" s="41">
        <f ca="1">OFFSET('Trapezoidal Wing Summary'!AA$45,((ROW('Trapezoidal Wing Summary'!$A46)-ROW('Trapezoidal Wing Summary'!$A$45))*100/$F$35),0)</f>
        <v>0</v>
      </c>
      <c r="BV51" s="41">
        <f ca="1">OFFSET('Trapezoidal Wing Summary'!AB$45,((ROW('Trapezoidal Wing Summary'!$A46)-ROW('Trapezoidal Wing Summary'!$A$45))*100/$F$35),0)</f>
        <v>0</v>
      </c>
      <c r="BW51" s="41">
        <f ca="1">OFFSET('Trapezoidal Wing Summary'!AC$45,((ROW('Trapezoidal Wing Summary'!$A46)-ROW('Trapezoidal Wing Summary'!$A$45))*100/$F$35),0)</f>
        <v>0</v>
      </c>
      <c r="BX51" s="41">
        <f ca="1">OFFSET('Trapezoidal Wing Summary'!AD$45,((ROW('Trapezoidal Wing Summary'!$A46)-ROW('Trapezoidal Wing Summary'!$A$45))*100/$F$35),0)</f>
        <v>2E-3</v>
      </c>
      <c r="BY51" s="41">
        <f ca="1">OFFSET('Trapezoidal Wing Summary'!AE$45,((ROW('Trapezoidal Wing Summary'!$A46)-ROW('Trapezoidal Wing Summary'!$A$45))*100/$F$35),0)</f>
        <v>2E-3</v>
      </c>
      <c r="BZ51" s="41">
        <f ca="1">OFFSET('Trapezoidal Wing Summary'!AF$45,((ROW('Trapezoidal Wing Summary'!$A46)-ROW('Trapezoidal Wing Summary'!$A$45))*100/$F$35),0)</f>
        <v>0</v>
      </c>
      <c r="CA51" s="41">
        <f ca="1">OFFSET('Trapezoidal Wing Summary'!AG$45,((ROW('Trapezoidal Wing Summary'!$A46)-ROW('Trapezoidal Wing Summary'!$A$45))*100/$F$35),0)</f>
        <v>0.45126969948000001</v>
      </c>
      <c r="CB51" s="41">
        <f ca="1">OFFSET('Trapezoidal Wing Summary'!AH$45,((ROW('Trapezoidal Wing Summary'!$A46)-ROW('Trapezoidal Wing Summary'!$A$45))*100/$F$35),0)</f>
        <v>7.8711560990617161E-3</v>
      </c>
      <c r="CC51" s="41">
        <f ca="1">OFFSET('Trapezoidal Wing Summary'!AI$45,((ROW('Trapezoidal Wing Summary'!$A46)-ROW('Trapezoidal Wing Summary'!$A$45))*100/$F$35),0)</f>
        <v>0</v>
      </c>
      <c r="CD51" s="41">
        <f>'REF - ASWING AERO-Imperial'!$R$5</f>
        <v>5.4999999999999997E-3</v>
      </c>
      <c r="CE51" s="41">
        <f>'REF - ASWING AERO-Imperial'!$R$6</f>
        <v>5.4999999999999997E-3</v>
      </c>
      <c r="CF51" s="41">
        <f ca="1">OFFSET('Trapezoidal Wing Summary'!AL$45,((ROW('Trapezoidal Wing Summary'!$A46)-ROW('Trapezoidal Wing Summary'!$A$45))*100/$F$35),0)</f>
        <v>5.014107772</v>
      </c>
      <c r="CG51" s="41">
        <f ca="1">OFFSET('Trapezoidal Wing Summary'!AM$45,((ROW('Trapezoidal Wing Summary'!$A46)-ROW('Trapezoidal Wing Summary'!$A$45))*100/$F$35),0)</f>
        <v>0.25</v>
      </c>
      <c r="CH51" s="41">
        <f ca="1">OFFSET('Trapezoidal Wing Summary'!AN$45,((ROW('Trapezoidal Wing Summary'!$A46)-ROW('Trapezoidal Wing Summary'!$A$45))*100/$F$35),0)</f>
        <v>7.85</v>
      </c>
      <c r="CI51" s="41">
        <f ca="1">OFFSET('Trapezoidal Wing Summary'!AO$45,((ROW('Trapezoidal Wing Summary'!$A46)-ROW('Trapezoidal Wing Summary'!$A$45))*100/$F$35),0)</f>
        <v>-0.15</v>
      </c>
      <c r="CJ51" s="41">
        <f ca="1">OFFSET('Trapezoidal Wing Summary'!AP$45,((ROW('Trapezoidal Wing Summary'!$A46)-ROW('Trapezoidal Wing Summary'!$A$45))*100/$F$35),0)</f>
        <v>1.85</v>
      </c>
      <c r="CK51" s="41">
        <f ca="1">OFFSET('Trapezoidal Wing Summary'!AQ$45,((ROW('Trapezoidal Wing Summary'!$A46)-ROW('Trapezoidal Wing Summary'!$A$45))*100/$F$35),0)</f>
        <v>-1.55</v>
      </c>
      <c r="CL51" s="41">
        <f ca="1">OFFSET('Trapezoidal Wing Summary'!AR$45,((ROW('Trapezoidal Wing Summary'!$A46)-ROW('Trapezoidal Wing Summary'!$A$45))*100/$F$35),0)</f>
        <v>5.9690260418206069</v>
      </c>
      <c r="CM51" s="645">
        <f>'ASWING STRUCT'!CM51</f>
        <v>4</v>
      </c>
      <c r="CN51" s="642">
        <f>'ASWING STRUCT'!CN51*3.28084</f>
        <v>10.419499677255999</v>
      </c>
      <c r="CO51" s="642">
        <f>'ASWING STRUCT'!CO51*3.28084</f>
        <v>0.39370080000000002</v>
      </c>
      <c r="CP51" s="642">
        <f>'ASWING STRUCT'!CP51*3.28084</f>
        <v>12.850247130368</v>
      </c>
      <c r="CQ51" s="642">
        <f>'ASWING STRUCT'!CQ51</f>
        <v>0</v>
      </c>
      <c r="CR51" s="692">
        <f>'ASWING STRUCT'!CR51*0.224809*3.28084^2</f>
        <v>249050.89914828894</v>
      </c>
      <c r="CS51" s="692">
        <f>'ASWING STRUCT'!CS51*0.224809*3.28084^2</f>
        <v>220085.72550642357</v>
      </c>
      <c r="CT51" s="692">
        <f>'ASWING STRUCT'!CT51*0.224809*3.28084^2</f>
        <v>0</v>
      </c>
      <c r="CU51" s="692">
        <f>'ASWING STRUCT'!CU51*0.224809*3.28084^2</f>
        <v>0</v>
      </c>
      <c r="CV51" s="692">
        <f>'ASWING STRUCT'!CV51*0.224809*3.28084^2</f>
        <v>0</v>
      </c>
      <c r="CW51" s="692">
        <f>'ASWING STRUCT'!CW51*0.224809*3.28084^2</f>
        <v>3670401.4836750287</v>
      </c>
      <c r="CX51" s="642">
        <f>'ASWING STRUCT'!CX51</f>
        <v>0</v>
      </c>
      <c r="CY51" s="642">
        <f>'ASWING STRUCT'!CY51*0.224809</f>
        <v>0</v>
      </c>
      <c r="CZ51" s="642">
        <f>'ASWING STRUCT'!CZ51*0.224809</f>
        <v>0</v>
      </c>
      <c r="DA51" s="642">
        <f>'ASWING STRUCT'!DA51*2.20462*3.28084</f>
        <v>0</v>
      </c>
      <c r="DB51" s="642">
        <f>'ASWING STRUCT'!DB51*2.20462*3.28084</f>
        <v>0</v>
      </c>
      <c r="DC51" s="642">
        <f>'ASWING STRUCT'!DC51*2.20462/3.28084</f>
        <v>3.4190844437510095</v>
      </c>
      <c r="DD51" s="642">
        <f>'ASWING STRUCT'!DD51*3.28084</f>
        <v>0.38502963014488933</v>
      </c>
      <c r="DE51" s="642">
        <f>'ASWING STRUCT'!DE51*3.28084</f>
        <v>0</v>
      </c>
      <c r="DF51" s="642">
        <f>'ASWING STRUCT'!DF51*2.20462*3.28084</f>
        <v>0</v>
      </c>
      <c r="DG51" s="642">
        <f>'ASWING STRUCT'!DG51*2.20462*3.28084</f>
        <v>0</v>
      </c>
      <c r="DH51" s="642">
        <f>'ASWING STRUCT'!DH51*2.20462/3.28084</f>
        <v>0</v>
      </c>
      <c r="DI51" s="642">
        <f>'ASWING STRUCT'!DI51*3.28084</f>
        <v>0</v>
      </c>
      <c r="DJ51" s="642">
        <f>'ASWING STRUCT'!DJ51*3.28084</f>
        <v>0</v>
      </c>
      <c r="DK51" s="642">
        <f>'ASWING STRUCT'!DK51*3.28084</f>
        <v>0.18866206708102262</v>
      </c>
      <c r="DL51" s="642">
        <f>'ASWING STRUCT'!DL51*3.28084</f>
        <v>0</v>
      </c>
      <c r="DM51" s="642">
        <f>'ASWING STRUCT'!DM51*3.28084</f>
        <v>0</v>
      </c>
      <c r="DN51" s="642">
        <f>'ASWING STRUCT'!DN51*3.28084</f>
        <v>0</v>
      </c>
      <c r="DO51" s="642">
        <f>'ASWING STRUCT'!DO51</f>
        <v>2E-3</v>
      </c>
      <c r="DP51" s="642">
        <f>'ASWING STRUCT'!DP51</f>
        <v>2E-3</v>
      </c>
      <c r="DQ51" s="642">
        <f>'ASWING STRUCT'!DQ51*3.28084</f>
        <v>0</v>
      </c>
      <c r="DR51" s="642">
        <f>'ASWING STRUCT'!DR51*3.28084</f>
        <v>0.18838583280000001</v>
      </c>
      <c r="DS51" s="642">
        <f>'ASWING STRUCT'!DS51*3.28084^3</f>
        <v>1.1430925926430298E-3</v>
      </c>
      <c r="DT51" s="642">
        <f>'ASWING STRUCT'!DT51*3.28084</f>
        <v>0</v>
      </c>
      <c r="DU51" s="642">
        <f>'ASWING STRUCT'!DU51</f>
        <v>5.4999999999999997E-3</v>
      </c>
      <c r="DV51" s="642">
        <f>'ASWING STRUCT'!DV51</f>
        <v>5.4999999999999997E-3</v>
      </c>
      <c r="DW51" s="642">
        <f>'ASWING STRUCT'!DW51*3.28084</f>
        <v>2.0931759200000002</v>
      </c>
      <c r="DX51" s="642">
        <f>'ASWING STRUCT'!DX51</f>
        <v>0.25</v>
      </c>
      <c r="DY51" s="642">
        <f>'ASWING STRUCT'!DY51</f>
        <v>5.9</v>
      </c>
      <c r="DZ51" s="642">
        <f>'ASWING STRUCT'!DZ51</f>
        <v>-0.15</v>
      </c>
      <c r="EA51" s="642">
        <f>'ASWING STRUCT'!EA51</f>
        <v>2.25</v>
      </c>
      <c r="EB51" s="642">
        <f>'ASWING STRUCT'!EB51</f>
        <v>-1.65</v>
      </c>
      <c r="EC51" s="641">
        <f>'ASWING STRUCT'!EC51</f>
        <v>5.9690260418206069</v>
      </c>
      <c r="ED51" s="697">
        <f>'ASWING STRUCT'!ED51</f>
        <v>4.0000000000000044</v>
      </c>
      <c r="EE51" s="617">
        <f>'ASWING STRUCT'!EE51*3.28084</f>
        <v>38.615486799999999</v>
      </c>
      <c r="EF51" s="617">
        <f>'ASWING STRUCT'!EF51*3.28084</f>
        <v>5.1181103999999999</v>
      </c>
      <c r="EG51" s="617">
        <f>'ASWING STRUCT'!EG51*3.28084</f>
        <v>12.97900304</v>
      </c>
      <c r="EH51" s="617">
        <f>'ASWING STRUCT'!EH51</f>
        <v>0</v>
      </c>
      <c r="EI51" s="698">
        <f>'ASWING STRUCT'!EI51*0.224809*3.28084^2</f>
        <v>1065415.740791593</v>
      </c>
      <c r="EJ51" s="698">
        <f>'ASWING STRUCT'!EJ51*0.224809*3.28084^2</f>
        <v>888233.59001097851</v>
      </c>
      <c r="EK51" s="698">
        <f>'ASWING STRUCT'!EK51*0.224809*3.28084^2</f>
        <v>0</v>
      </c>
      <c r="EL51" s="698">
        <f>'ASWING STRUCT'!EL51*0.224809*3.28084^2</f>
        <v>0</v>
      </c>
      <c r="EM51" s="698">
        <f>'ASWING STRUCT'!EM51*0.224809*3.28084^2</f>
        <v>0</v>
      </c>
      <c r="EN51" s="698">
        <f>'ASWING STRUCT'!EN51*0.224809*3.28084^2</f>
        <v>200307695.05807799</v>
      </c>
      <c r="EO51" s="617">
        <f>'ASWING STRUCT'!EO51</f>
        <v>0</v>
      </c>
      <c r="EP51" s="698">
        <f>'ASWING STRUCT'!EP51*0.224809</f>
        <v>0</v>
      </c>
      <c r="EQ51" s="698">
        <f>'ASWING STRUCT'!EQ51*0.224809</f>
        <v>0</v>
      </c>
      <c r="ER51" s="617">
        <f>'ASWING STRUCT'!ER51*2.20462*3.28084</f>
        <v>0</v>
      </c>
      <c r="ES51" s="617">
        <f>'ASWING STRUCT'!ES51*2.20462*3.28084</f>
        <v>0</v>
      </c>
      <c r="ET51" s="617">
        <f>'ASWING STRUCT'!ET51*2.20462/3.28084</f>
        <v>19.653480330794427</v>
      </c>
      <c r="EU51" s="617">
        <f>'ASWING STRUCT'!EU51*3.28084</f>
        <v>-2.9510297722696657</v>
      </c>
      <c r="EV51" s="617">
        <f>'ASWING STRUCT'!EV51*3.28084</f>
        <v>0</v>
      </c>
      <c r="EW51" s="617">
        <f>'ASWING STRUCT'!EW51*2.20462*3.28084</f>
        <v>0</v>
      </c>
      <c r="EX51" s="617">
        <f>'ASWING STRUCT'!EX51*2.20462*3.28084</f>
        <v>0</v>
      </c>
      <c r="EY51" s="617">
        <f>'ASWING STRUCT'!EY51*2.20462/3.28084</f>
        <v>0</v>
      </c>
      <c r="EZ51" s="617">
        <f>'ASWING STRUCT'!EZ51*3.28084</f>
        <v>0</v>
      </c>
      <c r="FA51" s="617">
        <f>'ASWING STRUCT'!FA51*3.28084</f>
        <v>0</v>
      </c>
      <c r="FB51" s="617">
        <f>'ASWING STRUCT'!FB51*3.28084</f>
        <v>-4.7313128461755669</v>
      </c>
      <c r="FC51" s="617">
        <f>'ASWING STRUCT'!FC51*3.28084</f>
        <v>0</v>
      </c>
      <c r="FD51" s="617">
        <f>'ASWING STRUCT'!FD51*3.28084</f>
        <v>0</v>
      </c>
      <c r="FE51" s="617">
        <f>'ASWING STRUCT'!FE51*3.28084</f>
        <v>0</v>
      </c>
      <c r="FF51" s="617">
        <f>'ASWING STRUCT'!FF51</f>
        <v>2E-3</v>
      </c>
      <c r="FG51" s="617">
        <f>'ASWING STRUCT'!FG51</f>
        <v>2E-3</v>
      </c>
      <c r="FH51" s="617">
        <f>'ASWING STRUCT'!FH51*3.28084</f>
        <v>-4.7637796800000007</v>
      </c>
      <c r="FI51" s="617">
        <f>'ASWING STRUCT'!FI51*3.28084</f>
        <v>0.71456695199999998</v>
      </c>
      <c r="FJ51" s="617">
        <f>'ASWING STRUCT'!FJ51*3.28084^3</f>
        <v>1.6446397587372957E-2</v>
      </c>
      <c r="FK51" s="617">
        <f>'ASWING STRUCT'!FK51*3.28084</f>
        <v>0</v>
      </c>
      <c r="FL51" s="617">
        <f>'ASWING STRUCT'!FL51</f>
        <v>5.4999999999999997E-3</v>
      </c>
      <c r="FM51" s="617">
        <f>'ASWING STRUCT'!FM51</f>
        <v>5.4999999999999997E-3</v>
      </c>
      <c r="FN51" s="617">
        <f>'ASWING STRUCT'!FN51*3.28084</f>
        <v>7.9396328</v>
      </c>
      <c r="FO51" s="617">
        <f>'ASWING STRUCT'!FO51</f>
        <v>0.85</v>
      </c>
      <c r="FP51" s="617">
        <f>'ASWING STRUCT'!FP51</f>
        <v>0</v>
      </c>
      <c r="FQ51" s="617">
        <f>'ASWING STRUCT'!FQ51</f>
        <v>0</v>
      </c>
      <c r="FR51" s="617">
        <f>'ASWING STRUCT'!FR51</f>
        <v>1.4</v>
      </c>
      <c r="FS51" s="617">
        <f>'ASWING STRUCT'!FS51</f>
        <v>-1.4</v>
      </c>
      <c r="FT51" s="616">
        <f>'ASWING STRUCT'!FT51</f>
        <v>5.9690260418206069</v>
      </c>
      <c r="FU51" s="697">
        <f>'ASWING STRUCT'!FU51</f>
        <v>4.0000000000000044</v>
      </c>
      <c r="FV51" s="617">
        <f>'ASWING STRUCT'!FV51*3.28084</f>
        <v>38.615486799999999</v>
      </c>
      <c r="FW51" s="617">
        <f>'ASWING STRUCT'!FW51*3.28084</f>
        <v>-5.1181103999999999</v>
      </c>
      <c r="FX51" s="617">
        <f>'ASWING STRUCT'!FX51*3.28084</f>
        <v>12.97900304</v>
      </c>
      <c r="FY51" s="617">
        <f>'ASWING STRUCT'!FY51</f>
        <v>0</v>
      </c>
      <c r="FZ51" s="698">
        <f>'ASWING STRUCT'!FZ51*0.224809*3.28084^2</f>
        <v>1065415.740791593</v>
      </c>
      <c r="GA51" s="698">
        <f>'ASWING STRUCT'!GA51*0.224809*3.28084^2</f>
        <v>888233.59001097851</v>
      </c>
      <c r="GB51" s="698">
        <f>'ASWING STRUCT'!GB51*0.224809*3.28084^2</f>
        <v>0</v>
      </c>
      <c r="GC51" s="698">
        <f>'ASWING STRUCT'!GC51*0.224809*3.28084^2</f>
        <v>0</v>
      </c>
      <c r="GD51" s="698">
        <f>'ASWING STRUCT'!GD51*0.224809*3.28084^2</f>
        <v>0</v>
      </c>
      <c r="GE51" s="698">
        <f>'ASWING STRUCT'!GE51*0.224809*3.28084^2</f>
        <v>200307695.05807799</v>
      </c>
      <c r="GF51" s="617">
        <f>'ASWING STRUCT'!GF51</f>
        <v>0</v>
      </c>
      <c r="GG51" s="698">
        <f>'ASWING STRUCT'!GG51*0.224809</f>
        <v>0</v>
      </c>
      <c r="GH51" s="698">
        <f>'ASWING STRUCT'!GH51*0.224809</f>
        <v>0</v>
      </c>
      <c r="GI51" s="617">
        <f>'ASWING STRUCT'!GI51*2.20462*3.28084</f>
        <v>0</v>
      </c>
      <c r="GJ51" s="617">
        <f>'ASWING STRUCT'!GJ51*2.20462*3.28084</f>
        <v>0</v>
      </c>
      <c r="GK51" s="617">
        <f>'ASWING STRUCT'!GK51*2.20462/3.28084</f>
        <v>19.653480330794427</v>
      </c>
      <c r="GL51" s="617">
        <f>'ASWING STRUCT'!GL51*3.28084</f>
        <v>-2.9510297722696657</v>
      </c>
      <c r="GM51" s="617">
        <f>'ASWING STRUCT'!GM51*3.28084</f>
        <v>0</v>
      </c>
      <c r="GN51" s="617">
        <f>'ASWING STRUCT'!GN51*2.20462*3.28084</f>
        <v>0</v>
      </c>
      <c r="GO51" s="617">
        <f>'ASWING STRUCT'!GO51*2.20462*3.28084</f>
        <v>0</v>
      </c>
      <c r="GP51" s="617">
        <f>'ASWING STRUCT'!GP51*2.20462/3.28084</f>
        <v>0</v>
      </c>
      <c r="GQ51" s="617">
        <f>'ASWING STRUCT'!GQ51*3.28084</f>
        <v>0</v>
      </c>
      <c r="GR51" s="617">
        <f>'ASWING STRUCT'!GR51*3.28084</f>
        <v>0</v>
      </c>
      <c r="GS51" s="617">
        <f>'ASWING STRUCT'!GS51*3.28084</f>
        <v>-4.7313128461755669</v>
      </c>
      <c r="GT51" s="617">
        <f>'ASWING STRUCT'!GT51*3.28084</f>
        <v>0</v>
      </c>
      <c r="GU51" s="617">
        <f>'ASWING STRUCT'!GU51*3.28084</f>
        <v>0</v>
      </c>
      <c r="GV51" s="617">
        <f>'ASWING STRUCT'!GV51*3.28084</f>
        <v>0</v>
      </c>
      <c r="GW51" s="617">
        <f>'ASWING STRUCT'!GW51</f>
        <v>2E-3</v>
      </c>
      <c r="GX51" s="617">
        <f>'ASWING STRUCT'!GX51</f>
        <v>2E-3</v>
      </c>
      <c r="GY51" s="617">
        <f>'ASWING STRUCT'!GY51*3.28084</f>
        <v>-4.7637796800000007</v>
      </c>
      <c r="GZ51" s="617">
        <f>'ASWING STRUCT'!GZ51*3.28084</f>
        <v>0.71456695199999998</v>
      </c>
      <c r="HA51" s="617">
        <f>'ASWING STRUCT'!HA51*3.28084^3</f>
        <v>1.6446397587372957E-2</v>
      </c>
      <c r="HB51" s="617">
        <f>'ASWING STRUCT'!HB51*3.28084</f>
        <v>0</v>
      </c>
      <c r="HC51" s="617">
        <f>'ASWING STRUCT'!HC51</f>
        <v>5.4999999999999997E-3</v>
      </c>
      <c r="HD51" s="617">
        <f>'ASWING STRUCT'!HD51</f>
        <v>5.4999999999999997E-3</v>
      </c>
      <c r="HE51" s="617">
        <f>'ASWING STRUCT'!HE51*3.28084</f>
        <v>7.9396328</v>
      </c>
      <c r="HF51" s="617">
        <f>'ASWING STRUCT'!HF51</f>
        <v>0.85</v>
      </c>
      <c r="HG51" s="617">
        <f>'ASWING STRUCT'!HG51</f>
        <v>0</v>
      </c>
      <c r="HH51" s="617">
        <f>'ASWING STRUCT'!HH51</f>
        <v>0</v>
      </c>
      <c r="HI51" s="617">
        <f>'ASWING STRUCT'!HI51</f>
        <v>1.4</v>
      </c>
      <c r="HJ51" s="617">
        <f>'ASWING STRUCT'!HJ51</f>
        <v>-1.4</v>
      </c>
      <c r="HK51" s="616">
        <f>'ASWING STRUCT'!HK51</f>
        <v>5.9690260418206069</v>
      </c>
    </row>
    <row r="52" spans="1:219" x14ac:dyDescent="0.25">
      <c r="A52" t="s">
        <v>890</v>
      </c>
      <c r="B52" s="664">
        <v>-3.05</v>
      </c>
      <c r="C52" s="665">
        <v>-1.56</v>
      </c>
      <c r="D52" s="665">
        <v>0.1</v>
      </c>
      <c r="E52" s="670">
        <f>'ASWING STRUCT'!E52* 3.28084</f>
        <v>22.801838</v>
      </c>
      <c r="F52" s="670">
        <f>'ASWING STRUCT'!F52* 3.28084</f>
        <v>0</v>
      </c>
      <c r="G52" s="670">
        <f>'ASWING STRUCT'!G52* 3.28084</f>
        <v>7.2178480000000009</v>
      </c>
      <c r="H52" s="671">
        <f>'ASWING STRUCT'!H52*2.20462</f>
        <v>330.69299999999998</v>
      </c>
      <c r="I52" s="667">
        <v>6</v>
      </c>
      <c r="J52" s="204">
        <f>E52</f>
        <v>22.801838</v>
      </c>
      <c r="K52" s="575">
        <v>5</v>
      </c>
      <c r="L52">
        <f>MIN(Q50:Q51)</f>
        <v>12.857253036104</v>
      </c>
      <c r="M52">
        <v>2</v>
      </c>
      <c r="N52" s="626">
        <f>R50/MAX('REF - ASWING AERO-Imperial'!R24:R50)*MAX('REF - ASWING STRUCT-Imperial'!CM50:CM95)</f>
        <v>52</v>
      </c>
      <c r="O52" s="576">
        <v>0</v>
      </c>
      <c r="P52" s="580"/>
      <c r="Q52" s="620"/>
      <c r="R52" s="2"/>
      <c r="S52" s="2"/>
      <c r="T52" s="2"/>
      <c r="U52" s="142"/>
      <c r="V52" s="620"/>
      <c r="W52" s="2"/>
      <c r="X52" s="2"/>
      <c r="Y52" s="2"/>
      <c r="Z52" s="142"/>
      <c r="AA52" s="620"/>
      <c r="AB52" s="2"/>
      <c r="AC52" s="2"/>
      <c r="AD52" s="2"/>
      <c r="AE52" s="142"/>
      <c r="AF52" s="620"/>
      <c r="AG52" s="2"/>
      <c r="AH52" s="2"/>
      <c r="AI52" s="2"/>
      <c r="AJ52" s="142"/>
      <c r="AK52" s="620"/>
      <c r="AL52" s="2"/>
      <c r="AM52" s="2"/>
      <c r="AN52" s="2"/>
      <c r="AO52" s="142"/>
      <c r="AP52" s="620"/>
      <c r="AQ52" s="2"/>
      <c r="AR52" s="2"/>
      <c r="AS52" s="2"/>
      <c r="AT52" s="142"/>
      <c r="AU52" s="594"/>
      <c r="AV52" s="574">
        <f ca="1">100*(AX52-$AX$50)/(MAX($AX$50:INDEX(($AX$50:$AX$150),$F$35+1,1))-MIN($AX$50:INDEX(($AX$50:$AX$150),$F$35+1,1)))</f>
        <v>9</v>
      </c>
      <c r="AW52" s="660">
        <f ca="1">OFFSET('Trapezoidal Wing Summary'!C$45,((ROW('Trapezoidal Wing Summary'!$A47)-ROW('Trapezoidal Wing Summary'!$A$45))*100/$F$35),0)+$F$15</f>
        <v>23.915719433281996</v>
      </c>
      <c r="AX52" s="660">
        <f ca="1">OFFSET('Trapezoidal Wing Summary'!D$45,((ROW('Trapezoidal Wing Summary'!$A47)-ROW('Trapezoidal Wing Summary'!$A$45))*100/$F$35),0)+$F$16</f>
        <v>2.1551772343199995</v>
      </c>
      <c r="AY52" s="660">
        <f ca="1">OFFSET('Trapezoidal Wing Summary'!E$45,((ROW('Trapezoidal Wing Summary'!$A47)-ROW('Trapezoidal Wing Summary'!$A$45))*100/$F$35),0)+$F$17</f>
        <v>8.1686780829199996</v>
      </c>
      <c r="AZ52" s="41">
        <f ca="1">OFFSET('Trapezoidal Wing Summary'!F$45,((ROW('Trapezoidal Wing Summary'!$A47)-ROW('Trapezoidal Wing Summary'!$A$45))*100/$F$35),0)</f>
        <v>0</v>
      </c>
      <c r="BA52" s="41">
        <f ca="1">OFFSET('Trapezoidal Wing Summary'!G$45,((ROW('Trapezoidal Wing Summary'!$A47)-ROW('Trapezoidal Wing Summary'!$A$45))*100/$F$35),0)</f>
        <v>4295451.435830663</v>
      </c>
      <c r="BB52" s="41">
        <f ca="1">OFFSET('Trapezoidal Wing Summary'!H$45,((ROW('Trapezoidal Wing Summary'!$A47)-ROW('Trapezoidal Wing Summary'!$A$45))*100/$F$35),0)</f>
        <v>10184947.779486552</v>
      </c>
      <c r="BC52" s="41">
        <f ca="1">OFFSET('Trapezoidal Wing Summary'!I$45,((ROW('Trapezoidal Wing Summary'!$A47)-ROW('Trapezoidal Wing Summary'!$A$45))*100/$F$35),0)</f>
        <v>0</v>
      </c>
      <c r="BD52" s="41">
        <f ca="1">OFFSET('Trapezoidal Wing Summary'!J$45,((ROW('Trapezoidal Wing Summary'!$A47)-ROW('Trapezoidal Wing Summary'!$A$45))*100/$F$35),0)</f>
        <v>0</v>
      </c>
      <c r="BE52" s="41">
        <f ca="1">OFFSET('Trapezoidal Wing Summary'!K$45,((ROW('Trapezoidal Wing Summary'!$A47)-ROW('Trapezoidal Wing Summary'!$A$45))*100/$F$35),0)</f>
        <v>0</v>
      </c>
      <c r="BF52" s="41">
        <f ca="1">OFFSET('Trapezoidal Wing Summary'!L$45,((ROW('Trapezoidal Wing Summary'!$A47)-ROW('Trapezoidal Wing Summary'!$A$45))*100/$F$35),0)</f>
        <v>57375541.732338823</v>
      </c>
      <c r="BG52" s="41">
        <f ca="1">OFFSET('Trapezoidal Wing Summary'!M$45,((ROW('Trapezoidal Wing Summary'!$A47)-ROW('Trapezoidal Wing Summary'!$A$45))*100/$F$35),0)</f>
        <v>0</v>
      </c>
      <c r="BH52" s="41">
        <f ca="1">OFFSET('Trapezoidal Wing Summary'!N$45,((ROW('Trapezoidal Wing Summary'!$A47)-ROW('Trapezoidal Wing Summary'!$A$45))*100/$F$35),0)</f>
        <v>0</v>
      </c>
      <c r="BI52" s="41">
        <f ca="1">OFFSET('Trapezoidal Wing Summary'!O$45,((ROW('Trapezoidal Wing Summary'!$A47)-ROW('Trapezoidal Wing Summary'!$A$45))*100/$F$35),0)</f>
        <v>0</v>
      </c>
      <c r="BJ52" s="41">
        <f ca="1">OFFSET('Trapezoidal Wing Summary'!P$45,((ROW('Trapezoidal Wing Summary'!$A47)-ROW('Trapezoidal Wing Summary'!$A$45))*100/$F$35),0)</f>
        <v>0</v>
      </c>
      <c r="BK52" s="41">
        <f ca="1">OFFSET('Trapezoidal Wing Summary'!Q$45,((ROW('Trapezoidal Wing Summary'!$A47)-ROW('Trapezoidal Wing Summary'!$A$45))*100/$F$35),0)</f>
        <v>0</v>
      </c>
      <c r="BL52" s="41">
        <f ca="1">OFFSET('Trapezoidal Wing Summary'!R$45,((ROW('Trapezoidal Wing Summary'!$A47)-ROW('Trapezoidal Wing Summary'!$A$45))*100/$F$35),0)</f>
        <v>21.849597798082851</v>
      </c>
      <c r="BM52" s="41">
        <f ca="1">OFFSET('Trapezoidal Wing Summary'!S$45,((ROW('Trapezoidal Wing Summary'!$A47)-ROW('Trapezoidal Wing Summary'!$A$45))*100/$F$35),0)</f>
        <v>0.82448555854265604</v>
      </c>
      <c r="BN52" s="41">
        <f ca="1">OFFSET('Trapezoidal Wing Summary'!T$45,((ROW('Trapezoidal Wing Summary'!$A47)-ROW('Trapezoidal Wing Summary'!$A$45))*100/$F$35),0)</f>
        <v>0</v>
      </c>
      <c r="BO52" s="41">
        <f ca="1">OFFSET('Trapezoidal Wing Summary'!U$45,((ROW('Trapezoidal Wing Summary'!$A47)-ROW('Trapezoidal Wing Summary'!$A$45))*100/$F$35),0)</f>
        <v>0</v>
      </c>
      <c r="BP52" s="41">
        <f ca="1">OFFSET('Trapezoidal Wing Summary'!V$45,((ROW('Trapezoidal Wing Summary'!$A47)-ROW('Trapezoidal Wing Summary'!$A$45))*100/$F$35),0)</f>
        <v>0</v>
      </c>
      <c r="BQ52" s="41">
        <f ca="1">OFFSET('Trapezoidal Wing Summary'!W$45,((ROW('Trapezoidal Wing Summary'!$A47)-ROW('Trapezoidal Wing Summary'!$A$45))*100/$F$35),0)</f>
        <v>0</v>
      </c>
      <c r="BR52" s="41">
        <f ca="1">OFFSET('Trapezoidal Wing Summary'!X$45,((ROW('Trapezoidal Wing Summary'!$A47)-ROW('Trapezoidal Wing Summary'!$A$45))*100/$F$35),0)</f>
        <v>0</v>
      </c>
      <c r="BS52" s="41">
        <f ca="1">OFFSET('Trapezoidal Wing Summary'!Y$45,((ROW('Trapezoidal Wing Summary'!$A47)-ROW('Trapezoidal Wing Summary'!$A$45))*100/$F$35),0)</f>
        <v>0</v>
      </c>
      <c r="BT52" s="41">
        <f ca="1">OFFSET('Trapezoidal Wing Summary'!Z$45,((ROW('Trapezoidal Wing Summary'!$A47)-ROW('Trapezoidal Wing Summary'!$A$45))*100/$F$35),0)</f>
        <v>0.43932665745292088</v>
      </c>
      <c r="BU52" s="41">
        <f ca="1">OFFSET('Trapezoidal Wing Summary'!AA$45,((ROW('Trapezoidal Wing Summary'!$A47)-ROW('Trapezoidal Wing Summary'!$A$45))*100/$F$35),0)</f>
        <v>0</v>
      </c>
      <c r="BV52" s="41">
        <f ca="1">OFFSET('Trapezoidal Wing Summary'!AB$45,((ROW('Trapezoidal Wing Summary'!$A47)-ROW('Trapezoidal Wing Summary'!$A$45))*100/$F$35),0)</f>
        <v>0</v>
      </c>
      <c r="BW52" s="41">
        <f ca="1">OFFSET('Trapezoidal Wing Summary'!AC$45,((ROW('Trapezoidal Wing Summary'!$A47)-ROW('Trapezoidal Wing Summary'!$A$45))*100/$F$35),0)</f>
        <v>0</v>
      </c>
      <c r="BX52" s="41">
        <f ca="1">OFFSET('Trapezoidal Wing Summary'!AD$45,((ROW('Trapezoidal Wing Summary'!$A47)-ROW('Trapezoidal Wing Summary'!$A$45))*100/$F$35),0)</f>
        <v>2E-3</v>
      </c>
      <c r="BY52" s="41">
        <f ca="1">OFFSET('Trapezoidal Wing Summary'!AE$45,((ROW('Trapezoidal Wing Summary'!$A47)-ROW('Trapezoidal Wing Summary'!$A$45))*100/$F$35),0)</f>
        <v>2E-3</v>
      </c>
      <c r="BZ52" s="41">
        <f ca="1">OFFSET('Trapezoidal Wing Summary'!AF$45,((ROW('Trapezoidal Wing Summary'!$A47)-ROW('Trapezoidal Wing Summary'!$A$45))*100/$F$35),0)</f>
        <v>0</v>
      </c>
      <c r="CA52" s="41">
        <f ca="1">OFFSET('Trapezoidal Wing Summary'!AG$45,((ROW('Trapezoidal Wing Summary'!$A47)-ROW('Trapezoidal Wing Summary'!$A$45))*100/$F$35),0)</f>
        <v>0.44326034883000004</v>
      </c>
      <c r="CB52" s="41">
        <f ca="1">OFFSET('Trapezoidal Wing Summary'!AH$45,((ROW('Trapezoidal Wing Summary'!$A47)-ROW('Trapezoidal Wing Summary'!$A$45))*100/$F$35),0)</f>
        <v>7.5942334873421872E-3</v>
      </c>
      <c r="CC52" s="41">
        <f ca="1">OFFSET('Trapezoidal Wing Summary'!AI$45,((ROW('Trapezoidal Wing Summary'!$A47)-ROW('Trapezoidal Wing Summary'!$A$45))*100/$F$35),0)</f>
        <v>0</v>
      </c>
      <c r="CD52" s="41">
        <f>'REF - ASWING AERO-Imperial'!$R$5</f>
        <v>5.4999999999999997E-3</v>
      </c>
      <c r="CE52" s="41">
        <f>'REF - ASWING AERO-Imperial'!$R$6</f>
        <v>5.4999999999999997E-3</v>
      </c>
      <c r="CF52" s="41">
        <f ca="1">OFFSET('Trapezoidal Wing Summary'!AL$45,((ROW('Trapezoidal Wing Summary'!$A47)-ROW('Trapezoidal Wing Summary'!$A$45))*100/$F$35),0)</f>
        <v>4.9251149870000006</v>
      </c>
      <c r="CG52" s="41">
        <f ca="1">OFFSET('Trapezoidal Wing Summary'!AM$45,((ROW('Trapezoidal Wing Summary'!$A47)-ROW('Trapezoidal Wing Summary'!$A$45))*100/$F$35),0)</f>
        <v>0.25</v>
      </c>
      <c r="CH52" s="41">
        <f ca="1">OFFSET('Trapezoidal Wing Summary'!AN$45,((ROW('Trapezoidal Wing Summary'!$A47)-ROW('Trapezoidal Wing Summary'!$A$45))*100/$F$35),0)</f>
        <v>7.85</v>
      </c>
      <c r="CI52" s="41">
        <f ca="1">OFFSET('Trapezoidal Wing Summary'!AO$45,((ROW('Trapezoidal Wing Summary'!$A47)-ROW('Trapezoidal Wing Summary'!$A$45))*100/$F$35),0)</f>
        <v>-0.15</v>
      </c>
      <c r="CJ52" s="41">
        <f ca="1">OFFSET('Trapezoidal Wing Summary'!AP$45,((ROW('Trapezoidal Wing Summary'!$A47)-ROW('Trapezoidal Wing Summary'!$A$45))*100/$F$35),0)</f>
        <v>1.85</v>
      </c>
      <c r="CK52" s="41">
        <f ca="1">OFFSET('Trapezoidal Wing Summary'!AQ$45,((ROW('Trapezoidal Wing Summary'!$A47)-ROW('Trapezoidal Wing Summary'!$A$45))*100/$F$35),0)</f>
        <v>-1.55</v>
      </c>
      <c r="CL52" s="41">
        <f ca="1">OFFSET('Trapezoidal Wing Summary'!AR$45,((ROW('Trapezoidal Wing Summary'!$A47)-ROW('Trapezoidal Wing Summary'!$A$45))*100/$F$35),0)</f>
        <v>5.9690260418206069</v>
      </c>
      <c r="CM52" s="645">
        <f>'ASWING STRUCT'!CM52</f>
        <v>9</v>
      </c>
      <c r="CN52" s="642">
        <f>'ASWING STRUCT'!CN52*3.28084</f>
        <v>10.431802827256</v>
      </c>
      <c r="CO52" s="642">
        <f>'ASWING STRUCT'!CO52*3.28084</f>
        <v>0.88582680000000003</v>
      </c>
      <c r="CP52" s="642">
        <f>'ASWING STRUCT'!CP52*3.28084</f>
        <v>12.850247130368</v>
      </c>
      <c r="CQ52" s="642">
        <f>'ASWING STRUCT'!CQ52</f>
        <v>0</v>
      </c>
      <c r="CR52" s="692">
        <f>'ASWING STRUCT'!CR52*0.224809*3.28084^2</f>
        <v>233264.49602830925</v>
      </c>
      <c r="CS52" s="692">
        <f>'ASWING STRUCT'!CS52*0.224809*3.28084^2</f>
        <v>209858.52280117787</v>
      </c>
      <c r="CT52" s="692">
        <f>'ASWING STRUCT'!CT52*0.224809*3.28084^2</f>
        <v>0</v>
      </c>
      <c r="CU52" s="692">
        <f>'ASWING STRUCT'!CU52*0.224809*3.28084^2</f>
        <v>0</v>
      </c>
      <c r="CV52" s="692">
        <f>'ASWING STRUCT'!CV52*0.224809*3.28084^2</f>
        <v>0</v>
      </c>
      <c r="CW52" s="692">
        <f>'ASWING STRUCT'!CW52*0.224809*3.28084^2</f>
        <v>3417556.2829016009</v>
      </c>
      <c r="CX52" s="642">
        <f>'ASWING STRUCT'!CX52</f>
        <v>0</v>
      </c>
      <c r="CY52" s="642">
        <f>'ASWING STRUCT'!CY52*0.224809</f>
        <v>0</v>
      </c>
      <c r="CZ52" s="642">
        <f>'ASWING STRUCT'!CZ52*0.224809</f>
        <v>0</v>
      </c>
      <c r="DA52" s="642">
        <f>'ASWING STRUCT'!DA52*2.20462*3.28084</f>
        <v>0</v>
      </c>
      <c r="DB52" s="642">
        <f>'ASWING STRUCT'!DB52*2.20462*3.28084</f>
        <v>0</v>
      </c>
      <c r="DC52" s="642">
        <f>'ASWING STRUCT'!DC52*2.20462/3.28084</f>
        <v>3.3541061531651994</v>
      </c>
      <c r="DD52" s="642">
        <f>'ASWING STRUCT'!DD52*3.28084</f>
        <v>0.37423783559416257</v>
      </c>
      <c r="DE52" s="642">
        <f>'ASWING STRUCT'!DE52*3.28084</f>
        <v>0</v>
      </c>
      <c r="DF52" s="642">
        <f>'ASWING STRUCT'!DF52*2.20462*3.28084</f>
        <v>0</v>
      </c>
      <c r="DG52" s="642">
        <f>'ASWING STRUCT'!DG52*2.20462*3.28084</f>
        <v>0</v>
      </c>
      <c r="DH52" s="642">
        <f>'ASWING STRUCT'!DH52*2.20462/3.28084</f>
        <v>0</v>
      </c>
      <c r="DI52" s="642">
        <f>'ASWING STRUCT'!DI52*3.28084</f>
        <v>0</v>
      </c>
      <c r="DJ52" s="642">
        <f>'ASWING STRUCT'!DJ52*3.28084</f>
        <v>0</v>
      </c>
      <c r="DK52" s="642">
        <f>'ASWING STRUCT'!DK52*3.28084</f>
        <v>0.18460334325583594</v>
      </c>
      <c r="DL52" s="642">
        <f>'ASWING STRUCT'!DL52*3.28084</f>
        <v>0</v>
      </c>
      <c r="DM52" s="642">
        <f>'ASWING STRUCT'!DM52*3.28084</f>
        <v>0</v>
      </c>
      <c r="DN52" s="642">
        <f>'ASWING STRUCT'!DN52*3.28084</f>
        <v>0</v>
      </c>
      <c r="DO52" s="642">
        <f>'ASWING STRUCT'!DO52</f>
        <v>2E-3</v>
      </c>
      <c r="DP52" s="642">
        <f>'ASWING STRUCT'!DP52</f>
        <v>2E-3</v>
      </c>
      <c r="DQ52" s="642">
        <f>'ASWING STRUCT'!DQ52*3.28084</f>
        <v>0</v>
      </c>
      <c r="DR52" s="642">
        <f>'ASWING STRUCT'!DR52*3.28084</f>
        <v>0.18395669879999998</v>
      </c>
      <c r="DS52" s="642">
        <f>'ASWING STRUCT'!DS52*3.28084^3</f>
        <v>1.0899740197372922E-3</v>
      </c>
      <c r="DT52" s="642">
        <f>'ASWING STRUCT'!DT52*3.28084</f>
        <v>0</v>
      </c>
      <c r="DU52" s="642">
        <f>'ASWING STRUCT'!DU52</f>
        <v>5.4999999999999997E-3</v>
      </c>
      <c r="DV52" s="642">
        <f>'ASWING STRUCT'!DV52</f>
        <v>5.4999999999999997E-3</v>
      </c>
      <c r="DW52" s="642">
        <f>'ASWING STRUCT'!DW52*3.28084</f>
        <v>2.04396332</v>
      </c>
      <c r="DX52" s="642">
        <f>'ASWING STRUCT'!DX52</f>
        <v>0.25</v>
      </c>
      <c r="DY52" s="642">
        <f>'ASWING STRUCT'!DY52</f>
        <v>5.9</v>
      </c>
      <c r="DZ52" s="642">
        <f>'ASWING STRUCT'!DZ52</f>
        <v>-0.15</v>
      </c>
      <c r="EA52" s="642">
        <f>'ASWING STRUCT'!EA52</f>
        <v>2.25</v>
      </c>
      <c r="EB52" s="642">
        <f>'ASWING STRUCT'!EB52</f>
        <v>-1.65</v>
      </c>
      <c r="EC52" s="641">
        <f>'ASWING STRUCT'!EC52</f>
        <v>5.9690260418206069</v>
      </c>
      <c r="ED52" s="697">
        <f>'ASWING STRUCT'!ED52</f>
        <v>9.0000000000000018</v>
      </c>
      <c r="EE52" s="617">
        <f>'ASWING STRUCT'!EE52*3.28084</f>
        <v>38.697507799999997</v>
      </c>
      <c r="EF52" s="617">
        <f>'ASWING STRUCT'!EF52*3.28084</f>
        <v>5.1181103999999999</v>
      </c>
      <c r="EG52" s="617">
        <f>'ASWING STRUCT'!EG52*3.28084</f>
        <v>13.20866184</v>
      </c>
      <c r="EH52" s="617">
        <f>'ASWING STRUCT'!EH52</f>
        <v>0</v>
      </c>
      <c r="EI52" s="698">
        <f>'ASWING STRUCT'!EI52*0.224809*3.28084^2</f>
        <v>958439.71998551069</v>
      </c>
      <c r="EJ52" s="698">
        <f>'ASWING STRUCT'!EJ52*0.224809*3.28084^2</f>
        <v>816342.54403303843</v>
      </c>
      <c r="EK52" s="698">
        <f>'ASWING STRUCT'!EK52*0.224809*3.28084^2</f>
        <v>0</v>
      </c>
      <c r="EL52" s="698">
        <f>'ASWING STRUCT'!EL52*0.224809*3.28084^2</f>
        <v>0</v>
      </c>
      <c r="EM52" s="698">
        <f>'ASWING STRUCT'!EM52*0.224809*3.28084^2</f>
        <v>0</v>
      </c>
      <c r="EN52" s="698">
        <f>'ASWING STRUCT'!EN52*0.224809*3.28084^2</f>
        <v>176488125.43591404</v>
      </c>
      <c r="EO52" s="617">
        <f>'ASWING STRUCT'!EO52</f>
        <v>0</v>
      </c>
      <c r="EP52" s="698">
        <f>'ASWING STRUCT'!EP52*0.224809</f>
        <v>0</v>
      </c>
      <c r="EQ52" s="698">
        <f>'ASWING STRUCT'!EQ52*0.224809</f>
        <v>0</v>
      </c>
      <c r="ER52" s="617">
        <f>'ASWING STRUCT'!ER52*2.20462*3.28084</f>
        <v>0</v>
      </c>
      <c r="ES52" s="617">
        <f>'ASWING STRUCT'!ES52*2.20462*3.28084</f>
        <v>0</v>
      </c>
      <c r="ET52" s="617">
        <f>'ASWING STRUCT'!ET52*2.20462/3.28084</f>
        <v>18.851286805702038</v>
      </c>
      <c r="EU52" s="617">
        <f>'ASWING STRUCT'!EU52*3.28084</f>
        <v>-2.8320059215675939</v>
      </c>
      <c r="EV52" s="617">
        <f>'ASWING STRUCT'!EV52*3.28084</f>
        <v>0</v>
      </c>
      <c r="EW52" s="617">
        <f>'ASWING STRUCT'!EW52*2.20462*3.28084</f>
        <v>0</v>
      </c>
      <c r="EX52" s="617">
        <f>'ASWING STRUCT'!EX52*2.20462*3.28084</f>
        <v>0</v>
      </c>
      <c r="EY52" s="617">
        <f>'ASWING STRUCT'!EY52*2.20462/3.28084</f>
        <v>0</v>
      </c>
      <c r="EZ52" s="617">
        <f>'ASWING STRUCT'!EZ52*3.28084</f>
        <v>0</v>
      </c>
      <c r="FA52" s="617">
        <f>'ASWING STRUCT'!FA52*3.28084</f>
        <v>0</v>
      </c>
      <c r="FB52" s="617">
        <f>'ASWING STRUCT'!FB52*3.28084</f>
        <v>-4.3261751585567589</v>
      </c>
      <c r="FC52" s="617">
        <f>'ASWING STRUCT'!FC52*3.28084</f>
        <v>0</v>
      </c>
      <c r="FD52" s="617">
        <f>'ASWING STRUCT'!FD52*3.28084</f>
        <v>0</v>
      </c>
      <c r="FE52" s="617">
        <f>'ASWING STRUCT'!FE52*3.28084</f>
        <v>0</v>
      </c>
      <c r="FF52" s="617">
        <f>'ASWING STRUCT'!FF52</f>
        <v>2E-3</v>
      </c>
      <c r="FG52" s="617">
        <f>'ASWING STRUCT'!FG52</f>
        <v>2E-3</v>
      </c>
      <c r="FH52" s="617">
        <f>'ASWING STRUCT'!FH52*3.28084</f>
        <v>-4.5669292800000001</v>
      </c>
      <c r="FI52" s="617">
        <f>'ASWING STRUCT'!FI52*3.28084</f>
        <v>0.68503939199999997</v>
      </c>
      <c r="FJ52" s="617">
        <f>'ASWING STRUCT'!FJ52*3.28084^3</f>
        <v>1.5115273952304517E-2</v>
      </c>
      <c r="FK52" s="617">
        <f>'ASWING STRUCT'!FK52*3.28084</f>
        <v>0</v>
      </c>
      <c r="FL52" s="617">
        <f>'ASWING STRUCT'!FL52</f>
        <v>5.4999999999999997E-3</v>
      </c>
      <c r="FM52" s="617">
        <f>'ASWING STRUCT'!FM52</f>
        <v>5.4999999999999997E-3</v>
      </c>
      <c r="FN52" s="617">
        <f>'ASWING STRUCT'!FN52*3.28084</f>
        <v>7.6115487999999996</v>
      </c>
      <c r="FO52" s="617">
        <f>'ASWING STRUCT'!FO52</f>
        <v>0.85</v>
      </c>
      <c r="FP52" s="617">
        <f>'ASWING STRUCT'!FP52</f>
        <v>0</v>
      </c>
      <c r="FQ52" s="617">
        <f>'ASWING STRUCT'!FQ52</f>
        <v>0</v>
      </c>
      <c r="FR52" s="617">
        <f>'ASWING STRUCT'!FR52</f>
        <v>1.4</v>
      </c>
      <c r="FS52" s="617">
        <f>'ASWING STRUCT'!FS52</f>
        <v>-1.4</v>
      </c>
      <c r="FT52" s="616">
        <f>'ASWING STRUCT'!FT52</f>
        <v>5.9690260418206069</v>
      </c>
      <c r="FU52" s="697">
        <f>'ASWING STRUCT'!FU52</f>
        <v>9.0000000000000018</v>
      </c>
      <c r="FV52" s="617">
        <f>'ASWING STRUCT'!FV52*3.28084</f>
        <v>38.697507799999997</v>
      </c>
      <c r="FW52" s="617">
        <f>'ASWING STRUCT'!FW52*3.28084</f>
        <v>-5.1181103999999999</v>
      </c>
      <c r="FX52" s="617">
        <f>'ASWING STRUCT'!FX52*3.28084</f>
        <v>13.20866184</v>
      </c>
      <c r="FY52" s="617">
        <f>'ASWING STRUCT'!FY52</f>
        <v>0</v>
      </c>
      <c r="FZ52" s="698">
        <f>'ASWING STRUCT'!FZ52*0.224809*3.28084^2</f>
        <v>958439.71998551069</v>
      </c>
      <c r="GA52" s="698">
        <f>'ASWING STRUCT'!GA52*0.224809*3.28084^2</f>
        <v>816342.54403303843</v>
      </c>
      <c r="GB52" s="698">
        <f>'ASWING STRUCT'!GB52*0.224809*3.28084^2</f>
        <v>0</v>
      </c>
      <c r="GC52" s="698">
        <f>'ASWING STRUCT'!GC52*0.224809*3.28084^2</f>
        <v>0</v>
      </c>
      <c r="GD52" s="698">
        <f>'ASWING STRUCT'!GD52*0.224809*3.28084^2</f>
        <v>0</v>
      </c>
      <c r="GE52" s="698">
        <f>'ASWING STRUCT'!GE52*0.224809*3.28084^2</f>
        <v>176488125.43591404</v>
      </c>
      <c r="GF52" s="617">
        <f>'ASWING STRUCT'!GF52</f>
        <v>0</v>
      </c>
      <c r="GG52" s="698">
        <f>'ASWING STRUCT'!GG52*0.224809</f>
        <v>0</v>
      </c>
      <c r="GH52" s="698">
        <f>'ASWING STRUCT'!GH52*0.224809</f>
        <v>0</v>
      </c>
      <c r="GI52" s="617">
        <f>'ASWING STRUCT'!GI52*2.20462*3.28084</f>
        <v>0</v>
      </c>
      <c r="GJ52" s="617">
        <f>'ASWING STRUCT'!GJ52*2.20462*3.28084</f>
        <v>0</v>
      </c>
      <c r="GK52" s="617">
        <f>'ASWING STRUCT'!GK52*2.20462/3.28084</f>
        <v>18.851286805702038</v>
      </c>
      <c r="GL52" s="617">
        <f>'ASWING STRUCT'!GL52*3.28084</f>
        <v>-2.8320059215675939</v>
      </c>
      <c r="GM52" s="617">
        <f>'ASWING STRUCT'!GM52*3.28084</f>
        <v>0</v>
      </c>
      <c r="GN52" s="617">
        <f>'ASWING STRUCT'!GN52*2.20462*3.28084</f>
        <v>0</v>
      </c>
      <c r="GO52" s="617">
        <f>'ASWING STRUCT'!GO52*2.20462*3.28084</f>
        <v>0</v>
      </c>
      <c r="GP52" s="617">
        <f>'ASWING STRUCT'!GP52*2.20462/3.28084</f>
        <v>0</v>
      </c>
      <c r="GQ52" s="617">
        <f>'ASWING STRUCT'!GQ52*3.28084</f>
        <v>0</v>
      </c>
      <c r="GR52" s="617">
        <f>'ASWING STRUCT'!GR52*3.28084</f>
        <v>0</v>
      </c>
      <c r="GS52" s="617">
        <f>'ASWING STRUCT'!GS52*3.28084</f>
        <v>-4.3261751585567589</v>
      </c>
      <c r="GT52" s="617">
        <f>'ASWING STRUCT'!GT52*3.28084</f>
        <v>0</v>
      </c>
      <c r="GU52" s="617">
        <f>'ASWING STRUCT'!GU52*3.28084</f>
        <v>0</v>
      </c>
      <c r="GV52" s="617">
        <f>'ASWING STRUCT'!GV52*3.28084</f>
        <v>0</v>
      </c>
      <c r="GW52" s="617">
        <f>'ASWING STRUCT'!GW52</f>
        <v>2E-3</v>
      </c>
      <c r="GX52" s="617">
        <f>'ASWING STRUCT'!GX52</f>
        <v>2E-3</v>
      </c>
      <c r="GY52" s="617">
        <f>'ASWING STRUCT'!GY52*3.28084</f>
        <v>-4.5669292800000001</v>
      </c>
      <c r="GZ52" s="617">
        <f>'ASWING STRUCT'!GZ52*3.28084</f>
        <v>0.68503939199999997</v>
      </c>
      <c r="HA52" s="617">
        <f>'ASWING STRUCT'!HA52*3.28084^3</f>
        <v>1.5115273952304517E-2</v>
      </c>
      <c r="HB52" s="617">
        <f>'ASWING STRUCT'!HB52*3.28084</f>
        <v>0</v>
      </c>
      <c r="HC52" s="617">
        <f>'ASWING STRUCT'!HC52</f>
        <v>5.4999999999999997E-3</v>
      </c>
      <c r="HD52" s="617">
        <f>'ASWING STRUCT'!HD52</f>
        <v>5.4999999999999997E-3</v>
      </c>
      <c r="HE52" s="617">
        <f>'ASWING STRUCT'!HE52*3.28084</f>
        <v>7.6115487999999996</v>
      </c>
      <c r="HF52" s="617">
        <f>'ASWING STRUCT'!HF52</f>
        <v>0.85</v>
      </c>
      <c r="HG52" s="617">
        <f>'ASWING STRUCT'!HG52</f>
        <v>0</v>
      </c>
      <c r="HH52" s="617">
        <f>'ASWING STRUCT'!HH52</f>
        <v>0</v>
      </c>
      <c r="HI52" s="617">
        <f>'ASWING STRUCT'!HI52</f>
        <v>1.4</v>
      </c>
      <c r="HJ52" s="617">
        <f>'ASWING STRUCT'!HJ52</f>
        <v>-1.4</v>
      </c>
      <c r="HK52" s="616">
        <f>'ASWING STRUCT'!HK52</f>
        <v>5.9690260418206069</v>
      </c>
    </row>
    <row r="53" spans="1:219" x14ac:dyDescent="0.25">
      <c r="A53" t="s">
        <v>891</v>
      </c>
      <c r="B53" s="664">
        <v>-3.05</v>
      </c>
      <c r="C53" s="665">
        <v>1.56</v>
      </c>
      <c r="D53" s="665">
        <v>0.1</v>
      </c>
      <c r="E53" s="670">
        <f>'ASWING STRUCT'!E53* 3.28084</f>
        <v>25.098426</v>
      </c>
      <c r="F53" s="670">
        <f>'ASWING STRUCT'!F53* 3.28084</f>
        <v>0</v>
      </c>
      <c r="G53" s="670">
        <f>'ASWING STRUCT'!G53* 3.28084</f>
        <v>7.2178480000000009</v>
      </c>
      <c r="H53" s="671">
        <f>'ASWING STRUCT'!H53*2.20462</f>
        <v>330.69299999999998</v>
      </c>
      <c r="I53" s="668">
        <v>5</v>
      </c>
      <c r="J53" s="204">
        <f>E53</f>
        <v>25.098426</v>
      </c>
      <c r="K53" s="575">
        <v>6</v>
      </c>
      <c r="L53">
        <f>MIN(V50:V51)</f>
        <v>12.857253036104</v>
      </c>
      <c r="M53">
        <v>2</v>
      </c>
      <c r="N53" s="626">
        <f>W50/MAX('REF - ASWING AERO-Imperial'!R24:R50)*MAX('REF - ASWING STRUCT-Imperial'!CM50:CM95)</f>
        <v>-52</v>
      </c>
      <c r="O53" s="576">
        <v>0</v>
      </c>
      <c r="P53" s="580"/>
      <c r="Q53" s="575"/>
      <c r="AU53" s="594"/>
      <c r="AV53" s="574">
        <f ca="1">100*(AX53-$AX$50)/(MAX($AX$50:INDEX(($AX$50:$AX$150),$F$35+1,1))-MIN($AX$50:INDEX(($AX$50:$AX$150),$F$35+1,1)))</f>
        <v>14.000000000000002</v>
      </c>
      <c r="AW53" s="660">
        <f ca="1">OFFSET('Trapezoidal Wing Summary'!C$45,((ROW('Trapezoidal Wing Summary'!$A48)-ROW('Trapezoidal Wing Summary'!$A$45))*100/$F$35),0)+$F$15</f>
        <v>23.937967629531997</v>
      </c>
      <c r="AX53" s="660">
        <f ca="1">OFFSET('Trapezoidal Wing Summary'!D$45,((ROW('Trapezoidal Wing Summary'!$A48)-ROW('Trapezoidal Wing Summary'!$A$45))*100/$F$35),0)+$F$16</f>
        <v>3.35924551432</v>
      </c>
      <c r="AY53" s="660">
        <f ca="1">OFFSET('Trapezoidal Wing Summary'!E$45,((ROW('Trapezoidal Wing Summary'!$A48)-ROW('Trapezoidal Wing Summary'!$A$45))*100/$F$35),0)+$F$17</f>
        <v>8.1686780829199996</v>
      </c>
      <c r="AZ53" s="41">
        <f ca="1">OFFSET('Trapezoidal Wing Summary'!F$45,((ROW('Trapezoidal Wing Summary'!$A48)-ROW('Trapezoidal Wing Summary'!$A$45))*100/$F$35),0)</f>
        <v>0</v>
      </c>
      <c r="BA53" s="41">
        <f ca="1">OFFSET('Trapezoidal Wing Summary'!G$45,((ROW('Trapezoidal Wing Summary'!$A48)-ROW('Trapezoidal Wing Summary'!$A$45))*100/$F$35),0)</f>
        <v>3466615.9963679258</v>
      </c>
      <c r="BB53" s="41">
        <f ca="1">OFFSET('Trapezoidal Wing Summary'!H$45,((ROW('Trapezoidal Wing Summary'!$A48)-ROW('Trapezoidal Wing Summary'!$A$45))*100/$F$35),0)</f>
        <v>8036345.7013770342</v>
      </c>
      <c r="BC53" s="41">
        <f ca="1">OFFSET('Trapezoidal Wing Summary'!I$45,((ROW('Trapezoidal Wing Summary'!$A48)-ROW('Trapezoidal Wing Summary'!$A$45))*100/$F$35),0)</f>
        <v>0</v>
      </c>
      <c r="BD53" s="41">
        <f ca="1">OFFSET('Trapezoidal Wing Summary'!J$45,((ROW('Trapezoidal Wing Summary'!$A48)-ROW('Trapezoidal Wing Summary'!$A$45))*100/$F$35),0)</f>
        <v>0</v>
      </c>
      <c r="BE53" s="41">
        <f ca="1">OFFSET('Trapezoidal Wing Summary'!K$45,((ROW('Trapezoidal Wing Summary'!$A48)-ROW('Trapezoidal Wing Summary'!$A$45))*100/$F$35),0)</f>
        <v>0</v>
      </c>
      <c r="BF53" s="41">
        <f ca="1">OFFSET('Trapezoidal Wing Summary'!L$45,((ROW('Trapezoidal Wing Summary'!$A48)-ROW('Trapezoidal Wing Summary'!$A$45))*100/$F$35),0)</f>
        <v>54321214.942240201</v>
      </c>
      <c r="BG53" s="41">
        <f ca="1">OFFSET('Trapezoidal Wing Summary'!M$45,((ROW('Trapezoidal Wing Summary'!$A48)-ROW('Trapezoidal Wing Summary'!$A$45))*100/$F$35),0)</f>
        <v>0</v>
      </c>
      <c r="BH53" s="41">
        <f ca="1">OFFSET('Trapezoidal Wing Summary'!N$45,((ROW('Trapezoidal Wing Summary'!$A48)-ROW('Trapezoidal Wing Summary'!$A$45))*100/$F$35),0)</f>
        <v>0</v>
      </c>
      <c r="BI53" s="41">
        <f ca="1">OFFSET('Trapezoidal Wing Summary'!O$45,((ROW('Trapezoidal Wing Summary'!$A48)-ROW('Trapezoidal Wing Summary'!$A$45))*100/$F$35),0)</f>
        <v>0</v>
      </c>
      <c r="BJ53" s="41">
        <f ca="1">OFFSET('Trapezoidal Wing Summary'!P$45,((ROW('Trapezoidal Wing Summary'!$A48)-ROW('Trapezoidal Wing Summary'!$A$45))*100/$F$35),0)</f>
        <v>0</v>
      </c>
      <c r="BK53" s="41">
        <f ca="1">OFFSET('Trapezoidal Wing Summary'!Q$45,((ROW('Trapezoidal Wing Summary'!$A48)-ROW('Trapezoidal Wing Summary'!$A$45))*100/$F$35),0)</f>
        <v>0</v>
      </c>
      <c r="BL53" s="41">
        <f ca="1">OFFSET('Trapezoidal Wing Summary'!R$45,((ROW('Trapezoidal Wing Summary'!$A48)-ROW('Trapezoidal Wing Summary'!$A$45))*100/$F$35),0)</f>
        <v>20.470430846053198</v>
      </c>
      <c r="BM53" s="41">
        <f ca="1">OFFSET('Trapezoidal Wing Summary'!S$45,((ROW('Trapezoidal Wing Summary'!$A48)-ROW('Trapezoidal Wing Summary'!$A$45))*100/$F$35),0)</f>
        <v>0.84787837547446543</v>
      </c>
      <c r="BN53" s="41">
        <f ca="1">OFFSET('Trapezoidal Wing Summary'!T$45,((ROW('Trapezoidal Wing Summary'!$A48)-ROW('Trapezoidal Wing Summary'!$A$45))*100/$F$35),0)</f>
        <v>0</v>
      </c>
      <c r="BO53" s="41">
        <f ca="1">OFFSET('Trapezoidal Wing Summary'!U$45,((ROW('Trapezoidal Wing Summary'!$A48)-ROW('Trapezoidal Wing Summary'!$A$45))*100/$F$35),0)</f>
        <v>0</v>
      </c>
      <c r="BP53" s="41">
        <f ca="1">OFFSET('Trapezoidal Wing Summary'!V$45,((ROW('Trapezoidal Wing Summary'!$A48)-ROW('Trapezoidal Wing Summary'!$A$45))*100/$F$35),0)</f>
        <v>0</v>
      </c>
      <c r="BQ53" s="41">
        <f ca="1">OFFSET('Trapezoidal Wing Summary'!W$45,((ROW('Trapezoidal Wing Summary'!$A48)-ROW('Trapezoidal Wing Summary'!$A$45))*100/$F$35),0)</f>
        <v>0</v>
      </c>
      <c r="BR53" s="41">
        <f ca="1">OFFSET('Trapezoidal Wing Summary'!X$45,((ROW('Trapezoidal Wing Summary'!$A48)-ROW('Trapezoidal Wing Summary'!$A$45))*100/$F$35),0)</f>
        <v>0</v>
      </c>
      <c r="BS53" s="41">
        <f ca="1">OFFSET('Trapezoidal Wing Summary'!Y$45,((ROW('Trapezoidal Wing Summary'!$A48)-ROW('Trapezoidal Wing Summary'!$A$45))*100/$F$35),0)</f>
        <v>0</v>
      </c>
      <c r="BT53" s="41">
        <f ca="1">OFFSET('Trapezoidal Wing Summary'!Z$45,((ROW('Trapezoidal Wing Summary'!$A48)-ROW('Trapezoidal Wing Summary'!$A$45))*100/$F$35),0)</f>
        <v>0.43150188613580576</v>
      </c>
      <c r="BU53" s="41">
        <f ca="1">OFFSET('Trapezoidal Wing Summary'!AA$45,((ROW('Trapezoidal Wing Summary'!$A48)-ROW('Trapezoidal Wing Summary'!$A$45))*100/$F$35),0)</f>
        <v>0</v>
      </c>
      <c r="BV53" s="41">
        <f ca="1">OFFSET('Trapezoidal Wing Summary'!AB$45,((ROW('Trapezoidal Wing Summary'!$A48)-ROW('Trapezoidal Wing Summary'!$A$45))*100/$F$35),0)</f>
        <v>0</v>
      </c>
      <c r="BW53" s="41">
        <f ca="1">OFFSET('Trapezoidal Wing Summary'!AC$45,((ROW('Trapezoidal Wing Summary'!$A48)-ROW('Trapezoidal Wing Summary'!$A$45))*100/$F$35),0)</f>
        <v>0</v>
      </c>
      <c r="BX53" s="41">
        <f ca="1">OFFSET('Trapezoidal Wing Summary'!AD$45,((ROW('Trapezoidal Wing Summary'!$A48)-ROW('Trapezoidal Wing Summary'!$A$45))*100/$F$35),0)</f>
        <v>2E-3</v>
      </c>
      <c r="BY53" s="41">
        <f ca="1">OFFSET('Trapezoidal Wing Summary'!AE$45,((ROW('Trapezoidal Wing Summary'!$A48)-ROW('Trapezoidal Wing Summary'!$A$45))*100/$F$35),0)</f>
        <v>2E-3</v>
      </c>
      <c r="BZ53" s="41">
        <f ca="1">OFFSET('Trapezoidal Wing Summary'!AF$45,((ROW('Trapezoidal Wing Summary'!$A48)-ROW('Trapezoidal Wing Summary'!$A$45))*100/$F$35),0)</f>
        <v>0</v>
      </c>
      <c r="CA53" s="41">
        <f ca="1">OFFSET('Trapezoidal Wing Summary'!AG$45,((ROW('Trapezoidal Wing Summary'!$A48)-ROW('Trapezoidal Wing Summary'!$A$45))*100/$F$35),0)</f>
        <v>0.43525099818000001</v>
      </c>
      <c r="CB53" s="41">
        <f ca="1">OFFSET('Trapezoidal Wing Summary'!AH$45,((ROW('Trapezoidal Wing Summary'!$A48)-ROW('Trapezoidal Wing Summary'!$A$45))*100/$F$35),0)</f>
        <v>7.3222698377153539E-3</v>
      </c>
      <c r="CC53" s="41">
        <f ca="1">OFFSET('Trapezoidal Wing Summary'!AI$45,((ROW('Trapezoidal Wing Summary'!$A48)-ROW('Trapezoidal Wing Summary'!$A$45))*100/$F$35),0)</f>
        <v>0</v>
      </c>
      <c r="CD53" s="41">
        <f>'REF - ASWING AERO-Imperial'!$R$5</f>
        <v>5.4999999999999997E-3</v>
      </c>
      <c r="CE53" s="41">
        <f>'REF - ASWING AERO-Imperial'!$R$6</f>
        <v>5.4999999999999997E-3</v>
      </c>
      <c r="CF53" s="41">
        <f ca="1">OFFSET('Trapezoidal Wing Summary'!AL$45,((ROW('Trapezoidal Wing Summary'!$A48)-ROW('Trapezoidal Wing Summary'!$A$45))*100/$F$35),0)</f>
        <v>4.8361222020000003</v>
      </c>
      <c r="CG53" s="41">
        <f ca="1">OFFSET('Trapezoidal Wing Summary'!AM$45,((ROW('Trapezoidal Wing Summary'!$A48)-ROW('Trapezoidal Wing Summary'!$A$45))*100/$F$35),0)</f>
        <v>0.25</v>
      </c>
      <c r="CH53" s="41">
        <f ca="1">OFFSET('Trapezoidal Wing Summary'!AN$45,((ROW('Trapezoidal Wing Summary'!$A48)-ROW('Trapezoidal Wing Summary'!$A$45))*100/$F$35),0)</f>
        <v>6.85</v>
      </c>
      <c r="CI53" s="41">
        <f ca="1">OFFSET('Trapezoidal Wing Summary'!AO$45,((ROW('Trapezoidal Wing Summary'!$A48)-ROW('Trapezoidal Wing Summary'!$A$45))*100/$F$35),0)</f>
        <v>-0.15</v>
      </c>
      <c r="CJ53" s="41">
        <f ca="1">OFFSET('Trapezoidal Wing Summary'!AP$45,((ROW('Trapezoidal Wing Summary'!$A48)-ROW('Trapezoidal Wing Summary'!$A$45))*100/$F$35),0)</f>
        <v>1.85</v>
      </c>
      <c r="CK53" s="41">
        <f ca="1">OFFSET('Trapezoidal Wing Summary'!AQ$45,((ROW('Trapezoidal Wing Summary'!$A48)-ROW('Trapezoidal Wing Summary'!$A$45))*100/$F$35),0)</f>
        <v>-1.55</v>
      </c>
      <c r="CL53" s="41">
        <f ca="1">OFFSET('Trapezoidal Wing Summary'!AR$45,((ROW('Trapezoidal Wing Summary'!$A48)-ROW('Trapezoidal Wing Summary'!$A$45))*100/$F$35),0)</f>
        <v>5.9690260418206069</v>
      </c>
      <c r="CM53" s="645">
        <f>'ASWING STRUCT'!CM53</f>
        <v>14.000000000000002</v>
      </c>
      <c r="CN53" s="642">
        <f>'ASWING STRUCT'!CN53*3.28084</f>
        <v>10.444105977255999</v>
      </c>
      <c r="CO53" s="642">
        <f>'ASWING STRUCT'!CO53*3.28084</f>
        <v>1.3779528000000001</v>
      </c>
      <c r="CP53" s="642">
        <f>'ASWING STRUCT'!CP53*3.28084</f>
        <v>12.850247130368</v>
      </c>
      <c r="CQ53" s="642">
        <f>'ASWING STRUCT'!CQ53</f>
        <v>0</v>
      </c>
      <c r="CR53" s="692">
        <f>'ASWING STRUCT'!CR53*0.224809*3.28084^2</f>
        <v>185486.30379421081</v>
      </c>
      <c r="CS53" s="692">
        <f>'ASWING STRUCT'!CS53*0.224809*3.28084^2</f>
        <v>164851.93641642557</v>
      </c>
      <c r="CT53" s="692">
        <f>'ASWING STRUCT'!CT53*0.224809*3.28084^2</f>
        <v>0</v>
      </c>
      <c r="CU53" s="692">
        <f>'ASWING STRUCT'!CU53*0.224809*3.28084^2</f>
        <v>0</v>
      </c>
      <c r="CV53" s="692">
        <f>'ASWING STRUCT'!CV53*0.224809*3.28084^2</f>
        <v>0</v>
      </c>
      <c r="CW53" s="692">
        <f>'ASWING STRUCT'!CW53*0.224809*3.28084^2</f>
        <v>3176598.1119092964</v>
      </c>
      <c r="CX53" s="642">
        <f>'ASWING STRUCT'!CX53</f>
        <v>0</v>
      </c>
      <c r="CY53" s="642">
        <f>'ASWING STRUCT'!CY53*0.224809</f>
        <v>0</v>
      </c>
      <c r="CZ53" s="642">
        <f>'ASWING STRUCT'!CZ53*0.224809</f>
        <v>0</v>
      </c>
      <c r="DA53" s="642">
        <f>'ASWING STRUCT'!DA53*2.20462*3.28084</f>
        <v>0</v>
      </c>
      <c r="DB53" s="642">
        <f>'ASWING STRUCT'!DB53*2.20462*3.28084</f>
        <v>0</v>
      </c>
      <c r="DC53" s="642">
        <f>'ASWING STRUCT'!DC53*2.20462/3.28084</f>
        <v>3.1711164260040423</v>
      </c>
      <c r="DD53" s="642">
        <f>'ASWING STRUCT'!DD53*3.28084</f>
        <v>0.37680725191727116</v>
      </c>
      <c r="DE53" s="642">
        <f>'ASWING STRUCT'!DE53*3.28084</f>
        <v>0</v>
      </c>
      <c r="DF53" s="642">
        <f>'ASWING STRUCT'!DF53*2.20462*3.28084</f>
        <v>0</v>
      </c>
      <c r="DG53" s="642">
        <f>'ASWING STRUCT'!DG53*2.20462*3.28084</f>
        <v>0</v>
      </c>
      <c r="DH53" s="642">
        <f>'ASWING STRUCT'!DH53*2.20462/3.28084</f>
        <v>0</v>
      </c>
      <c r="DI53" s="642">
        <f>'ASWING STRUCT'!DI53*3.28084</f>
        <v>0</v>
      </c>
      <c r="DJ53" s="642">
        <f>'ASWING STRUCT'!DJ53*3.28084</f>
        <v>0</v>
      </c>
      <c r="DK53" s="642">
        <f>'ASWING STRUCT'!DK53*3.28084</f>
        <v>0.18057636245191655</v>
      </c>
      <c r="DL53" s="642">
        <f>'ASWING STRUCT'!DL53*3.28084</f>
        <v>0</v>
      </c>
      <c r="DM53" s="642">
        <f>'ASWING STRUCT'!DM53*3.28084</f>
        <v>0</v>
      </c>
      <c r="DN53" s="642">
        <f>'ASWING STRUCT'!DN53*3.28084</f>
        <v>0</v>
      </c>
      <c r="DO53" s="642">
        <f>'ASWING STRUCT'!DO53</f>
        <v>2E-3</v>
      </c>
      <c r="DP53" s="642">
        <f>'ASWING STRUCT'!DP53</f>
        <v>2E-3</v>
      </c>
      <c r="DQ53" s="642">
        <f>'ASWING STRUCT'!DQ53*3.28084</f>
        <v>0</v>
      </c>
      <c r="DR53" s="642">
        <f>'ASWING STRUCT'!DR53*3.28084</f>
        <v>0.17952756479999998</v>
      </c>
      <c r="DS53" s="642">
        <f>'ASWING STRUCT'!DS53*3.28084^3</f>
        <v>1.0381191718015564E-3</v>
      </c>
      <c r="DT53" s="642">
        <f>'ASWING STRUCT'!DT53*3.28084</f>
        <v>0</v>
      </c>
      <c r="DU53" s="642">
        <f>'ASWING STRUCT'!DU53</f>
        <v>5.4999999999999997E-3</v>
      </c>
      <c r="DV53" s="642">
        <f>'ASWING STRUCT'!DV53</f>
        <v>5.4999999999999997E-3</v>
      </c>
      <c r="DW53" s="642">
        <f>'ASWING STRUCT'!DW53*3.28084</f>
        <v>1.9947507199999999</v>
      </c>
      <c r="DX53" s="642">
        <f>'ASWING STRUCT'!DX53</f>
        <v>0.25</v>
      </c>
      <c r="DY53" s="642">
        <f>'ASWING STRUCT'!DY53</f>
        <v>5.9</v>
      </c>
      <c r="DZ53" s="642">
        <f>'ASWING STRUCT'!DZ53</f>
        <v>-0.15</v>
      </c>
      <c r="EA53" s="642">
        <f>'ASWING STRUCT'!EA53</f>
        <v>2.25</v>
      </c>
      <c r="EB53" s="642">
        <f>'ASWING STRUCT'!EB53</f>
        <v>-1.65</v>
      </c>
      <c r="EC53" s="641">
        <f>'ASWING STRUCT'!EC53</f>
        <v>5.9690260418206069</v>
      </c>
      <c r="ED53" s="697">
        <f>'ASWING STRUCT'!ED53</f>
        <v>14.000000000000002</v>
      </c>
      <c r="EE53" s="617">
        <f>'ASWING STRUCT'!EE53*3.28084</f>
        <v>38.779528800000001</v>
      </c>
      <c r="EF53" s="617">
        <f>'ASWING STRUCT'!EF53*3.28084</f>
        <v>5.1181103999999999</v>
      </c>
      <c r="EG53" s="617">
        <f>'ASWING STRUCT'!EG53*3.28084</f>
        <v>13.438320640000001</v>
      </c>
      <c r="EH53" s="617">
        <f>'ASWING STRUCT'!EH53</f>
        <v>0</v>
      </c>
      <c r="EI53" s="698">
        <f>'ASWING STRUCT'!EI53*0.224809*3.28084^2</f>
        <v>723099.29191879835</v>
      </c>
      <c r="EJ53" s="698">
        <f>'ASWING STRUCT'!EJ53*0.224809*3.28084^2</f>
        <v>627934.80138278927</v>
      </c>
      <c r="EK53" s="698">
        <f>'ASWING STRUCT'!EK53*0.224809*3.28084^2</f>
        <v>0</v>
      </c>
      <c r="EL53" s="698">
        <f>'ASWING STRUCT'!EL53*0.224809*3.28084^2</f>
        <v>0</v>
      </c>
      <c r="EM53" s="698">
        <f>'ASWING STRUCT'!EM53*0.224809*3.28084^2</f>
        <v>0</v>
      </c>
      <c r="EN53" s="698">
        <f>'ASWING STRUCT'!EN53*0.224809*3.28084^2</f>
        <v>154635947.22393078</v>
      </c>
      <c r="EO53" s="617">
        <f>'ASWING STRUCT'!EO53</f>
        <v>0</v>
      </c>
      <c r="EP53" s="698">
        <f>'ASWING STRUCT'!EP53*0.224809</f>
        <v>0</v>
      </c>
      <c r="EQ53" s="698">
        <f>'ASWING STRUCT'!EQ53*0.224809</f>
        <v>0</v>
      </c>
      <c r="ER53" s="617">
        <f>'ASWING STRUCT'!ER53*2.20462*3.28084</f>
        <v>0</v>
      </c>
      <c r="ES53" s="617">
        <f>'ASWING STRUCT'!ES53*2.20462*3.28084</f>
        <v>0</v>
      </c>
      <c r="ET53" s="617">
        <f>'ASWING STRUCT'!ET53*2.20462/3.28084</f>
        <v>18.023466024543225</v>
      </c>
      <c r="EU53" s="617">
        <f>'ASWING STRUCT'!EU53*3.28084</f>
        <v>-2.710590815249911</v>
      </c>
      <c r="EV53" s="617">
        <f>'ASWING STRUCT'!EV53*3.28084</f>
        <v>0</v>
      </c>
      <c r="EW53" s="617">
        <f>'ASWING STRUCT'!EW53*2.20462*3.28084</f>
        <v>0</v>
      </c>
      <c r="EX53" s="617">
        <f>'ASWING STRUCT'!EX53*2.20462*3.28084</f>
        <v>0</v>
      </c>
      <c r="EY53" s="617">
        <f>'ASWING STRUCT'!EY53*2.20462/3.28084</f>
        <v>0</v>
      </c>
      <c r="EZ53" s="617">
        <f>'ASWING STRUCT'!EZ53*3.28084</f>
        <v>0</v>
      </c>
      <c r="FA53" s="617">
        <f>'ASWING STRUCT'!FA53*3.28084</f>
        <v>0</v>
      </c>
      <c r="FB53" s="617">
        <f>'ASWING STRUCT'!FB53*3.28084</f>
        <v>-3.9858024246063599</v>
      </c>
      <c r="FC53" s="617">
        <f>'ASWING STRUCT'!FC53*3.28084</f>
        <v>0</v>
      </c>
      <c r="FD53" s="617">
        <f>'ASWING STRUCT'!FD53*3.28084</f>
        <v>0</v>
      </c>
      <c r="FE53" s="617">
        <f>'ASWING STRUCT'!FE53*3.28084</f>
        <v>0</v>
      </c>
      <c r="FF53" s="617">
        <f>'ASWING STRUCT'!FF53</f>
        <v>2E-3</v>
      </c>
      <c r="FG53" s="617">
        <f>'ASWING STRUCT'!FG53</f>
        <v>2E-3</v>
      </c>
      <c r="FH53" s="617">
        <f>'ASWING STRUCT'!FH53*3.28084</f>
        <v>-4.3700788799999994</v>
      </c>
      <c r="FI53" s="617">
        <f>'ASWING STRUCT'!FI53*3.28084</f>
        <v>0.65551183199999996</v>
      </c>
      <c r="FJ53" s="617">
        <f>'ASWING STRUCT'!FJ53*3.28084^3</f>
        <v>1.3840315871458383E-2</v>
      </c>
      <c r="FK53" s="617">
        <f>'ASWING STRUCT'!FK53*3.28084</f>
        <v>0</v>
      </c>
      <c r="FL53" s="617">
        <f>'ASWING STRUCT'!FL53</f>
        <v>5.4999999999999997E-3</v>
      </c>
      <c r="FM53" s="617">
        <f>'ASWING STRUCT'!FM53</f>
        <v>5.4999999999999997E-3</v>
      </c>
      <c r="FN53" s="617">
        <f>'ASWING STRUCT'!FN53*3.28084</f>
        <v>7.2834648000000008</v>
      </c>
      <c r="FO53" s="617">
        <f>'ASWING STRUCT'!FO53</f>
        <v>0.85</v>
      </c>
      <c r="FP53" s="617">
        <f>'ASWING STRUCT'!FP53</f>
        <v>0</v>
      </c>
      <c r="FQ53" s="617">
        <f>'ASWING STRUCT'!FQ53</f>
        <v>0</v>
      </c>
      <c r="FR53" s="617">
        <f>'ASWING STRUCT'!FR53</f>
        <v>1.4</v>
      </c>
      <c r="FS53" s="617">
        <f>'ASWING STRUCT'!FS53</f>
        <v>-1.4</v>
      </c>
      <c r="FT53" s="616">
        <f>'ASWING STRUCT'!FT53</f>
        <v>5.9690260418206069</v>
      </c>
      <c r="FU53" s="697">
        <f>'ASWING STRUCT'!FU53</f>
        <v>14.000000000000002</v>
      </c>
      <c r="FV53" s="617">
        <f>'ASWING STRUCT'!FV53*3.28084</f>
        <v>38.779528800000001</v>
      </c>
      <c r="FW53" s="617">
        <f>'ASWING STRUCT'!FW53*3.28084</f>
        <v>-5.1181103999999999</v>
      </c>
      <c r="FX53" s="617">
        <f>'ASWING STRUCT'!FX53*3.28084</f>
        <v>13.438320640000001</v>
      </c>
      <c r="FY53" s="617">
        <f>'ASWING STRUCT'!FY53</f>
        <v>0</v>
      </c>
      <c r="FZ53" s="698">
        <f>'ASWING STRUCT'!FZ53*0.224809*3.28084^2</f>
        <v>723099.29191879835</v>
      </c>
      <c r="GA53" s="698">
        <f>'ASWING STRUCT'!GA53*0.224809*3.28084^2</f>
        <v>627934.80138278927</v>
      </c>
      <c r="GB53" s="698">
        <f>'ASWING STRUCT'!GB53*0.224809*3.28084^2</f>
        <v>0</v>
      </c>
      <c r="GC53" s="698">
        <f>'ASWING STRUCT'!GC53*0.224809*3.28084^2</f>
        <v>0</v>
      </c>
      <c r="GD53" s="698">
        <f>'ASWING STRUCT'!GD53*0.224809*3.28084^2</f>
        <v>0</v>
      </c>
      <c r="GE53" s="698">
        <f>'ASWING STRUCT'!GE53*0.224809*3.28084^2</f>
        <v>154635947.22393078</v>
      </c>
      <c r="GF53" s="617">
        <f>'ASWING STRUCT'!GF53</f>
        <v>0</v>
      </c>
      <c r="GG53" s="698">
        <f>'ASWING STRUCT'!GG53*0.224809</f>
        <v>0</v>
      </c>
      <c r="GH53" s="698">
        <f>'ASWING STRUCT'!GH53*0.224809</f>
        <v>0</v>
      </c>
      <c r="GI53" s="617">
        <f>'ASWING STRUCT'!GI53*2.20462*3.28084</f>
        <v>0</v>
      </c>
      <c r="GJ53" s="617">
        <f>'ASWING STRUCT'!GJ53*2.20462*3.28084</f>
        <v>0</v>
      </c>
      <c r="GK53" s="617">
        <f>'ASWING STRUCT'!GK53*2.20462/3.28084</f>
        <v>18.023466024543225</v>
      </c>
      <c r="GL53" s="617">
        <f>'ASWING STRUCT'!GL53*3.28084</f>
        <v>-2.710590815249911</v>
      </c>
      <c r="GM53" s="617">
        <f>'ASWING STRUCT'!GM53*3.28084</f>
        <v>0</v>
      </c>
      <c r="GN53" s="617">
        <f>'ASWING STRUCT'!GN53*2.20462*3.28084</f>
        <v>0</v>
      </c>
      <c r="GO53" s="617">
        <f>'ASWING STRUCT'!GO53*2.20462*3.28084</f>
        <v>0</v>
      </c>
      <c r="GP53" s="617">
        <f>'ASWING STRUCT'!GP53*2.20462/3.28084</f>
        <v>0</v>
      </c>
      <c r="GQ53" s="617">
        <f>'ASWING STRUCT'!GQ53*3.28084</f>
        <v>0</v>
      </c>
      <c r="GR53" s="617">
        <f>'ASWING STRUCT'!GR53*3.28084</f>
        <v>0</v>
      </c>
      <c r="GS53" s="617">
        <f>'ASWING STRUCT'!GS53*3.28084</f>
        <v>-3.9858024246063599</v>
      </c>
      <c r="GT53" s="617">
        <f>'ASWING STRUCT'!GT53*3.28084</f>
        <v>0</v>
      </c>
      <c r="GU53" s="617">
        <f>'ASWING STRUCT'!GU53*3.28084</f>
        <v>0</v>
      </c>
      <c r="GV53" s="617">
        <f>'ASWING STRUCT'!GV53*3.28084</f>
        <v>0</v>
      </c>
      <c r="GW53" s="617">
        <f>'ASWING STRUCT'!GW53</f>
        <v>2E-3</v>
      </c>
      <c r="GX53" s="617">
        <f>'ASWING STRUCT'!GX53</f>
        <v>2E-3</v>
      </c>
      <c r="GY53" s="617">
        <f>'ASWING STRUCT'!GY53*3.28084</f>
        <v>-4.3700788799999994</v>
      </c>
      <c r="GZ53" s="617">
        <f>'ASWING STRUCT'!GZ53*3.28084</f>
        <v>0.65551183199999996</v>
      </c>
      <c r="HA53" s="617">
        <f>'ASWING STRUCT'!HA53*3.28084^3</f>
        <v>1.3840315871458383E-2</v>
      </c>
      <c r="HB53" s="617">
        <f>'ASWING STRUCT'!HB53*3.28084</f>
        <v>0</v>
      </c>
      <c r="HC53" s="617">
        <f>'ASWING STRUCT'!HC53</f>
        <v>5.4999999999999997E-3</v>
      </c>
      <c r="HD53" s="617">
        <f>'ASWING STRUCT'!HD53</f>
        <v>5.4999999999999997E-3</v>
      </c>
      <c r="HE53" s="617">
        <f>'ASWING STRUCT'!HE53*3.28084</f>
        <v>7.2834648000000008</v>
      </c>
      <c r="HF53" s="617">
        <f>'ASWING STRUCT'!HF53</f>
        <v>0.85</v>
      </c>
      <c r="HG53" s="617">
        <f>'ASWING STRUCT'!HG53</f>
        <v>0</v>
      </c>
      <c r="HH53" s="617">
        <f>'ASWING STRUCT'!HH53</f>
        <v>0</v>
      </c>
      <c r="HI53" s="617">
        <f>'ASWING STRUCT'!HI53</f>
        <v>1.4</v>
      </c>
      <c r="HJ53" s="617">
        <f>'ASWING STRUCT'!HJ53</f>
        <v>-1.4</v>
      </c>
      <c r="HK53" s="616">
        <f>'ASWING STRUCT'!HK53</f>
        <v>5.9690260418206069</v>
      </c>
    </row>
    <row r="54" spans="1:219" x14ac:dyDescent="0.25">
      <c r="A54" t="s">
        <v>892</v>
      </c>
      <c r="B54" s="664">
        <v>0.71453</v>
      </c>
      <c r="C54" s="665">
        <v>-4.5949999999999998</v>
      </c>
      <c r="D54" s="665">
        <v>0.1</v>
      </c>
      <c r="E54" s="670">
        <f>'ASWING STRUCT'!E54* 3.28084</f>
        <v>27.395014</v>
      </c>
      <c r="F54" s="670">
        <f>'ASWING STRUCT'!F54* 3.28084</f>
        <v>0</v>
      </c>
      <c r="G54" s="670">
        <f>'ASWING STRUCT'!G54* 3.28084</f>
        <v>7.2178480000000009</v>
      </c>
      <c r="H54" s="671">
        <f>'ASWING STRUCT'!H54*2.20462</f>
        <v>330.69299999999998</v>
      </c>
      <c r="I54" s="668">
        <v>10</v>
      </c>
      <c r="J54" s="204">
        <f t="shared" ref="J54:J63" si="0">E54</f>
        <v>27.395014</v>
      </c>
      <c r="K54" s="575">
        <v>1</v>
      </c>
      <c r="L54" s="626">
        <f ca="1">AB50/MAX(AX50:AX100)*MAX(AV50:AV100)</f>
        <v>21.264130764589989</v>
      </c>
      <c r="M54">
        <v>7</v>
      </c>
      <c r="N54">
        <f>MIN(AA50:AA51)</f>
        <v>30.782077100511998</v>
      </c>
      <c r="O54" s="576">
        <v>0</v>
      </c>
      <c r="P54" s="580"/>
      <c r="AU54" s="594"/>
      <c r="AV54" s="574">
        <f ca="1">100*(AX54-$AX$50)/(MAX($AX$50:INDEX(($AX$50:$AX$150),$F$35+1,1))-MIN($AX$50:INDEX(($AX$50:$AX$150),$F$35+1,1)))</f>
        <v>19</v>
      </c>
      <c r="AW54" s="660">
        <f ca="1">OFFSET('Trapezoidal Wing Summary'!C$45,((ROW('Trapezoidal Wing Summary'!$A49)-ROW('Trapezoidal Wing Summary'!$A$45))*100/$F$35),0)+$F$15</f>
        <v>23.960215825781997</v>
      </c>
      <c r="AX54" s="660">
        <f ca="1">OFFSET('Trapezoidal Wing Summary'!D$45,((ROW('Trapezoidal Wing Summary'!$A49)-ROW('Trapezoidal Wing Summary'!$A$45))*100/$F$35),0)+$F$16</f>
        <v>4.5633137943199999</v>
      </c>
      <c r="AY54" s="660">
        <f ca="1">OFFSET('Trapezoidal Wing Summary'!E$45,((ROW('Trapezoidal Wing Summary'!$A49)-ROW('Trapezoidal Wing Summary'!$A$45))*100/$F$35),0)+$F$17</f>
        <v>8.1686780829199996</v>
      </c>
      <c r="AZ54" s="41">
        <f ca="1">OFFSET('Trapezoidal Wing Summary'!F$45,((ROW('Trapezoidal Wing Summary'!$A49)-ROW('Trapezoidal Wing Summary'!$A$45))*100/$F$35),0)</f>
        <v>0</v>
      </c>
      <c r="BA54" s="41">
        <f ca="1">OFFSET('Trapezoidal Wing Summary'!G$45,((ROW('Trapezoidal Wing Summary'!$A49)-ROW('Trapezoidal Wing Summary'!$A$45))*100/$F$35),0)</f>
        <v>3185960.0172867724</v>
      </c>
      <c r="BB54" s="41">
        <f ca="1">OFFSET('Trapezoidal Wing Summary'!H$45,((ROW('Trapezoidal Wing Summary'!$A49)-ROW('Trapezoidal Wing Summary'!$A$45))*100/$F$35),0)</f>
        <v>7743302.4210187793</v>
      </c>
      <c r="BC54" s="41">
        <f ca="1">OFFSET('Trapezoidal Wing Summary'!I$45,((ROW('Trapezoidal Wing Summary'!$A49)-ROW('Trapezoidal Wing Summary'!$A$45))*100/$F$35),0)</f>
        <v>0</v>
      </c>
      <c r="BD54" s="41">
        <f ca="1">OFFSET('Trapezoidal Wing Summary'!J$45,((ROW('Trapezoidal Wing Summary'!$A49)-ROW('Trapezoidal Wing Summary'!$A$45))*100/$F$35),0)</f>
        <v>0</v>
      </c>
      <c r="BE54" s="41">
        <f ca="1">OFFSET('Trapezoidal Wing Summary'!K$45,((ROW('Trapezoidal Wing Summary'!$A49)-ROW('Trapezoidal Wing Summary'!$A$45))*100/$F$35),0)</f>
        <v>0</v>
      </c>
      <c r="BF54" s="41">
        <f ca="1">OFFSET('Trapezoidal Wing Summary'!L$45,((ROW('Trapezoidal Wing Summary'!$A49)-ROW('Trapezoidal Wing Summary'!$A$45))*100/$F$35),0)</f>
        <v>51377254.275638148</v>
      </c>
      <c r="BG54" s="41">
        <f ca="1">OFFSET('Trapezoidal Wing Summary'!M$45,((ROW('Trapezoidal Wing Summary'!$A49)-ROW('Trapezoidal Wing Summary'!$A$45))*100/$F$35),0)</f>
        <v>0</v>
      </c>
      <c r="BH54" s="41">
        <f ca="1">OFFSET('Trapezoidal Wing Summary'!N$45,((ROW('Trapezoidal Wing Summary'!$A49)-ROW('Trapezoidal Wing Summary'!$A$45))*100/$F$35),0)</f>
        <v>0</v>
      </c>
      <c r="BI54" s="41">
        <f ca="1">OFFSET('Trapezoidal Wing Summary'!O$45,((ROW('Trapezoidal Wing Summary'!$A49)-ROW('Trapezoidal Wing Summary'!$A$45))*100/$F$35),0)</f>
        <v>0</v>
      </c>
      <c r="BJ54" s="41">
        <f ca="1">OFFSET('Trapezoidal Wing Summary'!P$45,((ROW('Trapezoidal Wing Summary'!$A49)-ROW('Trapezoidal Wing Summary'!$A$45))*100/$F$35),0)</f>
        <v>0</v>
      </c>
      <c r="BK54" s="41">
        <f ca="1">OFFSET('Trapezoidal Wing Summary'!Q$45,((ROW('Trapezoidal Wing Summary'!$A49)-ROW('Trapezoidal Wing Summary'!$A$45))*100/$F$35),0)</f>
        <v>0</v>
      </c>
      <c r="BL54" s="41">
        <f ca="1">OFFSET('Trapezoidal Wing Summary'!R$45,((ROW('Trapezoidal Wing Summary'!$A49)-ROW('Trapezoidal Wing Summary'!$A$45))*100/$F$35),0)</f>
        <v>20.177931297327639</v>
      </c>
      <c r="BM54" s="41">
        <f ca="1">OFFSET('Trapezoidal Wing Summary'!S$45,((ROW('Trapezoidal Wing Summary'!$A49)-ROW('Trapezoidal Wing Summary'!$A$45))*100/$F$35),0)</f>
        <v>0.82880507394538361</v>
      </c>
      <c r="BN54" s="41">
        <f ca="1">OFFSET('Trapezoidal Wing Summary'!T$45,((ROW('Trapezoidal Wing Summary'!$A49)-ROW('Trapezoidal Wing Summary'!$A$45))*100/$F$35),0)</f>
        <v>0</v>
      </c>
      <c r="BO54" s="41">
        <f ca="1">OFFSET('Trapezoidal Wing Summary'!U$45,((ROW('Trapezoidal Wing Summary'!$A49)-ROW('Trapezoidal Wing Summary'!$A$45))*100/$F$35),0)</f>
        <v>0</v>
      </c>
      <c r="BP54" s="41">
        <f ca="1">OFFSET('Trapezoidal Wing Summary'!V$45,((ROW('Trapezoidal Wing Summary'!$A49)-ROW('Trapezoidal Wing Summary'!$A$45))*100/$F$35),0)</f>
        <v>0</v>
      </c>
      <c r="BQ54" s="41">
        <f ca="1">OFFSET('Trapezoidal Wing Summary'!W$45,((ROW('Trapezoidal Wing Summary'!$A49)-ROW('Trapezoidal Wing Summary'!$A$45))*100/$F$35),0)</f>
        <v>0</v>
      </c>
      <c r="BR54" s="41">
        <f ca="1">OFFSET('Trapezoidal Wing Summary'!X$45,((ROW('Trapezoidal Wing Summary'!$A49)-ROW('Trapezoidal Wing Summary'!$A$45))*100/$F$35),0)</f>
        <v>0</v>
      </c>
      <c r="BS54" s="41">
        <f ca="1">OFFSET('Trapezoidal Wing Summary'!Y$45,((ROW('Trapezoidal Wing Summary'!$A49)-ROW('Trapezoidal Wing Summary'!$A$45))*100/$F$35),0)</f>
        <v>0</v>
      </c>
      <c r="BT54" s="41">
        <f ca="1">OFFSET('Trapezoidal Wing Summary'!Z$45,((ROW('Trapezoidal Wing Summary'!$A49)-ROW('Trapezoidal Wing Summary'!$A$45))*100/$F$35),0)</f>
        <v>0.42362669312776591</v>
      </c>
      <c r="BU54" s="41">
        <f ca="1">OFFSET('Trapezoidal Wing Summary'!AA$45,((ROW('Trapezoidal Wing Summary'!$A49)-ROW('Trapezoidal Wing Summary'!$A$45))*100/$F$35),0)</f>
        <v>0</v>
      </c>
      <c r="BV54" s="41">
        <f ca="1">OFFSET('Trapezoidal Wing Summary'!AB$45,((ROW('Trapezoidal Wing Summary'!$A49)-ROW('Trapezoidal Wing Summary'!$A$45))*100/$F$35),0)</f>
        <v>0</v>
      </c>
      <c r="BW54" s="41">
        <f ca="1">OFFSET('Trapezoidal Wing Summary'!AC$45,((ROW('Trapezoidal Wing Summary'!$A49)-ROW('Trapezoidal Wing Summary'!$A$45))*100/$F$35),0)</f>
        <v>0</v>
      </c>
      <c r="BX54" s="41">
        <f ca="1">OFFSET('Trapezoidal Wing Summary'!AD$45,((ROW('Trapezoidal Wing Summary'!$A49)-ROW('Trapezoidal Wing Summary'!$A$45))*100/$F$35),0)</f>
        <v>2E-3</v>
      </c>
      <c r="BY54" s="41">
        <f ca="1">OFFSET('Trapezoidal Wing Summary'!AE$45,((ROW('Trapezoidal Wing Summary'!$A49)-ROW('Trapezoidal Wing Summary'!$A$45))*100/$F$35),0)</f>
        <v>2E-3</v>
      </c>
      <c r="BZ54" s="41">
        <f ca="1">OFFSET('Trapezoidal Wing Summary'!AF$45,((ROW('Trapezoidal Wing Summary'!$A49)-ROW('Trapezoidal Wing Summary'!$A$45))*100/$F$35),0)</f>
        <v>0</v>
      </c>
      <c r="CA54" s="41">
        <f ca="1">OFFSET('Trapezoidal Wing Summary'!AG$45,((ROW('Trapezoidal Wing Summary'!$A49)-ROW('Trapezoidal Wing Summary'!$A$45))*100/$F$35),0)</f>
        <v>0.42724164752999999</v>
      </c>
      <c r="CB54" s="41">
        <f ca="1">OFFSET('Trapezoidal Wing Summary'!AH$45,((ROW('Trapezoidal Wing Summary'!$A49)-ROW('Trapezoidal Wing Summary'!$A$45))*100/$F$35),0)</f>
        <v>7.0552651501812214E-3</v>
      </c>
      <c r="CC54" s="41">
        <f ca="1">OFFSET('Trapezoidal Wing Summary'!AI$45,((ROW('Trapezoidal Wing Summary'!$A49)-ROW('Trapezoidal Wing Summary'!$A$45))*100/$F$35),0)</f>
        <v>0</v>
      </c>
      <c r="CD54" s="41">
        <f>'REF - ASWING AERO-Imperial'!$R$5</f>
        <v>5.4999999999999997E-3</v>
      </c>
      <c r="CE54" s="41">
        <f>'REF - ASWING AERO-Imperial'!$R$6</f>
        <v>5.4999999999999997E-3</v>
      </c>
      <c r="CF54" s="41">
        <f ca="1">OFFSET('Trapezoidal Wing Summary'!AL$45,((ROW('Trapezoidal Wing Summary'!$A49)-ROW('Trapezoidal Wing Summary'!$A$45))*100/$F$35),0)</f>
        <v>4.747129417</v>
      </c>
      <c r="CG54" s="41">
        <f ca="1">OFFSET('Trapezoidal Wing Summary'!AM$45,((ROW('Trapezoidal Wing Summary'!$A49)-ROW('Trapezoidal Wing Summary'!$A$45))*100/$F$35),0)</f>
        <v>0.25</v>
      </c>
      <c r="CH54" s="41">
        <f ca="1">OFFSET('Trapezoidal Wing Summary'!AN$45,((ROW('Trapezoidal Wing Summary'!$A49)-ROW('Trapezoidal Wing Summary'!$A$45))*100/$F$35),0)</f>
        <v>5.85</v>
      </c>
      <c r="CI54" s="41">
        <f ca="1">OFFSET('Trapezoidal Wing Summary'!AO$45,((ROW('Trapezoidal Wing Summary'!$A49)-ROW('Trapezoidal Wing Summary'!$A$45))*100/$F$35),0)</f>
        <v>-0.15</v>
      </c>
      <c r="CJ54" s="41">
        <f ca="1">OFFSET('Trapezoidal Wing Summary'!AP$45,((ROW('Trapezoidal Wing Summary'!$A49)-ROW('Trapezoidal Wing Summary'!$A$45))*100/$F$35),0)</f>
        <v>1.85</v>
      </c>
      <c r="CK54" s="41">
        <f ca="1">OFFSET('Trapezoidal Wing Summary'!AQ$45,((ROW('Trapezoidal Wing Summary'!$A49)-ROW('Trapezoidal Wing Summary'!$A$45))*100/$F$35),0)</f>
        <v>-1.55</v>
      </c>
      <c r="CL54" s="41">
        <f ca="1">OFFSET('Trapezoidal Wing Summary'!AR$45,((ROW('Trapezoidal Wing Summary'!$A49)-ROW('Trapezoidal Wing Summary'!$A$45))*100/$F$35),0)</f>
        <v>5.9690260418206069</v>
      </c>
      <c r="CM54" s="645">
        <f>'ASWING STRUCT'!CM54</f>
        <v>19.000000000000004</v>
      </c>
      <c r="CN54" s="642">
        <f>'ASWING STRUCT'!CN54*3.28084</f>
        <v>10.456409127256</v>
      </c>
      <c r="CO54" s="642">
        <f>'ASWING STRUCT'!CO54*3.28084</f>
        <v>1.8700788000000002</v>
      </c>
      <c r="CP54" s="642">
        <f>'ASWING STRUCT'!CP54*3.28084</f>
        <v>12.850247130368</v>
      </c>
      <c r="CQ54" s="642">
        <f>'ASWING STRUCT'!CQ54</f>
        <v>0</v>
      </c>
      <c r="CR54" s="692">
        <f>'ASWING STRUCT'!CR54*0.224809*3.28084^2</f>
        <v>173174.1416455053</v>
      </c>
      <c r="CS54" s="692">
        <f>'ASWING STRUCT'!CS54*0.224809*3.28084^2</f>
        <v>156818.13373468802</v>
      </c>
      <c r="CT54" s="692">
        <f>'ASWING STRUCT'!CT54*0.224809*3.28084^2</f>
        <v>0</v>
      </c>
      <c r="CU54" s="692">
        <f>'ASWING STRUCT'!CU54*0.224809*3.28084^2</f>
        <v>0</v>
      </c>
      <c r="CV54" s="692">
        <f>'ASWING STRUCT'!CV54*0.224809*3.28084^2</f>
        <v>0</v>
      </c>
      <c r="CW54" s="692">
        <f>'ASWING STRUCT'!CW54*0.224809*3.28084^2</f>
        <v>2947240.7661287482</v>
      </c>
      <c r="CX54" s="642">
        <f>'ASWING STRUCT'!CX54</f>
        <v>0</v>
      </c>
      <c r="CY54" s="642">
        <f>'ASWING STRUCT'!CY54*0.224809</f>
        <v>0</v>
      </c>
      <c r="CZ54" s="642">
        <f>'ASWING STRUCT'!CZ54*0.224809</f>
        <v>0</v>
      </c>
      <c r="DA54" s="642">
        <f>'ASWING STRUCT'!DA54*2.20462*3.28084</f>
        <v>0</v>
      </c>
      <c r="DB54" s="642">
        <f>'ASWING STRUCT'!DB54*2.20462*3.28084</f>
        <v>0</v>
      </c>
      <c r="DC54" s="642">
        <f>'ASWING STRUCT'!DC54*2.20462/3.28084</f>
        <v>3.1061381354182322</v>
      </c>
      <c r="DD54" s="642">
        <f>'ASWING STRUCT'!DD54*3.28084</f>
        <v>0.3659259845176005</v>
      </c>
      <c r="DE54" s="642">
        <f>'ASWING STRUCT'!DE54*3.28084</f>
        <v>0</v>
      </c>
      <c r="DF54" s="642">
        <f>'ASWING STRUCT'!DF54*2.20462*3.28084</f>
        <v>0</v>
      </c>
      <c r="DG54" s="642">
        <f>'ASWING STRUCT'!DG54*2.20462*3.28084</f>
        <v>0</v>
      </c>
      <c r="DH54" s="642">
        <f>'ASWING STRUCT'!DH54*2.20462/3.28084</f>
        <v>0</v>
      </c>
      <c r="DI54" s="642">
        <f>'ASWING STRUCT'!DI54*3.28084</f>
        <v>0</v>
      </c>
      <c r="DJ54" s="642">
        <f>'ASWING STRUCT'!DJ54*3.28084</f>
        <v>0</v>
      </c>
      <c r="DK54" s="642">
        <f>'ASWING STRUCT'!DK54*3.28084</f>
        <v>0.1765826125500215</v>
      </c>
      <c r="DL54" s="642">
        <f>'ASWING STRUCT'!DL54*3.28084</f>
        <v>0</v>
      </c>
      <c r="DM54" s="642">
        <f>'ASWING STRUCT'!DM54*3.28084</f>
        <v>0</v>
      </c>
      <c r="DN54" s="642">
        <f>'ASWING STRUCT'!DN54*3.28084</f>
        <v>0</v>
      </c>
      <c r="DO54" s="642">
        <f>'ASWING STRUCT'!DO54</f>
        <v>2E-3</v>
      </c>
      <c r="DP54" s="642">
        <f>'ASWING STRUCT'!DP54</f>
        <v>2E-3</v>
      </c>
      <c r="DQ54" s="642">
        <f>'ASWING STRUCT'!DQ54*3.28084</f>
        <v>0</v>
      </c>
      <c r="DR54" s="642">
        <f>'ASWING STRUCT'!DR54*3.28084</f>
        <v>0.17509843080000001</v>
      </c>
      <c r="DS54" s="642">
        <f>'ASWING STRUCT'!DS54*3.28084^3</f>
        <v>9.8752804883582308E-4</v>
      </c>
      <c r="DT54" s="642">
        <f>'ASWING STRUCT'!DT54*3.28084</f>
        <v>0</v>
      </c>
      <c r="DU54" s="642">
        <f>'ASWING STRUCT'!DU54</f>
        <v>5.4999999999999997E-3</v>
      </c>
      <c r="DV54" s="642">
        <f>'ASWING STRUCT'!DV54</f>
        <v>5.4999999999999997E-3</v>
      </c>
      <c r="DW54" s="642">
        <f>'ASWING STRUCT'!DW54*3.28084</f>
        <v>1.9455381200000001</v>
      </c>
      <c r="DX54" s="642">
        <f>'ASWING STRUCT'!DX54</f>
        <v>0.25</v>
      </c>
      <c r="DY54" s="642">
        <f>'ASWING STRUCT'!DY54</f>
        <v>5.9</v>
      </c>
      <c r="DZ54" s="642">
        <f>'ASWING STRUCT'!DZ54</f>
        <v>-0.15</v>
      </c>
      <c r="EA54" s="642">
        <f>'ASWING STRUCT'!EA54</f>
        <v>2.25</v>
      </c>
      <c r="EB54" s="642">
        <f>'ASWING STRUCT'!EB54</f>
        <v>-1.65</v>
      </c>
      <c r="EC54" s="641">
        <f>'ASWING STRUCT'!EC54</f>
        <v>5.9690260418206069</v>
      </c>
      <c r="ED54" s="697">
        <f>'ASWING STRUCT'!ED54</f>
        <v>19</v>
      </c>
      <c r="EE54" s="617">
        <f>'ASWING STRUCT'!EE54*3.28084</f>
        <v>38.861549799999999</v>
      </c>
      <c r="EF54" s="617">
        <f>'ASWING STRUCT'!EF54*3.28084</f>
        <v>5.1181103999999999</v>
      </c>
      <c r="EG54" s="617">
        <f>'ASWING STRUCT'!EG54*3.28084</f>
        <v>13.667979440000002</v>
      </c>
      <c r="EH54" s="617">
        <f>'ASWING STRUCT'!EH54</f>
        <v>0</v>
      </c>
      <c r="EI54" s="698">
        <f>'ASWING STRUCT'!EI54*0.224809*3.28084^2</f>
        <v>642566.45818708022</v>
      </c>
      <c r="EJ54" s="698">
        <f>'ASWING STRUCT'!EJ54*0.224809*3.28084^2</f>
        <v>572638.21348405315</v>
      </c>
      <c r="EK54" s="698">
        <f>'ASWING STRUCT'!EK54*0.224809*3.28084^2</f>
        <v>0</v>
      </c>
      <c r="EL54" s="698">
        <f>'ASWING STRUCT'!EL54*0.224809*3.28084^2</f>
        <v>0</v>
      </c>
      <c r="EM54" s="698">
        <f>'ASWING STRUCT'!EM54*0.224809*3.28084^2</f>
        <v>0</v>
      </c>
      <c r="EN54" s="698">
        <f>'ASWING STRUCT'!EN54*0.224809*3.28084^2</f>
        <v>134666359.06824076</v>
      </c>
      <c r="EO54" s="617">
        <f>'ASWING STRUCT'!EO54</f>
        <v>0</v>
      </c>
      <c r="EP54" s="698">
        <f>'ASWING STRUCT'!EP54*0.224809</f>
        <v>0</v>
      </c>
      <c r="EQ54" s="698">
        <f>'ASWING STRUCT'!EQ54*0.224809</f>
        <v>0</v>
      </c>
      <c r="ER54" s="617">
        <f>'ASWING STRUCT'!ER54*2.20462*3.28084</f>
        <v>0</v>
      </c>
      <c r="ES54" s="617">
        <f>'ASWING STRUCT'!ES54*2.20462*3.28084</f>
        <v>0</v>
      </c>
      <c r="ET54" s="617">
        <f>'ASWING STRUCT'!ET54*2.20462/3.28084</f>
        <v>17.221272499450837</v>
      </c>
      <c r="EU54" s="617">
        <f>'ASWING STRUCT'!EU54*3.28084</f>
        <v>-2.5915677921712938</v>
      </c>
      <c r="EV54" s="617">
        <f>'ASWING STRUCT'!EV54*3.28084</f>
        <v>0</v>
      </c>
      <c r="EW54" s="617">
        <f>'ASWING STRUCT'!EW54*2.20462*3.28084</f>
        <v>0</v>
      </c>
      <c r="EX54" s="617">
        <f>'ASWING STRUCT'!EX54*2.20462*3.28084</f>
        <v>0</v>
      </c>
      <c r="EY54" s="617">
        <f>'ASWING STRUCT'!EY54*2.20462/3.28084</f>
        <v>0</v>
      </c>
      <c r="EZ54" s="617">
        <f>'ASWING STRUCT'!EZ54*3.28084</f>
        <v>0</v>
      </c>
      <c r="FA54" s="617">
        <f>'ASWING STRUCT'!FA54*3.28084</f>
        <v>0</v>
      </c>
      <c r="FB54" s="617">
        <f>'ASWING STRUCT'!FB54*3.28084</f>
        <v>-3.7031824039536803</v>
      </c>
      <c r="FC54" s="617">
        <f>'ASWING STRUCT'!FC54*3.28084</f>
        <v>0</v>
      </c>
      <c r="FD54" s="617">
        <f>'ASWING STRUCT'!FD54*3.28084</f>
        <v>0</v>
      </c>
      <c r="FE54" s="617">
        <f>'ASWING STRUCT'!FE54*3.28084</f>
        <v>0</v>
      </c>
      <c r="FF54" s="617">
        <f>'ASWING STRUCT'!FF54</f>
        <v>2E-3</v>
      </c>
      <c r="FG54" s="617">
        <f>'ASWING STRUCT'!FG54</f>
        <v>2E-3</v>
      </c>
      <c r="FH54" s="617">
        <f>'ASWING STRUCT'!FH54*3.28084</f>
        <v>-4.1732284799999997</v>
      </c>
      <c r="FI54" s="617">
        <f>'ASWING STRUCT'!FI54*3.28084</f>
        <v>0.62598427199999995</v>
      </c>
      <c r="FJ54" s="617">
        <f>'ASWING STRUCT'!FJ54*3.28084^3</f>
        <v>1.2621523344834537E-2</v>
      </c>
      <c r="FK54" s="617">
        <f>'ASWING STRUCT'!FK54*3.28084</f>
        <v>0</v>
      </c>
      <c r="FL54" s="617">
        <f>'ASWING STRUCT'!FL54</f>
        <v>5.4999999999999997E-3</v>
      </c>
      <c r="FM54" s="617">
        <f>'ASWING STRUCT'!FM54</f>
        <v>5.4999999999999997E-3</v>
      </c>
      <c r="FN54" s="617">
        <f>'ASWING STRUCT'!FN54*3.28084</f>
        <v>6.9553807999999986</v>
      </c>
      <c r="FO54" s="617">
        <f>'ASWING STRUCT'!FO54</f>
        <v>0.85</v>
      </c>
      <c r="FP54" s="617">
        <f>'ASWING STRUCT'!FP54</f>
        <v>0</v>
      </c>
      <c r="FQ54" s="617">
        <f>'ASWING STRUCT'!FQ54</f>
        <v>0</v>
      </c>
      <c r="FR54" s="617">
        <f>'ASWING STRUCT'!FR54</f>
        <v>1.4</v>
      </c>
      <c r="FS54" s="617">
        <f>'ASWING STRUCT'!FS54</f>
        <v>-1.4</v>
      </c>
      <c r="FT54" s="616">
        <f>'ASWING STRUCT'!FT54</f>
        <v>5.9690260418206069</v>
      </c>
      <c r="FU54" s="697">
        <f>'ASWING STRUCT'!FU54</f>
        <v>19</v>
      </c>
      <c r="FV54" s="617">
        <f>'ASWING STRUCT'!FV54*3.28084</f>
        <v>38.861549799999999</v>
      </c>
      <c r="FW54" s="617">
        <f>'ASWING STRUCT'!FW54*3.28084</f>
        <v>-5.1181103999999999</v>
      </c>
      <c r="FX54" s="617">
        <f>'ASWING STRUCT'!FX54*3.28084</f>
        <v>13.667979440000002</v>
      </c>
      <c r="FY54" s="617">
        <f>'ASWING STRUCT'!FY54</f>
        <v>0</v>
      </c>
      <c r="FZ54" s="698">
        <f>'ASWING STRUCT'!FZ54*0.224809*3.28084^2</f>
        <v>642566.45818708022</v>
      </c>
      <c r="GA54" s="698">
        <f>'ASWING STRUCT'!GA54*0.224809*3.28084^2</f>
        <v>572638.21348405315</v>
      </c>
      <c r="GB54" s="698">
        <f>'ASWING STRUCT'!GB54*0.224809*3.28084^2</f>
        <v>0</v>
      </c>
      <c r="GC54" s="698">
        <f>'ASWING STRUCT'!GC54*0.224809*3.28084^2</f>
        <v>0</v>
      </c>
      <c r="GD54" s="698">
        <f>'ASWING STRUCT'!GD54*0.224809*3.28084^2</f>
        <v>0</v>
      </c>
      <c r="GE54" s="698">
        <f>'ASWING STRUCT'!GE54*0.224809*3.28084^2</f>
        <v>134666359.06824076</v>
      </c>
      <c r="GF54" s="617">
        <f>'ASWING STRUCT'!GF54</f>
        <v>0</v>
      </c>
      <c r="GG54" s="698">
        <f>'ASWING STRUCT'!GG54*0.224809</f>
        <v>0</v>
      </c>
      <c r="GH54" s="698">
        <f>'ASWING STRUCT'!GH54*0.224809</f>
        <v>0</v>
      </c>
      <c r="GI54" s="617">
        <f>'ASWING STRUCT'!GI54*2.20462*3.28084</f>
        <v>0</v>
      </c>
      <c r="GJ54" s="617">
        <f>'ASWING STRUCT'!GJ54*2.20462*3.28084</f>
        <v>0</v>
      </c>
      <c r="GK54" s="617">
        <f>'ASWING STRUCT'!GK54*2.20462/3.28084</f>
        <v>17.221272499450837</v>
      </c>
      <c r="GL54" s="617">
        <f>'ASWING STRUCT'!GL54*3.28084</f>
        <v>-2.5915677921712938</v>
      </c>
      <c r="GM54" s="617">
        <f>'ASWING STRUCT'!GM54*3.28084</f>
        <v>0</v>
      </c>
      <c r="GN54" s="617">
        <f>'ASWING STRUCT'!GN54*2.20462*3.28084</f>
        <v>0</v>
      </c>
      <c r="GO54" s="617">
        <f>'ASWING STRUCT'!GO54*2.20462*3.28084</f>
        <v>0</v>
      </c>
      <c r="GP54" s="617">
        <f>'ASWING STRUCT'!GP54*2.20462/3.28084</f>
        <v>0</v>
      </c>
      <c r="GQ54" s="617">
        <f>'ASWING STRUCT'!GQ54*3.28084</f>
        <v>0</v>
      </c>
      <c r="GR54" s="617">
        <f>'ASWING STRUCT'!GR54*3.28084</f>
        <v>0</v>
      </c>
      <c r="GS54" s="617">
        <f>'ASWING STRUCT'!GS54*3.28084</f>
        <v>-3.7031824039536803</v>
      </c>
      <c r="GT54" s="617">
        <f>'ASWING STRUCT'!GT54*3.28084</f>
        <v>0</v>
      </c>
      <c r="GU54" s="617">
        <f>'ASWING STRUCT'!GU54*3.28084</f>
        <v>0</v>
      </c>
      <c r="GV54" s="617">
        <f>'ASWING STRUCT'!GV54*3.28084</f>
        <v>0</v>
      </c>
      <c r="GW54" s="617">
        <f>'ASWING STRUCT'!GW54</f>
        <v>2E-3</v>
      </c>
      <c r="GX54" s="617">
        <f>'ASWING STRUCT'!GX54</f>
        <v>2E-3</v>
      </c>
      <c r="GY54" s="617">
        <f>'ASWING STRUCT'!GY54*3.28084</f>
        <v>-4.1732284799999997</v>
      </c>
      <c r="GZ54" s="617">
        <f>'ASWING STRUCT'!GZ54*3.28084</f>
        <v>0.62598427199999995</v>
      </c>
      <c r="HA54" s="617">
        <f>'ASWING STRUCT'!HA54*3.28084^3</f>
        <v>1.2621523344834537E-2</v>
      </c>
      <c r="HB54" s="617">
        <f>'ASWING STRUCT'!HB54*3.28084</f>
        <v>0</v>
      </c>
      <c r="HC54" s="617">
        <f>'ASWING STRUCT'!HC54</f>
        <v>5.4999999999999997E-3</v>
      </c>
      <c r="HD54" s="617">
        <f>'ASWING STRUCT'!HD54</f>
        <v>5.4999999999999997E-3</v>
      </c>
      <c r="HE54" s="617">
        <f>'ASWING STRUCT'!HE54*3.28084</f>
        <v>6.9553807999999986</v>
      </c>
      <c r="HF54" s="617">
        <f>'ASWING STRUCT'!HF54</f>
        <v>0.85</v>
      </c>
      <c r="HG54" s="617">
        <f>'ASWING STRUCT'!HG54</f>
        <v>0</v>
      </c>
      <c r="HH54" s="617">
        <f>'ASWING STRUCT'!HH54</f>
        <v>0</v>
      </c>
      <c r="HI54" s="617">
        <f>'ASWING STRUCT'!HI54</f>
        <v>1.4</v>
      </c>
      <c r="HJ54" s="617">
        <f>'ASWING STRUCT'!HJ54</f>
        <v>-1.4</v>
      </c>
      <c r="HK54" s="616">
        <f>'ASWING STRUCT'!HK54</f>
        <v>5.9690260418206069</v>
      </c>
    </row>
    <row r="55" spans="1:219" x14ac:dyDescent="0.25">
      <c r="A55" t="s">
        <v>893</v>
      </c>
      <c r="B55" s="664">
        <v>0</v>
      </c>
      <c r="C55" s="665">
        <v>-1.56</v>
      </c>
      <c r="D55" s="665">
        <v>0.1</v>
      </c>
      <c r="E55" s="670">
        <f>'ASWING STRUCT'!E55* 3.28084</f>
        <v>29.691602000000003</v>
      </c>
      <c r="F55" s="670">
        <f>'ASWING STRUCT'!F55* 3.28084</f>
        <v>0</v>
      </c>
      <c r="G55" s="670">
        <f>'ASWING STRUCT'!G55* 3.28084</f>
        <v>7.2178480000000009</v>
      </c>
      <c r="H55" s="671">
        <f>'ASWING STRUCT'!H55*2.20462</f>
        <v>330.69299999999998</v>
      </c>
      <c r="I55" s="668">
        <v>6</v>
      </c>
      <c r="J55" s="204">
        <f t="shared" si="0"/>
        <v>29.691602000000003</v>
      </c>
      <c r="K55" s="575">
        <v>1</v>
      </c>
      <c r="L55" s="626">
        <f ca="1">AG50/MAX(AX50:AX100) *MAX(AV50:AV100)</f>
        <v>-21.264130764589989</v>
      </c>
      <c r="M55">
        <v>8</v>
      </c>
      <c r="N55">
        <f>MIN(AF50:AF51)</f>
        <v>30.782077100511998</v>
      </c>
      <c r="O55" s="576">
        <v>0</v>
      </c>
      <c r="P55" s="580"/>
      <c r="AU55" s="594"/>
      <c r="AV55" s="574">
        <f ca="1">100*(AX55-$AX$50)/(MAX($AX$50:INDEX(($AX$50:$AX$150),$F$35+1,1))-MIN($AX$50:INDEX(($AX$50:$AX$150),$F$35+1,1)))</f>
        <v>23.000000000000004</v>
      </c>
      <c r="AW55" s="660">
        <f ca="1">OFFSET('Trapezoidal Wing Summary'!C$45,((ROW('Trapezoidal Wing Summary'!$A50)-ROW('Trapezoidal Wing Summary'!$A$45))*100/$F$35),0)+$F$15</f>
        <v>23.978014382781996</v>
      </c>
      <c r="AX55" s="660">
        <f ca="1">OFFSET('Trapezoidal Wing Summary'!D$45,((ROW('Trapezoidal Wing Summary'!$A50)-ROW('Trapezoidal Wing Summary'!$A$45))*100/$F$35),0)+$F$16</f>
        <v>5.5265684183200001</v>
      </c>
      <c r="AY55" s="660">
        <f ca="1">OFFSET('Trapezoidal Wing Summary'!E$45,((ROW('Trapezoidal Wing Summary'!$A50)-ROW('Trapezoidal Wing Summary'!$A$45))*100/$F$35),0)+$F$17</f>
        <v>8.1686780829199996</v>
      </c>
      <c r="AZ55" s="41">
        <f ca="1">OFFSET('Trapezoidal Wing Summary'!F$45,((ROW('Trapezoidal Wing Summary'!$A50)-ROW('Trapezoidal Wing Summary'!$A$45))*100/$F$35),0)</f>
        <v>0</v>
      </c>
      <c r="BA55" s="41">
        <f ca="1">OFFSET('Trapezoidal Wing Summary'!G$45,((ROW('Trapezoidal Wing Summary'!$A50)-ROW('Trapezoidal Wing Summary'!$A$45))*100/$F$35),0)</f>
        <v>2546528.6819938095</v>
      </c>
      <c r="BB55" s="41">
        <f ca="1">OFFSET('Trapezoidal Wing Summary'!H$45,((ROW('Trapezoidal Wing Summary'!$A50)-ROW('Trapezoidal Wing Summary'!$A$45))*100/$F$35),0)</f>
        <v>5988092.001593112</v>
      </c>
      <c r="BC55" s="41">
        <f ca="1">OFFSET('Trapezoidal Wing Summary'!I$45,((ROW('Trapezoidal Wing Summary'!$A50)-ROW('Trapezoidal Wing Summary'!$A$45))*100/$F$35),0)</f>
        <v>0</v>
      </c>
      <c r="BD55" s="41">
        <f ca="1">OFFSET('Trapezoidal Wing Summary'!J$45,((ROW('Trapezoidal Wing Summary'!$A50)-ROW('Trapezoidal Wing Summary'!$A$45))*100/$F$35),0)</f>
        <v>0</v>
      </c>
      <c r="BE55" s="41">
        <f ca="1">OFFSET('Trapezoidal Wing Summary'!K$45,((ROW('Trapezoidal Wing Summary'!$A50)-ROW('Trapezoidal Wing Summary'!$A$45))*100/$F$35),0)</f>
        <v>0</v>
      </c>
      <c r="BF55" s="41">
        <f ca="1">OFFSET('Trapezoidal Wing Summary'!L$45,((ROW('Trapezoidal Wing Summary'!$A50)-ROW('Trapezoidal Wing Summary'!$A$45))*100/$F$35),0)</f>
        <v>49100184.571450323</v>
      </c>
      <c r="BG55" s="41">
        <f ca="1">OFFSET('Trapezoidal Wing Summary'!M$45,((ROW('Trapezoidal Wing Summary'!$A50)-ROW('Trapezoidal Wing Summary'!$A$45))*100/$F$35),0)</f>
        <v>0</v>
      </c>
      <c r="BH55" s="41">
        <f ca="1">OFFSET('Trapezoidal Wing Summary'!N$45,((ROW('Trapezoidal Wing Summary'!$A50)-ROW('Trapezoidal Wing Summary'!$A$45))*100/$F$35),0)</f>
        <v>0</v>
      </c>
      <c r="BI55" s="41">
        <f ca="1">OFFSET('Trapezoidal Wing Summary'!O$45,((ROW('Trapezoidal Wing Summary'!$A50)-ROW('Trapezoidal Wing Summary'!$A$45))*100/$F$35),0)</f>
        <v>0</v>
      </c>
      <c r="BJ55" s="41">
        <f ca="1">OFFSET('Trapezoidal Wing Summary'!P$45,((ROW('Trapezoidal Wing Summary'!$A50)-ROW('Trapezoidal Wing Summary'!$A$45))*100/$F$35),0)</f>
        <v>0</v>
      </c>
      <c r="BK55" s="41">
        <f ca="1">OFFSET('Trapezoidal Wing Summary'!Q$45,((ROW('Trapezoidal Wing Summary'!$A50)-ROW('Trapezoidal Wing Summary'!$A$45))*100/$F$35),0)</f>
        <v>0</v>
      </c>
      <c r="BL55" s="41">
        <f ca="1">OFFSET('Trapezoidal Wing Summary'!R$45,((ROW('Trapezoidal Wing Summary'!$A50)-ROW('Trapezoidal Wing Summary'!$A$45))*100/$F$35),0)</f>
        <v>18.968050084479575</v>
      </c>
      <c r="BM55" s="41">
        <f ca="1">OFFSET('Trapezoidal Wing Summary'!S$45,((ROW('Trapezoidal Wing Summary'!$A50)-ROW('Trapezoidal Wing Summary'!$A$45))*100/$F$35),0)</f>
        <v>0.8548076787065948</v>
      </c>
      <c r="BN55" s="41">
        <f ca="1">OFFSET('Trapezoidal Wing Summary'!T$45,((ROW('Trapezoidal Wing Summary'!$A50)-ROW('Trapezoidal Wing Summary'!$A$45))*100/$F$35),0)</f>
        <v>0</v>
      </c>
      <c r="BO55" s="41">
        <f ca="1">OFFSET('Trapezoidal Wing Summary'!U$45,((ROW('Trapezoidal Wing Summary'!$A50)-ROW('Trapezoidal Wing Summary'!$A$45))*100/$F$35),0)</f>
        <v>0</v>
      </c>
      <c r="BP55" s="41">
        <f ca="1">OFFSET('Trapezoidal Wing Summary'!V$45,((ROW('Trapezoidal Wing Summary'!$A50)-ROW('Trapezoidal Wing Summary'!$A$45))*100/$F$35),0)</f>
        <v>0</v>
      </c>
      <c r="BQ55" s="41">
        <f ca="1">OFFSET('Trapezoidal Wing Summary'!W$45,((ROW('Trapezoidal Wing Summary'!$A50)-ROW('Trapezoidal Wing Summary'!$A$45))*100/$F$35),0)</f>
        <v>0</v>
      </c>
      <c r="BR55" s="41">
        <f ca="1">OFFSET('Trapezoidal Wing Summary'!X$45,((ROW('Trapezoidal Wing Summary'!$A50)-ROW('Trapezoidal Wing Summary'!$A$45))*100/$F$35),0)</f>
        <v>0</v>
      </c>
      <c r="BS55" s="41">
        <f ca="1">OFFSET('Trapezoidal Wing Summary'!Y$45,((ROW('Trapezoidal Wing Summary'!$A50)-ROW('Trapezoidal Wing Summary'!$A$45))*100/$F$35),0)</f>
        <v>0</v>
      </c>
      <c r="BT55" s="41">
        <f ca="1">OFFSET('Trapezoidal Wing Summary'!Z$45,((ROW('Trapezoidal Wing Summary'!$A50)-ROW('Trapezoidal Wing Summary'!$A$45))*100/$F$35),0)</f>
        <v>0.41729991757667984</v>
      </c>
      <c r="BU55" s="41">
        <f ca="1">OFFSET('Trapezoidal Wing Summary'!AA$45,((ROW('Trapezoidal Wing Summary'!$A50)-ROW('Trapezoidal Wing Summary'!$A$45))*100/$F$35),0)</f>
        <v>0</v>
      </c>
      <c r="BV55" s="41">
        <f ca="1">OFFSET('Trapezoidal Wing Summary'!AB$45,((ROW('Trapezoidal Wing Summary'!$A50)-ROW('Trapezoidal Wing Summary'!$A$45))*100/$F$35),0)</f>
        <v>0</v>
      </c>
      <c r="BW55" s="41">
        <f ca="1">OFFSET('Trapezoidal Wing Summary'!AC$45,((ROW('Trapezoidal Wing Summary'!$A50)-ROW('Trapezoidal Wing Summary'!$A$45))*100/$F$35),0)</f>
        <v>0</v>
      </c>
      <c r="BX55" s="41">
        <f ca="1">OFFSET('Trapezoidal Wing Summary'!AD$45,((ROW('Trapezoidal Wing Summary'!$A50)-ROW('Trapezoidal Wing Summary'!$A$45))*100/$F$35),0)</f>
        <v>2E-3</v>
      </c>
      <c r="BY55" s="41">
        <f ca="1">OFFSET('Trapezoidal Wing Summary'!AE$45,((ROW('Trapezoidal Wing Summary'!$A50)-ROW('Trapezoidal Wing Summary'!$A$45))*100/$F$35),0)</f>
        <v>2E-3</v>
      </c>
      <c r="BZ55" s="41">
        <f ca="1">OFFSET('Trapezoidal Wing Summary'!AF$45,((ROW('Trapezoidal Wing Summary'!$A50)-ROW('Trapezoidal Wing Summary'!$A$45))*100/$F$35),0)</f>
        <v>0</v>
      </c>
      <c r="CA55" s="41">
        <f ca="1">OFFSET('Trapezoidal Wing Summary'!AG$45,((ROW('Trapezoidal Wing Summary'!$A50)-ROW('Trapezoidal Wing Summary'!$A$45))*100/$F$35),0)</f>
        <v>0.42083416701000004</v>
      </c>
      <c r="CB55" s="41">
        <f ca="1">OFFSET('Trapezoidal Wing Summary'!AH$45,((ROW('Trapezoidal Wing Summary'!$A50)-ROW('Trapezoidal Wing Summary'!$A$45))*100/$F$35),0)</f>
        <v>6.8452318528606634E-3</v>
      </c>
      <c r="CC55" s="41">
        <f ca="1">OFFSET('Trapezoidal Wing Summary'!AI$45,((ROW('Trapezoidal Wing Summary'!$A50)-ROW('Trapezoidal Wing Summary'!$A$45))*100/$F$35),0)</f>
        <v>0</v>
      </c>
      <c r="CD55" s="41">
        <f>'REF - ASWING AERO-Imperial'!$R$5</f>
        <v>5.4999999999999997E-3</v>
      </c>
      <c r="CE55" s="41">
        <f>'REF - ASWING AERO-Imperial'!$R$6</f>
        <v>5.4999999999999997E-3</v>
      </c>
      <c r="CF55" s="41">
        <f ca="1">OFFSET('Trapezoidal Wing Summary'!AL$45,((ROW('Trapezoidal Wing Summary'!$A50)-ROW('Trapezoidal Wing Summary'!$A$45))*100/$F$35),0)</f>
        <v>4.6759351890000005</v>
      </c>
      <c r="CG55" s="41">
        <f ca="1">OFFSET('Trapezoidal Wing Summary'!AM$45,((ROW('Trapezoidal Wing Summary'!$A50)-ROW('Trapezoidal Wing Summary'!$A$45))*100/$F$35),0)</f>
        <v>0.25</v>
      </c>
      <c r="CH55" s="41">
        <f ca="1">OFFSET('Trapezoidal Wing Summary'!AN$45,((ROW('Trapezoidal Wing Summary'!$A50)-ROW('Trapezoidal Wing Summary'!$A$45))*100/$F$35),0)</f>
        <v>5.85</v>
      </c>
      <c r="CI55" s="41">
        <f ca="1">OFFSET('Trapezoidal Wing Summary'!AO$45,((ROW('Trapezoidal Wing Summary'!$A50)-ROW('Trapezoidal Wing Summary'!$A$45))*100/$F$35),0)</f>
        <v>-0.15</v>
      </c>
      <c r="CJ55" s="41">
        <f ca="1">OFFSET('Trapezoidal Wing Summary'!AP$45,((ROW('Trapezoidal Wing Summary'!$A50)-ROW('Trapezoidal Wing Summary'!$A$45))*100/$F$35),0)</f>
        <v>1.85</v>
      </c>
      <c r="CK55" s="41">
        <f ca="1">OFFSET('Trapezoidal Wing Summary'!AQ$45,((ROW('Trapezoidal Wing Summary'!$A50)-ROW('Trapezoidal Wing Summary'!$A$45))*100/$F$35),0)</f>
        <v>-1.55</v>
      </c>
      <c r="CL55" s="41">
        <f ca="1">OFFSET('Trapezoidal Wing Summary'!AR$45,((ROW('Trapezoidal Wing Summary'!$A50)-ROW('Trapezoidal Wing Summary'!$A$45))*100/$F$35),0)</f>
        <v>5.9690260418206069</v>
      </c>
      <c r="CM55" s="645">
        <f>'ASWING STRUCT'!CM55</f>
        <v>23.000000000000004</v>
      </c>
      <c r="CN55" s="642">
        <f>'ASWING STRUCT'!CN55*3.28084</f>
        <v>10.466251647256</v>
      </c>
      <c r="CO55" s="642">
        <f>'ASWING STRUCT'!CO55*3.28084</f>
        <v>2.2637796000000003</v>
      </c>
      <c r="CP55" s="642">
        <f>'ASWING STRUCT'!CP55*3.28084</f>
        <v>12.850247130368</v>
      </c>
      <c r="CQ55" s="642">
        <f>'ASWING STRUCT'!CQ55</f>
        <v>0</v>
      </c>
      <c r="CR55" s="692">
        <f>'ASWING STRUCT'!CR55*0.224809*3.28084^2</f>
        <v>135893.46564787687</v>
      </c>
      <c r="CS55" s="692">
        <f>'ASWING STRUCT'!CS55*0.224809*3.28084^2</f>
        <v>121016.9975874783</v>
      </c>
      <c r="CT55" s="692">
        <f>'ASWING STRUCT'!CT55*0.224809*3.28084^2</f>
        <v>0</v>
      </c>
      <c r="CU55" s="692">
        <f>'ASWING STRUCT'!CU55*0.224809*3.28084^2</f>
        <v>0</v>
      </c>
      <c r="CV55" s="692">
        <f>'ASWING STRUCT'!CV55*0.224809*3.28084^2</f>
        <v>0</v>
      </c>
      <c r="CW55" s="692">
        <f>'ASWING STRUCT'!CW55*0.224809*3.28084^2</f>
        <v>2771915.1541861519</v>
      </c>
      <c r="CX55" s="642">
        <f>'ASWING STRUCT'!CX55</f>
        <v>0</v>
      </c>
      <c r="CY55" s="642">
        <f>'ASWING STRUCT'!CY55*0.224809</f>
        <v>0</v>
      </c>
      <c r="CZ55" s="642">
        <f>'ASWING STRUCT'!CZ55*0.224809</f>
        <v>0</v>
      </c>
      <c r="DA55" s="642">
        <f>'ASWING STRUCT'!DA55*2.20462*3.28084</f>
        <v>0</v>
      </c>
      <c r="DB55" s="642">
        <f>'ASWING STRUCT'!DB55*2.20462*3.28084</f>
        <v>0</v>
      </c>
      <c r="DC55" s="642">
        <f>'ASWING STRUCT'!DC55*2.20462/3.28084</f>
        <v>2.9461827331861441</v>
      </c>
      <c r="DD55" s="642">
        <f>'ASWING STRUCT'!DD55*3.28084</f>
        <v>0.37015406085100189</v>
      </c>
      <c r="DE55" s="642">
        <f>'ASWING STRUCT'!DE55*3.28084</f>
        <v>0</v>
      </c>
      <c r="DF55" s="642">
        <f>'ASWING STRUCT'!DF55*2.20462*3.28084</f>
        <v>0</v>
      </c>
      <c r="DG55" s="642">
        <f>'ASWING STRUCT'!DG55*2.20462*3.28084</f>
        <v>0</v>
      </c>
      <c r="DH55" s="642">
        <f>'ASWING STRUCT'!DH55*2.20462/3.28084</f>
        <v>0</v>
      </c>
      <c r="DI55" s="642">
        <f>'ASWING STRUCT'!DI55*3.28084</f>
        <v>0</v>
      </c>
      <c r="DJ55" s="642">
        <f>'ASWING STRUCT'!DJ55*3.28084</f>
        <v>0</v>
      </c>
      <c r="DK55" s="642">
        <f>'ASWING STRUCT'!DK55*3.28084</f>
        <v>0.17341249876367321</v>
      </c>
      <c r="DL55" s="642">
        <f>'ASWING STRUCT'!DL55*3.28084</f>
        <v>0</v>
      </c>
      <c r="DM55" s="642">
        <f>'ASWING STRUCT'!DM55*3.28084</f>
        <v>0</v>
      </c>
      <c r="DN55" s="642">
        <f>'ASWING STRUCT'!DN55*3.28084</f>
        <v>0</v>
      </c>
      <c r="DO55" s="642">
        <f>'ASWING STRUCT'!DO55</f>
        <v>2E-3</v>
      </c>
      <c r="DP55" s="642">
        <f>'ASWING STRUCT'!DP55</f>
        <v>2E-3</v>
      </c>
      <c r="DQ55" s="642">
        <f>'ASWING STRUCT'!DQ55*3.28084</f>
        <v>0</v>
      </c>
      <c r="DR55" s="642">
        <f>'ASWING STRUCT'!DR55*3.28084</f>
        <v>0.1715551236</v>
      </c>
      <c r="DS55" s="642">
        <f>'ASWING STRUCT'!DS55*3.28084^3</f>
        <v>9.4796503244163688E-4</v>
      </c>
      <c r="DT55" s="642">
        <f>'ASWING STRUCT'!DT55*3.28084</f>
        <v>0</v>
      </c>
      <c r="DU55" s="642">
        <f>'ASWING STRUCT'!DU55</f>
        <v>5.4999999999999997E-3</v>
      </c>
      <c r="DV55" s="642">
        <f>'ASWING STRUCT'!DV55</f>
        <v>5.4999999999999997E-3</v>
      </c>
      <c r="DW55" s="642">
        <f>'ASWING STRUCT'!DW55*3.28084</f>
        <v>1.9061680400000003</v>
      </c>
      <c r="DX55" s="642">
        <f>'ASWING STRUCT'!DX55</f>
        <v>0.25</v>
      </c>
      <c r="DY55" s="642">
        <f>'ASWING STRUCT'!DY55</f>
        <v>5.9</v>
      </c>
      <c r="DZ55" s="642">
        <f>'ASWING STRUCT'!DZ55</f>
        <v>-0.15</v>
      </c>
      <c r="EA55" s="642">
        <f>'ASWING STRUCT'!EA55</f>
        <v>2.25</v>
      </c>
      <c r="EB55" s="642">
        <f>'ASWING STRUCT'!EB55</f>
        <v>-1.65</v>
      </c>
      <c r="EC55" s="641">
        <f>'ASWING STRUCT'!EC55</f>
        <v>5.9690260418206069</v>
      </c>
      <c r="ED55" s="697">
        <f>'ASWING STRUCT'!ED55</f>
        <v>23.000000000000004</v>
      </c>
      <c r="EE55" s="617">
        <f>'ASWING STRUCT'!EE55*3.28084</f>
        <v>38.9271666</v>
      </c>
      <c r="EF55" s="617">
        <f>'ASWING STRUCT'!EF55*3.28084</f>
        <v>5.1181103999999999</v>
      </c>
      <c r="EG55" s="617">
        <f>'ASWING STRUCT'!EG55*3.28084</f>
        <v>13.851706479999999</v>
      </c>
      <c r="EH55" s="617">
        <f>'ASWING STRUCT'!EH55</f>
        <v>0</v>
      </c>
      <c r="EI55" s="698">
        <f>'ASWING STRUCT'!EI55*0.224809*3.28084^2</f>
        <v>480154.26951593644</v>
      </c>
      <c r="EJ55" s="698">
        <f>'ASWING STRUCT'!EJ55*0.224809*3.28084^2</f>
        <v>435681.65711212513</v>
      </c>
      <c r="EK55" s="698">
        <f>'ASWING STRUCT'!EK55*0.224809*3.28084^2</f>
        <v>0</v>
      </c>
      <c r="EL55" s="698">
        <f>'ASWING STRUCT'!EL55*0.224809*3.28084^2</f>
        <v>0</v>
      </c>
      <c r="EM55" s="698">
        <f>'ASWING STRUCT'!EM55*0.224809*3.28084^2</f>
        <v>0</v>
      </c>
      <c r="EN55" s="698">
        <f>'ASWING STRUCT'!EN55*0.224809*3.28084^2</f>
        <v>119989166.87440778</v>
      </c>
      <c r="EO55" s="617">
        <f>'ASWING STRUCT'!EO55</f>
        <v>0</v>
      </c>
      <c r="EP55" s="698">
        <f>'ASWING STRUCT'!EP55*0.224809</f>
        <v>0</v>
      </c>
      <c r="EQ55" s="698">
        <f>'ASWING STRUCT'!EQ55*0.224809</f>
        <v>0</v>
      </c>
      <c r="ER55" s="617">
        <f>'ASWING STRUCT'!ER55*2.20462*3.28084</f>
        <v>0</v>
      </c>
      <c r="ES55" s="617">
        <f>'ASWING STRUCT'!ES55*2.20462*3.28084</f>
        <v>0</v>
      </c>
      <c r="ET55" s="617">
        <f>'ASWING STRUCT'!ET55*2.20462/3.28084</f>
        <v>16.555509875986864</v>
      </c>
      <c r="EU55" s="617">
        <f>'ASWING STRUCT'!EU55*3.28084</f>
        <v>-2.4941067781406594</v>
      </c>
      <c r="EV55" s="617">
        <f>'ASWING STRUCT'!EV55*3.28084</f>
        <v>0</v>
      </c>
      <c r="EW55" s="617">
        <f>'ASWING STRUCT'!EW55*2.20462*3.28084</f>
        <v>0</v>
      </c>
      <c r="EX55" s="617">
        <f>'ASWING STRUCT'!EX55*2.20462*3.28084</f>
        <v>0</v>
      </c>
      <c r="EY55" s="617">
        <f>'ASWING STRUCT'!EY55*2.20462/3.28084</f>
        <v>0</v>
      </c>
      <c r="EZ55" s="617">
        <f>'ASWING STRUCT'!EZ55*3.28084</f>
        <v>0</v>
      </c>
      <c r="FA55" s="617">
        <f>'ASWING STRUCT'!FA55*3.28084</f>
        <v>0</v>
      </c>
      <c r="FB55" s="617">
        <f>'ASWING STRUCT'!FB55*3.28084</f>
        <v>-3.5094102681320383</v>
      </c>
      <c r="FC55" s="617">
        <f>'ASWING STRUCT'!FC55*3.28084</f>
        <v>0</v>
      </c>
      <c r="FD55" s="617">
        <f>'ASWING STRUCT'!FD55*3.28084</f>
        <v>0</v>
      </c>
      <c r="FE55" s="617">
        <f>'ASWING STRUCT'!FE55*3.28084</f>
        <v>0</v>
      </c>
      <c r="FF55" s="617">
        <f>'ASWING STRUCT'!FF55</f>
        <v>2E-3</v>
      </c>
      <c r="FG55" s="617">
        <f>'ASWING STRUCT'!FG55</f>
        <v>2E-3</v>
      </c>
      <c r="FH55" s="617">
        <f>'ASWING STRUCT'!FH55*3.28084</f>
        <v>-4.0157481599999993</v>
      </c>
      <c r="FI55" s="617">
        <f>'ASWING STRUCT'!FI55*3.28084</f>
        <v>0.60236222399999995</v>
      </c>
      <c r="FJ55" s="617">
        <f>'ASWING STRUCT'!FJ55*3.28084^3</f>
        <v>1.168692852257552E-2</v>
      </c>
      <c r="FK55" s="617">
        <f>'ASWING STRUCT'!FK55*3.28084</f>
        <v>0</v>
      </c>
      <c r="FL55" s="617">
        <f>'ASWING STRUCT'!FL55</f>
        <v>5.4999999999999997E-3</v>
      </c>
      <c r="FM55" s="617">
        <f>'ASWING STRUCT'!FM55</f>
        <v>5.4999999999999997E-3</v>
      </c>
      <c r="FN55" s="617">
        <f>'ASWING STRUCT'!FN55*3.28084</f>
        <v>6.6929135999999998</v>
      </c>
      <c r="FO55" s="617">
        <f>'ASWING STRUCT'!FO55</f>
        <v>0.85</v>
      </c>
      <c r="FP55" s="617">
        <f>'ASWING STRUCT'!FP55</f>
        <v>0</v>
      </c>
      <c r="FQ55" s="617">
        <f>'ASWING STRUCT'!FQ55</f>
        <v>0</v>
      </c>
      <c r="FR55" s="617">
        <f>'ASWING STRUCT'!FR55</f>
        <v>1.4</v>
      </c>
      <c r="FS55" s="617">
        <f>'ASWING STRUCT'!FS55</f>
        <v>-1.4</v>
      </c>
      <c r="FT55" s="616">
        <f>'ASWING STRUCT'!FT55</f>
        <v>5.9690260418206069</v>
      </c>
      <c r="FU55" s="697">
        <f>'ASWING STRUCT'!FU55</f>
        <v>23.000000000000004</v>
      </c>
      <c r="FV55" s="617">
        <f>'ASWING STRUCT'!FV55*3.28084</f>
        <v>38.9271666</v>
      </c>
      <c r="FW55" s="617">
        <f>'ASWING STRUCT'!FW55*3.28084</f>
        <v>-5.1181103999999999</v>
      </c>
      <c r="FX55" s="617">
        <f>'ASWING STRUCT'!FX55*3.28084</f>
        <v>13.851706479999999</v>
      </c>
      <c r="FY55" s="617">
        <f>'ASWING STRUCT'!FY55</f>
        <v>0</v>
      </c>
      <c r="FZ55" s="698">
        <f>'ASWING STRUCT'!FZ55*0.224809*3.28084^2</f>
        <v>480154.26951593644</v>
      </c>
      <c r="GA55" s="698">
        <f>'ASWING STRUCT'!GA55*0.224809*3.28084^2</f>
        <v>435681.65711212513</v>
      </c>
      <c r="GB55" s="698">
        <f>'ASWING STRUCT'!GB55*0.224809*3.28084^2</f>
        <v>0</v>
      </c>
      <c r="GC55" s="698">
        <f>'ASWING STRUCT'!GC55*0.224809*3.28084^2</f>
        <v>0</v>
      </c>
      <c r="GD55" s="698">
        <f>'ASWING STRUCT'!GD55*0.224809*3.28084^2</f>
        <v>0</v>
      </c>
      <c r="GE55" s="698">
        <f>'ASWING STRUCT'!GE55*0.224809*3.28084^2</f>
        <v>119989166.87440778</v>
      </c>
      <c r="GF55" s="617">
        <f>'ASWING STRUCT'!GF55</f>
        <v>0</v>
      </c>
      <c r="GG55" s="698">
        <f>'ASWING STRUCT'!GG55*0.224809</f>
        <v>0</v>
      </c>
      <c r="GH55" s="698">
        <f>'ASWING STRUCT'!GH55*0.224809</f>
        <v>0</v>
      </c>
      <c r="GI55" s="617">
        <f>'ASWING STRUCT'!GI55*2.20462*3.28084</f>
        <v>0</v>
      </c>
      <c r="GJ55" s="617">
        <f>'ASWING STRUCT'!GJ55*2.20462*3.28084</f>
        <v>0</v>
      </c>
      <c r="GK55" s="617">
        <f>'ASWING STRUCT'!GK55*2.20462/3.28084</f>
        <v>16.555509875986864</v>
      </c>
      <c r="GL55" s="617">
        <f>'ASWING STRUCT'!GL55*3.28084</f>
        <v>-2.4941067781406594</v>
      </c>
      <c r="GM55" s="617">
        <f>'ASWING STRUCT'!GM55*3.28084</f>
        <v>0</v>
      </c>
      <c r="GN55" s="617">
        <f>'ASWING STRUCT'!GN55*2.20462*3.28084</f>
        <v>0</v>
      </c>
      <c r="GO55" s="617">
        <f>'ASWING STRUCT'!GO55*2.20462*3.28084</f>
        <v>0</v>
      </c>
      <c r="GP55" s="617">
        <f>'ASWING STRUCT'!GP55*2.20462/3.28084</f>
        <v>0</v>
      </c>
      <c r="GQ55" s="617">
        <f>'ASWING STRUCT'!GQ55*3.28084</f>
        <v>0</v>
      </c>
      <c r="GR55" s="617">
        <f>'ASWING STRUCT'!GR55*3.28084</f>
        <v>0</v>
      </c>
      <c r="GS55" s="617">
        <f>'ASWING STRUCT'!GS55*3.28084</f>
        <v>-3.5094102681320383</v>
      </c>
      <c r="GT55" s="617">
        <f>'ASWING STRUCT'!GT55*3.28084</f>
        <v>0</v>
      </c>
      <c r="GU55" s="617">
        <f>'ASWING STRUCT'!GU55*3.28084</f>
        <v>0</v>
      </c>
      <c r="GV55" s="617">
        <f>'ASWING STRUCT'!GV55*3.28084</f>
        <v>0</v>
      </c>
      <c r="GW55" s="617">
        <f>'ASWING STRUCT'!GW55</f>
        <v>2E-3</v>
      </c>
      <c r="GX55" s="617">
        <f>'ASWING STRUCT'!GX55</f>
        <v>2E-3</v>
      </c>
      <c r="GY55" s="617">
        <f>'ASWING STRUCT'!GY55*3.28084</f>
        <v>-4.0157481599999993</v>
      </c>
      <c r="GZ55" s="617">
        <f>'ASWING STRUCT'!GZ55*3.28084</f>
        <v>0.60236222399999995</v>
      </c>
      <c r="HA55" s="617">
        <f>'ASWING STRUCT'!HA55*3.28084^3</f>
        <v>1.168692852257552E-2</v>
      </c>
      <c r="HB55" s="617">
        <f>'ASWING STRUCT'!HB55*3.28084</f>
        <v>0</v>
      </c>
      <c r="HC55" s="617">
        <f>'ASWING STRUCT'!HC55</f>
        <v>5.4999999999999997E-3</v>
      </c>
      <c r="HD55" s="617">
        <f>'ASWING STRUCT'!HD55</f>
        <v>5.4999999999999997E-3</v>
      </c>
      <c r="HE55" s="617">
        <f>'ASWING STRUCT'!HE55*3.28084</f>
        <v>6.6929135999999998</v>
      </c>
      <c r="HF55" s="617">
        <f>'ASWING STRUCT'!HF55</f>
        <v>0.85</v>
      </c>
      <c r="HG55" s="617">
        <f>'ASWING STRUCT'!HG55</f>
        <v>0</v>
      </c>
      <c r="HH55" s="617">
        <f>'ASWING STRUCT'!HH55</f>
        <v>0</v>
      </c>
      <c r="HI55" s="617">
        <f>'ASWING STRUCT'!HI55</f>
        <v>1.4</v>
      </c>
      <c r="HJ55" s="617">
        <f>'ASWING STRUCT'!HJ55</f>
        <v>-1.4</v>
      </c>
      <c r="HK55" s="616">
        <f>'ASWING STRUCT'!HK55</f>
        <v>5.9690260418206069</v>
      </c>
    </row>
    <row r="56" spans="1:219" x14ac:dyDescent="0.25">
      <c r="A56" t="s">
        <v>894</v>
      </c>
      <c r="B56" s="664">
        <v>0</v>
      </c>
      <c r="C56" s="665">
        <v>1.56</v>
      </c>
      <c r="D56" s="665">
        <v>0.1</v>
      </c>
      <c r="E56" s="670">
        <f>'ASWING STRUCT'!E56* 3.28084</f>
        <v>28.795932679999996</v>
      </c>
      <c r="F56" s="670">
        <f>'ASWING STRUCT'!F56* 3.28084</f>
        <v>0</v>
      </c>
      <c r="G56" s="670">
        <f>'ASWING STRUCT'!G56* 3.28084</f>
        <v>9.5341210400000005</v>
      </c>
      <c r="H56" s="671">
        <f>'ASWING STRUCT'!H56*2.20462</f>
        <v>421.08241999999996</v>
      </c>
      <c r="I56" s="668">
        <v>5</v>
      </c>
      <c r="J56" s="204">
        <f t="shared" si="0"/>
        <v>28.795932679999996</v>
      </c>
      <c r="K56" s="575">
        <v>7</v>
      </c>
      <c r="L56">
        <f>AA51</f>
        <v>45.246064439999998</v>
      </c>
      <c r="M56">
        <v>3</v>
      </c>
      <c r="N56" s="626">
        <f>0.5*(MAX(ED50:ED60)-MIN(ED50:ED60))+MIN(ED50:ED60)</f>
        <v>23.499999999999996</v>
      </c>
      <c r="O56" s="576">
        <v>0</v>
      </c>
      <c r="P56" s="580"/>
      <c r="AU56" s="594"/>
      <c r="AV56" s="574">
        <f ca="1">100*(AX56-$AX$50)/(MAX($AX$50:INDEX(($AX$50:$AX$150),$F$35+1,1))-MIN($AX$50:INDEX(($AX$50:$AX$150),$F$35+1,1)))</f>
        <v>28.000000000000004</v>
      </c>
      <c r="AW56" s="660">
        <f ca="1">OFFSET('Trapezoidal Wing Summary'!C$45,((ROW('Trapezoidal Wing Summary'!$A51)-ROW('Trapezoidal Wing Summary'!$A$45))*100/$F$35),0)+$F$15</f>
        <v>24.000262579031997</v>
      </c>
      <c r="AX56" s="660">
        <f ca="1">OFFSET('Trapezoidal Wing Summary'!D$45,((ROW('Trapezoidal Wing Summary'!$A51)-ROW('Trapezoidal Wing Summary'!$A$45))*100/$F$35),0)+$F$16</f>
        <v>6.7306366983200006</v>
      </c>
      <c r="AY56" s="660">
        <f ca="1">OFFSET('Trapezoidal Wing Summary'!E$45,((ROW('Trapezoidal Wing Summary'!$A51)-ROW('Trapezoidal Wing Summary'!$A$45))*100/$F$35),0)+$F$17</f>
        <v>8.1686780829199996</v>
      </c>
      <c r="AZ56" s="41">
        <f ca="1">OFFSET('Trapezoidal Wing Summary'!F$45,((ROW('Trapezoidal Wing Summary'!$A51)-ROW('Trapezoidal Wing Summary'!$A$45))*100/$F$35),0)</f>
        <v>0</v>
      </c>
      <c r="BA56" s="41">
        <f ca="1">OFFSET('Trapezoidal Wing Summary'!G$45,((ROW('Trapezoidal Wing Summary'!$A51)-ROW('Trapezoidal Wing Summary'!$A$45))*100/$F$35),0)</f>
        <v>1388683.1236106495</v>
      </c>
      <c r="BB56" s="41">
        <f ca="1">OFFSET('Trapezoidal Wing Summary'!H$45,((ROW('Trapezoidal Wing Summary'!$A51)-ROW('Trapezoidal Wing Summary'!$A$45))*100/$F$35),0)</f>
        <v>5762329.2854731511</v>
      </c>
      <c r="BC56" s="41">
        <f ca="1">OFFSET('Trapezoidal Wing Summary'!I$45,((ROW('Trapezoidal Wing Summary'!$A51)-ROW('Trapezoidal Wing Summary'!$A$45))*100/$F$35),0)</f>
        <v>0</v>
      </c>
      <c r="BD56" s="41">
        <f ca="1">OFFSET('Trapezoidal Wing Summary'!J$45,((ROW('Trapezoidal Wing Summary'!$A51)-ROW('Trapezoidal Wing Summary'!$A$45))*100/$F$35),0)</f>
        <v>0</v>
      </c>
      <c r="BE56" s="41">
        <f ca="1">OFFSET('Trapezoidal Wing Summary'!K$45,((ROW('Trapezoidal Wing Summary'!$A51)-ROW('Trapezoidal Wing Summary'!$A$45))*100/$F$35),0)</f>
        <v>0</v>
      </c>
      <c r="BF56" s="41">
        <f ca="1">OFFSET('Trapezoidal Wing Summary'!L$45,((ROW('Trapezoidal Wing Summary'!$A51)-ROW('Trapezoidal Wing Summary'!$A$45))*100/$F$35),0)</f>
        <v>38624804.169002652</v>
      </c>
      <c r="BG56" s="41">
        <f ca="1">OFFSET('Trapezoidal Wing Summary'!M$45,((ROW('Trapezoidal Wing Summary'!$A51)-ROW('Trapezoidal Wing Summary'!$A$45))*100/$F$35),0)</f>
        <v>0</v>
      </c>
      <c r="BH56" s="41">
        <f ca="1">OFFSET('Trapezoidal Wing Summary'!N$45,((ROW('Trapezoidal Wing Summary'!$A51)-ROW('Trapezoidal Wing Summary'!$A$45))*100/$F$35),0)</f>
        <v>0</v>
      </c>
      <c r="BI56" s="41">
        <f ca="1">OFFSET('Trapezoidal Wing Summary'!O$45,((ROW('Trapezoidal Wing Summary'!$A51)-ROW('Trapezoidal Wing Summary'!$A$45))*100/$F$35),0)</f>
        <v>0</v>
      </c>
      <c r="BJ56" s="41">
        <f ca="1">OFFSET('Trapezoidal Wing Summary'!P$45,((ROW('Trapezoidal Wing Summary'!$A51)-ROW('Trapezoidal Wing Summary'!$A$45))*100/$F$35),0)</f>
        <v>0</v>
      </c>
      <c r="BK56" s="41">
        <f ca="1">OFFSET('Trapezoidal Wing Summary'!Q$45,((ROW('Trapezoidal Wing Summary'!$A51)-ROW('Trapezoidal Wing Summary'!$A$45))*100/$F$35),0)</f>
        <v>0</v>
      </c>
      <c r="BL56" s="41">
        <f ca="1">OFFSET('Trapezoidal Wing Summary'!R$45,((ROW('Trapezoidal Wing Summary'!$A51)-ROW('Trapezoidal Wing Summary'!$A$45))*100/$F$35),0)</f>
        <v>19.629806243281745</v>
      </c>
      <c r="BM56" s="41">
        <f ca="1">OFFSET('Trapezoidal Wing Summary'!S$45,((ROW('Trapezoidal Wing Summary'!$A51)-ROW('Trapezoidal Wing Summary'!$A$45))*100/$F$35),0)</f>
        <v>0.86448572528182011</v>
      </c>
      <c r="BN56" s="41">
        <f ca="1">OFFSET('Trapezoidal Wing Summary'!T$45,((ROW('Trapezoidal Wing Summary'!$A51)-ROW('Trapezoidal Wing Summary'!$A$45))*100/$F$35),0)</f>
        <v>0</v>
      </c>
      <c r="BO56" s="41">
        <f ca="1">OFFSET('Trapezoidal Wing Summary'!U$45,((ROW('Trapezoidal Wing Summary'!$A51)-ROW('Trapezoidal Wing Summary'!$A$45))*100/$F$35),0)</f>
        <v>0</v>
      </c>
      <c r="BP56" s="41">
        <f ca="1">OFFSET('Trapezoidal Wing Summary'!V$45,((ROW('Trapezoidal Wing Summary'!$A51)-ROW('Trapezoidal Wing Summary'!$A$45))*100/$F$35),0)</f>
        <v>0</v>
      </c>
      <c r="BQ56" s="41">
        <f ca="1">OFFSET('Trapezoidal Wing Summary'!W$45,((ROW('Trapezoidal Wing Summary'!$A51)-ROW('Trapezoidal Wing Summary'!$A$45))*100/$F$35),0)</f>
        <v>0</v>
      </c>
      <c r="BR56" s="41">
        <f ca="1">OFFSET('Trapezoidal Wing Summary'!X$45,((ROW('Trapezoidal Wing Summary'!$A51)-ROW('Trapezoidal Wing Summary'!$A$45))*100/$F$35),0)</f>
        <v>0</v>
      </c>
      <c r="BS56" s="41">
        <f ca="1">OFFSET('Trapezoidal Wing Summary'!Y$45,((ROW('Trapezoidal Wing Summary'!$A51)-ROW('Trapezoidal Wing Summary'!$A$45))*100/$F$35),0)</f>
        <v>0</v>
      </c>
      <c r="BT56" s="41">
        <f ca="1">OFFSET('Trapezoidal Wing Summary'!Z$45,((ROW('Trapezoidal Wing Summary'!$A51)-ROW('Trapezoidal Wing Summary'!$A$45))*100/$F$35),0)</f>
        <v>0.40936769473925283</v>
      </c>
      <c r="BU56" s="41">
        <f ca="1">OFFSET('Trapezoidal Wing Summary'!AA$45,((ROW('Trapezoidal Wing Summary'!$A51)-ROW('Trapezoidal Wing Summary'!$A$45))*100/$F$35),0)</f>
        <v>0</v>
      </c>
      <c r="BV56" s="41">
        <f ca="1">OFFSET('Trapezoidal Wing Summary'!AB$45,((ROW('Trapezoidal Wing Summary'!$A51)-ROW('Trapezoidal Wing Summary'!$A$45))*100/$F$35),0)</f>
        <v>0</v>
      </c>
      <c r="BW56" s="41">
        <f ca="1">OFFSET('Trapezoidal Wing Summary'!AC$45,((ROW('Trapezoidal Wing Summary'!$A51)-ROW('Trapezoidal Wing Summary'!$A$45))*100/$F$35),0)</f>
        <v>0</v>
      </c>
      <c r="BX56" s="41">
        <f ca="1">OFFSET('Trapezoidal Wing Summary'!AD$45,((ROW('Trapezoidal Wing Summary'!$A51)-ROW('Trapezoidal Wing Summary'!$A$45))*100/$F$35),0)</f>
        <v>2E-3</v>
      </c>
      <c r="BY56" s="41">
        <f ca="1">OFFSET('Trapezoidal Wing Summary'!AE$45,((ROW('Trapezoidal Wing Summary'!$A51)-ROW('Trapezoidal Wing Summary'!$A$45))*100/$F$35),0)</f>
        <v>2E-3</v>
      </c>
      <c r="BZ56" s="41">
        <f ca="1">OFFSET('Trapezoidal Wing Summary'!AF$45,((ROW('Trapezoidal Wing Summary'!$A51)-ROW('Trapezoidal Wing Summary'!$A$45))*100/$F$35),0)</f>
        <v>0</v>
      </c>
      <c r="CA56" s="41">
        <f ca="1">OFFSET('Trapezoidal Wing Summary'!AG$45,((ROW('Trapezoidal Wing Summary'!$A51)-ROW('Trapezoidal Wing Summary'!$A$45))*100/$F$35),0)</f>
        <v>0.41282481636000001</v>
      </c>
      <c r="CB56" s="41">
        <f ca="1">OFFSET('Trapezoidal Wing Summary'!AH$45,((ROW('Trapezoidal Wing Summary'!$A51)-ROW('Trapezoidal Wing Summary'!$A$45))*100/$F$35),0)</f>
        <v>5.4892944142444942E-3</v>
      </c>
      <c r="CC56" s="41">
        <f ca="1">OFFSET('Trapezoidal Wing Summary'!AI$45,((ROW('Trapezoidal Wing Summary'!$A51)-ROW('Trapezoidal Wing Summary'!$A$45))*100/$F$35),0)</f>
        <v>0</v>
      </c>
      <c r="CD56" s="41">
        <f>'REF - ASWING AERO-Imperial'!$R$5</f>
        <v>5.4999999999999997E-3</v>
      </c>
      <c r="CE56" s="41">
        <f>'REF - ASWING AERO-Imperial'!$R$6</f>
        <v>5.4999999999999997E-3</v>
      </c>
      <c r="CF56" s="41">
        <f ca="1">OFFSET('Trapezoidal Wing Summary'!AL$45,((ROW('Trapezoidal Wing Summary'!$A51)-ROW('Trapezoidal Wing Summary'!$A$45))*100/$F$35),0)</f>
        <v>4.5869424040000002</v>
      </c>
      <c r="CG56" s="41">
        <f ca="1">OFFSET('Trapezoidal Wing Summary'!AM$45,((ROW('Trapezoidal Wing Summary'!$A51)-ROW('Trapezoidal Wing Summary'!$A$45))*100/$F$35),0)</f>
        <v>0.25</v>
      </c>
      <c r="CH56" s="41">
        <f ca="1">OFFSET('Trapezoidal Wing Summary'!AN$45,((ROW('Trapezoidal Wing Summary'!$A51)-ROW('Trapezoidal Wing Summary'!$A$45))*100/$F$35),0)</f>
        <v>5.85</v>
      </c>
      <c r="CI56" s="41">
        <f ca="1">OFFSET('Trapezoidal Wing Summary'!AO$45,((ROW('Trapezoidal Wing Summary'!$A51)-ROW('Trapezoidal Wing Summary'!$A$45))*100/$F$35),0)</f>
        <v>-0.15</v>
      </c>
      <c r="CJ56" s="41">
        <f ca="1">OFFSET('Trapezoidal Wing Summary'!AP$45,((ROW('Trapezoidal Wing Summary'!$A51)-ROW('Trapezoidal Wing Summary'!$A$45))*100/$F$35),0)</f>
        <v>1.85</v>
      </c>
      <c r="CK56" s="41">
        <f ca="1">OFFSET('Trapezoidal Wing Summary'!AQ$45,((ROW('Trapezoidal Wing Summary'!$A51)-ROW('Trapezoidal Wing Summary'!$A$45))*100/$F$35),0)</f>
        <v>-1.55</v>
      </c>
      <c r="CL56" s="41">
        <f ca="1">OFFSET('Trapezoidal Wing Summary'!AR$45,((ROW('Trapezoidal Wing Summary'!$A51)-ROW('Trapezoidal Wing Summary'!$A$45))*100/$F$35),0)</f>
        <v>5.9690260418206069</v>
      </c>
      <c r="CM56" s="645">
        <f>'ASWING STRUCT'!CM56</f>
        <v>28.000000000000004</v>
      </c>
      <c r="CN56" s="642">
        <f>'ASWING STRUCT'!CN56*3.28084</f>
        <v>10.478554797255999</v>
      </c>
      <c r="CO56" s="642">
        <f>'ASWING STRUCT'!CO56*3.28084</f>
        <v>2.7559056000000002</v>
      </c>
      <c r="CP56" s="642">
        <f>'ASWING STRUCT'!CP56*3.28084</f>
        <v>12.850247130368</v>
      </c>
      <c r="CQ56" s="642">
        <f>'ASWING STRUCT'!CQ56</f>
        <v>0</v>
      </c>
      <c r="CR56" s="692">
        <f>'ASWING STRUCT'!CR56*0.224809*3.28084^2</f>
        <v>126495.21197183832</v>
      </c>
      <c r="CS56" s="692">
        <f>'ASWING STRUCT'!CS56*0.224809*3.28084^2</f>
        <v>114848.93479736752</v>
      </c>
      <c r="CT56" s="692">
        <f>'ASWING STRUCT'!CT56*0.224809*3.28084^2</f>
        <v>0</v>
      </c>
      <c r="CU56" s="692">
        <f>'ASWING STRUCT'!CU56*0.224809*3.28084^2</f>
        <v>0</v>
      </c>
      <c r="CV56" s="692">
        <f>'ASWING STRUCT'!CV56*0.224809*3.28084^2</f>
        <v>0</v>
      </c>
      <c r="CW56" s="692">
        <f>'ASWING STRUCT'!CW56*0.224809*3.28084^2</f>
        <v>2562718.0582719482</v>
      </c>
      <c r="CX56" s="642">
        <f>'ASWING STRUCT'!CX56</f>
        <v>0</v>
      </c>
      <c r="CY56" s="642">
        <f>'ASWING STRUCT'!CY56*0.224809</f>
        <v>0</v>
      </c>
      <c r="CZ56" s="642">
        <f>'ASWING STRUCT'!CZ56*0.224809</f>
        <v>0</v>
      </c>
      <c r="DA56" s="642">
        <f>'ASWING STRUCT'!DA56*2.20462*3.28084</f>
        <v>0</v>
      </c>
      <c r="DB56" s="642">
        <f>'ASWING STRUCT'!DB56*2.20462*3.28084</f>
        <v>0</v>
      </c>
      <c r="DC56" s="642">
        <f>'ASWING STRUCT'!DC56*2.20462/3.28084</f>
        <v>2.8199417747166797</v>
      </c>
      <c r="DD56" s="642">
        <f>'ASWING STRUCT'!DD56*3.28084</f>
        <v>0.36704618579848014</v>
      </c>
      <c r="DE56" s="642">
        <f>'ASWING STRUCT'!DE56*3.28084</f>
        <v>0</v>
      </c>
      <c r="DF56" s="642">
        <f>'ASWING STRUCT'!DF56*2.20462*3.28084</f>
        <v>0</v>
      </c>
      <c r="DG56" s="642">
        <f>'ASWING STRUCT'!DG56*2.20462*3.28084</f>
        <v>0</v>
      </c>
      <c r="DH56" s="642">
        <f>'ASWING STRUCT'!DH56*2.20462/3.28084</f>
        <v>0</v>
      </c>
      <c r="DI56" s="642">
        <f>'ASWING STRUCT'!DI56*3.28084</f>
        <v>0</v>
      </c>
      <c r="DJ56" s="642">
        <f>'ASWING STRUCT'!DJ56*3.28084</f>
        <v>0</v>
      </c>
      <c r="DK56" s="642">
        <f>'ASWING STRUCT'!DK56*3.28084</f>
        <v>0.16948209920366841</v>
      </c>
      <c r="DL56" s="642">
        <f>'ASWING STRUCT'!DL56*3.28084</f>
        <v>0</v>
      </c>
      <c r="DM56" s="642">
        <f>'ASWING STRUCT'!DM56*3.28084</f>
        <v>0</v>
      </c>
      <c r="DN56" s="642">
        <f>'ASWING STRUCT'!DN56*3.28084</f>
        <v>0</v>
      </c>
      <c r="DO56" s="642">
        <f>'ASWING STRUCT'!DO56</f>
        <v>2E-3</v>
      </c>
      <c r="DP56" s="642">
        <f>'ASWING STRUCT'!DP56</f>
        <v>2E-3</v>
      </c>
      <c r="DQ56" s="642">
        <f>'ASWING STRUCT'!DQ56*3.28084</f>
        <v>0</v>
      </c>
      <c r="DR56" s="642">
        <f>'ASWING STRUCT'!DR56*3.28084</f>
        <v>0.1671259896</v>
      </c>
      <c r="DS56" s="642">
        <f>'ASWING STRUCT'!DS56*3.28084^3</f>
        <v>8.99648614421906E-4</v>
      </c>
      <c r="DT56" s="642">
        <f>'ASWING STRUCT'!DT56*3.28084</f>
        <v>0</v>
      </c>
      <c r="DU56" s="642">
        <f>'ASWING STRUCT'!DU56</f>
        <v>5.4999999999999997E-3</v>
      </c>
      <c r="DV56" s="642">
        <f>'ASWING STRUCT'!DV56</f>
        <v>5.4999999999999997E-3</v>
      </c>
      <c r="DW56" s="642">
        <f>'ASWING STRUCT'!DW56*3.28084</f>
        <v>1.8569554400000001</v>
      </c>
      <c r="DX56" s="642">
        <f>'ASWING STRUCT'!DX56</f>
        <v>0.25</v>
      </c>
      <c r="DY56" s="642">
        <f>'ASWING STRUCT'!DY56</f>
        <v>5.9</v>
      </c>
      <c r="DZ56" s="642">
        <f>'ASWING STRUCT'!DZ56</f>
        <v>-0.15</v>
      </c>
      <c r="EA56" s="642">
        <f>'ASWING STRUCT'!EA56</f>
        <v>2.25</v>
      </c>
      <c r="EB56" s="642">
        <f>'ASWING STRUCT'!EB56</f>
        <v>-1.65</v>
      </c>
      <c r="EC56" s="641">
        <f>'ASWING STRUCT'!EC56</f>
        <v>5.9690260418206069</v>
      </c>
      <c r="ED56" s="697">
        <f>'ASWING STRUCT'!ED56</f>
        <v>28.000000000000004</v>
      </c>
      <c r="EE56" s="617">
        <f>'ASWING STRUCT'!EE56*3.28084</f>
        <v>39.009187599999997</v>
      </c>
      <c r="EF56" s="617">
        <f>'ASWING STRUCT'!EF56*3.28084</f>
        <v>5.1181103999999999</v>
      </c>
      <c r="EG56" s="617">
        <f>'ASWING STRUCT'!EG56*3.28084</f>
        <v>14.08136528</v>
      </c>
      <c r="EH56" s="617">
        <f>'ASWING STRUCT'!EH56</f>
        <v>0</v>
      </c>
      <c r="EI56" s="698">
        <f>'ASWING STRUCT'!EI56*0.224809*3.28084^2</f>
        <v>505659.65720567777</v>
      </c>
      <c r="EJ56" s="698">
        <f>'ASWING STRUCT'!EJ56*0.224809*3.28084^2</f>
        <v>394014.67817839159</v>
      </c>
      <c r="EK56" s="698">
        <f>'ASWING STRUCT'!EK56*0.224809*3.28084^2</f>
        <v>0</v>
      </c>
      <c r="EL56" s="698">
        <f>'ASWING STRUCT'!EL56*0.224809*3.28084^2</f>
        <v>0</v>
      </c>
      <c r="EM56" s="698">
        <f>'ASWING STRUCT'!EM56*0.224809*3.28084^2</f>
        <v>0</v>
      </c>
      <c r="EN56" s="698">
        <f>'ASWING STRUCT'!EN56*0.224809*3.28084^2</f>
        <v>103194541.40825018</v>
      </c>
      <c r="EO56" s="617">
        <f>'ASWING STRUCT'!EO56</f>
        <v>0</v>
      </c>
      <c r="EP56" s="698">
        <f>'ASWING STRUCT'!EP56*0.224809</f>
        <v>0</v>
      </c>
      <c r="EQ56" s="698">
        <f>'ASWING STRUCT'!EQ56*0.224809</f>
        <v>0</v>
      </c>
      <c r="ER56" s="617">
        <f>'ASWING STRUCT'!ER56*2.20462*3.28084</f>
        <v>0</v>
      </c>
      <c r="ES56" s="617">
        <f>'ASWING STRUCT'!ES56*2.20462*3.28084</f>
        <v>0</v>
      </c>
      <c r="ET56" s="617">
        <f>'ASWING STRUCT'!ET56*2.20462/3.28084</f>
        <v>12.765713863914399</v>
      </c>
      <c r="EU56" s="617">
        <f>'ASWING STRUCT'!EU56*3.28084</f>
        <v>-2.3808452090216368</v>
      </c>
      <c r="EV56" s="617">
        <f>'ASWING STRUCT'!EV56*3.28084</f>
        <v>0</v>
      </c>
      <c r="EW56" s="617">
        <f>'ASWING STRUCT'!EW56*2.20462*3.28084</f>
        <v>0</v>
      </c>
      <c r="EX56" s="617">
        <f>'ASWING STRUCT'!EX56*2.20462*3.28084</f>
        <v>0</v>
      </c>
      <c r="EY56" s="617">
        <f>'ASWING STRUCT'!EY56*2.20462/3.28084</f>
        <v>0</v>
      </c>
      <c r="EZ56" s="617">
        <f>'ASWING STRUCT'!EZ56*3.28084</f>
        <v>0</v>
      </c>
      <c r="FA56" s="617">
        <f>'ASWING STRUCT'!FA56*3.28084</f>
        <v>0</v>
      </c>
      <c r="FB56" s="617">
        <f>'ASWING STRUCT'!FB56*3.28084</f>
        <v>-3.295861364966862</v>
      </c>
      <c r="FC56" s="617">
        <f>'ASWING STRUCT'!FC56*3.28084</f>
        <v>0</v>
      </c>
      <c r="FD56" s="617">
        <f>'ASWING STRUCT'!FD56*3.28084</f>
        <v>0</v>
      </c>
      <c r="FE56" s="617">
        <f>'ASWING STRUCT'!FE56*3.28084</f>
        <v>0</v>
      </c>
      <c r="FF56" s="617">
        <f>'ASWING STRUCT'!FF56</f>
        <v>2E-3</v>
      </c>
      <c r="FG56" s="617">
        <f>'ASWING STRUCT'!FG56</f>
        <v>2E-3</v>
      </c>
      <c r="FH56" s="617">
        <f>'ASWING STRUCT'!FH56*3.28084</f>
        <v>-3.8188977599999996</v>
      </c>
      <c r="FI56" s="617">
        <f>'ASWING STRUCT'!FI56*3.28084</f>
        <v>0.57283466400000005</v>
      </c>
      <c r="FJ56" s="617">
        <f>'ASWING STRUCT'!FJ56*3.28084^3</f>
        <v>1.0569233993551815E-2</v>
      </c>
      <c r="FK56" s="617">
        <f>'ASWING STRUCT'!FK56*3.28084</f>
        <v>0</v>
      </c>
      <c r="FL56" s="617">
        <f>'ASWING STRUCT'!FL56</f>
        <v>5.4999999999999997E-3</v>
      </c>
      <c r="FM56" s="617">
        <f>'ASWING STRUCT'!FM56</f>
        <v>5.4999999999999997E-3</v>
      </c>
      <c r="FN56" s="617">
        <f>'ASWING STRUCT'!FN56*3.28084</f>
        <v>6.3648296000000002</v>
      </c>
      <c r="FO56" s="617">
        <f>'ASWING STRUCT'!FO56</f>
        <v>0.85</v>
      </c>
      <c r="FP56" s="617">
        <f>'ASWING STRUCT'!FP56</f>
        <v>0</v>
      </c>
      <c r="FQ56" s="617">
        <f>'ASWING STRUCT'!FQ56</f>
        <v>0</v>
      </c>
      <c r="FR56" s="617">
        <f>'ASWING STRUCT'!FR56</f>
        <v>1.4</v>
      </c>
      <c r="FS56" s="617">
        <f>'ASWING STRUCT'!FS56</f>
        <v>-1.4</v>
      </c>
      <c r="FT56" s="616">
        <f>'ASWING STRUCT'!FT56</f>
        <v>5.9690260418206069</v>
      </c>
      <c r="FU56" s="697">
        <f>'ASWING STRUCT'!FU56</f>
        <v>28.000000000000004</v>
      </c>
      <c r="FV56" s="617">
        <f>'ASWING STRUCT'!FV56*3.28084</f>
        <v>39.009187599999997</v>
      </c>
      <c r="FW56" s="617">
        <f>'ASWING STRUCT'!FW56*3.28084</f>
        <v>-5.1181103999999999</v>
      </c>
      <c r="FX56" s="617">
        <f>'ASWING STRUCT'!FX56*3.28084</f>
        <v>14.08136528</v>
      </c>
      <c r="FY56" s="617">
        <f>'ASWING STRUCT'!FY56</f>
        <v>0</v>
      </c>
      <c r="FZ56" s="698">
        <f>'ASWING STRUCT'!FZ56*0.224809*3.28084^2</f>
        <v>505659.65720567777</v>
      </c>
      <c r="GA56" s="698">
        <f>'ASWING STRUCT'!GA56*0.224809*3.28084^2</f>
        <v>394014.67817839159</v>
      </c>
      <c r="GB56" s="698">
        <f>'ASWING STRUCT'!GB56*0.224809*3.28084^2</f>
        <v>0</v>
      </c>
      <c r="GC56" s="698">
        <f>'ASWING STRUCT'!GC56*0.224809*3.28084^2</f>
        <v>0</v>
      </c>
      <c r="GD56" s="698">
        <f>'ASWING STRUCT'!GD56*0.224809*3.28084^2</f>
        <v>0</v>
      </c>
      <c r="GE56" s="698">
        <f>'ASWING STRUCT'!GE56*0.224809*3.28084^2</f>
        <v>103194541.40825018</v>
      </c>
      <c r="GF56" s="617">
        <f>'ASWING STRUCT'!GF56</f>
        <v>0</v>
      </c>
      <c r="GG56" s="698">
        <f>'ASWING STRUCT'!GG56*0.224809</f>
        <v>0</v>
      </c>
      <c r="GH56" s="698">
        <f>'ASWING STRUCT'!GH56*0.224809</f>
        <v>0</v>
      </c>
      <c r="GI56" s="617">
        <f>'ASWING STRUCT'!GI56*2.20462*3.28084</f>
        <v>0</v>
      </c>
      <c r="GJ56" s="617">
        <f>'ASWING STRUCT'!GJ56*2.20462*3.28084</f>
        <v>0</v>
      </c>
      <c r="GK56" s="617">
        <f>'ASWING STRUCT'!GK56*2.20462/3.28084</f>
        <v>12.765713863914399</v>
      </c>
      <c r="GL56" s="617">
        <f>'ASWING STRUCT'!GL56*3.28084</f>
        <v>-2.3808452090216368</v>
      </c>
      <c r="GM56" s="617">
        <f>'ASWING STRUCT'!GM56*3.28084</f>
        <v>0</v>
      </c>
      <c r="GN56" s="617">
        <f>'ASWING STRUCT'!GN56*2.20462*3.28084</f>
        <v>0</v>
      </c>
      <c r="GO56" s="617">
        <f>'ASWING STRUCT'!GO56*2.20462*3.28084</f>
        <v>0</v>
      </c>
      <c r="GP56" s="617">
        <f>'ASWING STRUCT'!GP56*2.20462/3.28084</f>
        <v>0</v>
      </c>
      <c r="GQ56" s="617">
        <f>'ASWING STRUCT'!GQ56*3.28084</f>
        <v>0</v>
      </c>
      <c r="GR56" s="617">
        <f>'ASWING STRUCT'!GR56*3.28084</f>
        <v>0</v>
      </c>
      <c r="GS56" s="617">
        <f>'ASWING STRUCT'!GS56*3.28084</f>
        <v>-3.295861364966862</v>
      </c>
      <c r="GT56" s="617">
        <f>'ASWING STRUCT'!GT56*3.28084</f>
        <v>0</v>
      </c>
      <c r="GU56" s="617">
        <f>'ASWING STRUCT'!GU56*3.28084</f>
        <v>0</v>
      </c>
      <c r="GV56" s="617">
        <f>'ASWING STRUCT'!GV56*3.28084</f>
        <v>0</v>
      </c>
      <c r="GW56" s="617">
        <f>'ASWING STRUCT'!GW56</f>
        <v>2E-3</v>
      </c>
      <c r="GX56" s="617">
        <f>'ASWING STRUCT'!GX56</f>
        <v>2E-3</v>
      </c>
      <c r="GY56" s="617">
        <f>'ASWING STRUCT'!GY56*3.28084</f>
        <v>-3.8188977599999996</v>
      </c>
      <c r="GZ56" s="617">
        <f>'ASWING STRUCT'!GZ56*3.28084</f>
        <v>0.57283466400000005</v>
      </c>
      <c r="HA56" s="617">
        <f>'ASWING STRUCT'!HA56*3.28084^3</f>
        <v>1.0569233993551815E-2</v>
      </c>
      <c r="HB56" s="617">
        <f>'ASWING STRUCT'!HB56*3.28084</f>
        <v>0</v>
      </c>
      <c r="HC56" s="617">
        <f>'ASWING STRUCT'!HC56</f>
        <v>5.4999999999999997E-3</v>
      </c>
      <c r="HD56" s="617">
        <f>'ASWING STRUCT'!HD56</f>
        <v>5.4999999999999997E-3</v>
      </c>
      <c r="HE56" s="617">
        <f>'ASWING STRUCT'!HE56*3.28084</f>
        <v>6.3648296000000002</v>
      </c>
      <c r="HF56" s="617">
        <f>'ASWING STRUCT'!HF56</f>
        <v>0.85</v>
      </c>
      <c r="HG56" s="617">
        <f>'ASWING STRUCT'!HG56</f>
        <v>0</v>
      </c>
      <c r="HH56" s="617">
        <f>'ASWING STRUCT'!HH56</f>
        <v>0</v>
      </c>
      <c r="HI56" s="617">
        <f>'ASWING STRUCT'!HI56</f>
        <v>1.4</v>
      </c>
      <c r="HJ56" s="617">
        <f>'ASWING STRUCT'!HJ56</f>
        <v>-1.4</v>
      </c>
      <c r="HK56" s="616">
        <f>'ASWING STRUCT'!HK56</f>
        <v>5.9690260418206069</v>
      </c>
    </row>
    <row r="57" spans="1:219" x14ac:dyDescent="0.25">
      <c r="A57" t="s">
        <v>895</v>
      </c>
      <c r="B57" s="664">
        <v>0.71453</v>
      </c>
      <c r="C57" s="665">
        <v>4.5949999999999998</v>
      </c>
      <c r="D57" s="665">
        <v>0.1</v>
      </c>
      <c r="E57" s="670">
        <f>'ASWING STRUCT'!E57* 3.28084</f>
        <v>26.24672</v>
      </c>
      <c r="F57" s="670">
        <f>'ASWING STRUCT'!F57* 3.28084</f>
        <v>0</v>
      </c>
      <c r="G57" s="670">
        <f>'ASWING STRUCT'!G57* 3.28084</f>
        <v>4.9212600000000002</v>
      </c>
      <c r="H57" s="671">
        <f>'ASWING STRUCT'!H57*2.20462</f>
        <v>101.41251999999999</v>
      </c>
      <c r="I57" s="668">
        <v>9</v>
      </c>
      <c r="J57" s="204">
        <f t="shared" si="0"/>
        <v>26.24672</v>
      </c>
      <c r="K57" s="575">
        <v>8</v>
      </c>
      <c r="L57">
        <f>AF51</f>
        <v>45.246064439999998</v>
      </c>
      <c r="M57">
        <v>4</v>
      </c>
      <c r="N57" s="626">
        <f>N56</f>
        <v>23.499999999999996</v>
      </c>
      <c r="O57" s="576">
        <v>0</v>
      </c>
      <c r="P57" s="580"/>
      <c r="AU57" s="594"/>
      <c r="AV57" s="574">
        <f ca="1">100*(AX57-$AX$50)/(MAX($AX$50:INDEX(($AX$50:$AX$150),$F$35+1,1))-MIN($AX$50:INDEX(($AX$50:$AX$150),$F$35+1,1)))</f>
        <v>33</v>
      </c>
      <c r="AW57" s="660">
        <f ca="1">OFFSET('Trapezoidal Wing Summary'!C$45,((ROW('Trapezoidal Wing Summary'!$A52)-ROW('Trapezoidal Wing Summary'!$A$45))*100/$F$35),0)+$F$15</f>
        <v>24.022510775281997</v>
      </c>
      <c r="AX57" s="660">
        <f ca="1">OFFSET('Trapezoidal Wing Summary'!D$45,((ROW('Trapezoidal Wing Summary'!$A52)-ROW('Trapezoidal Wing Summary'!$A$45))*100/$F$35),0)+$F$16</f>
        <v>7.9347049783200001</v>
      </c>
      <c r="AY57" s="660">
        <f ca="1">OFFSET('Trapezoidal Wing Summary'!E$45,((ROW('Trapezoidal Wing Summary'!$A52)-ROW('Trapezoidal Wing Summary'!$A$45))*100/$F$35),0)+$F$17</f>
        <v>8.1686780829199996</v>
      </c>
      <c r="AZ57" s="41">
        <f ca="1">OFFSET('Trapezoidal Wing Summary'!F$45,((ROW('Trapezoidal Wing Summary'!$A52)-ROW('Trapezoidal Wing Summary'!$A$45))*100/$F$35),0)</f>
        <v>0</v>
      </c>
      <c r="BA57" s="41">
        <f ca="1">OFFSET('Trapezoidal Wing Summary'!G$45,((ROW('Trapezoidal Wing Summary'!$A52)-ROW('Trapezoidal Wing Summary'!$A$45))*100/$F$35),0)</f>
        <v>1054877.0390868476</v>
      </c>
      <c r="BB57" s="41">
        <f ca="1">OFFSET('Trapezoidal Wing Summary'!H$45,((ROW('Trapezoidal Wing Summary'!$A52)-ROW('Trapezoidal Wing Summary'!$A$45))*100/$F$35),0)</f>
        <v>4271321.3067302359</v>
      </c>
      <c r="BC57" s="41">
        <f ca="1">OFFSET('Trapezoidal Wing Summary'!I$45,((ROW('Trapezoidal Wing Summary'!$A52)-ROW('Trapezoidal Wing Summary'!$A$45))*100/$F$35),0)</f>
        <v>0</v>
      </c>
      <c r="BD57" s="41">
        <f ca="1">OFFSET('Trapezoidal Wing Summary'!J$45,((ROW('Trapezoidal Wing Summary'!$A52)-ROW('Trapezoidal Wing Summary'!$A$45))*100/$F$35),0)</f>
        <v>0</v>
      </c>
      <c r="BE57" s="41">
        <f ca="1">OFFSET('Trapezoidal Wing Summary'!K$45,((ROW('Trapezoidal Wing Summary'!$A52)-ROW('Trapezoidal Wing Summary'!$A$45))*100/$F$35),0)</f>
        <v>0</v>
      </c>
      <c r="BF57" s="41">
        <f ca="1">OFFSET('Trapezoidal Wing Summary'!L$45,((ROW('Trapezoidal Wing Summary'!$A52)-ROW('Trapezoidal Wing Summary'!$A$45))*100/$F$35),0)</f>
        <v>36420020.812544905</v>
      </c>
      <c r="BG57" s="41">
        <f ca="1">OFFSET('Trapezoidal Wing Summary'!M$45,((ROW('Trapezoidal Wing Summary'!$A52)-ROW('Trapezoidal Wing Summary'!$A$45))*100/$F$35),0)</f>
        <v>0</v>
      </c>
      <c r="BH57" s="41">
        <f ca="1">OFFSET('Trapezoidal Wing Summary'!N$45,((ROW('Trapezoidal Wing Summary'!$A52)-ROW('Trapezoidal Wing Summary'!$A$45))*100/$F$35),0)</f>
        <v>0</v>
      </c>
      <c r="BI57" s="41">
        <f ca="1">OFFSET('Trapezoidal Wing Summary'!O$45,((ROW('Trapezoidal Wing Summary'!$A52)-ROW('Trapezoidal Wing Summary'!$A$45))*100/$F$35),0)</f>
        <v>0</v>
      </c>
      <c r="BJ57" s="41">
        <f ca="1">OFFSET('Trapezoidal Wing Summary'!P$45,((ROW('Trapezoidal Wing Summary'!$A52)-ROW('Trapezoidal Wing Summary'!$A$45))*100/$F$35),0)</f>
        <v>0</v>
      </c>
      <c r="BK57" s="41">
        <f ca="1">OFFSET('Trapezoidal Wing Summary'!Q$45,((ROW('Trapezoidal Wing Summary'!$A52)-ROW('Trapezoidal Wing Summary'!$A$45))*100/$F$35),0)</f>
        <v>0</v>
      </c>
      <c r="BL57" s="41">
        <f ca="1">OFFSET('Trapezoidal Wing Summary'!R$45,((ROW('Trapezoidal Wing Summary'!$A52)-ROW('Trapezoidal Wing Summary'!$A$45))*100/$F$35),0)</f>
        <v>18.457678020982357</v>
      </c>
      <c r="BM57" s="41">
        <f ca="1">OFFSET('Trapezoidal Wing Summary'!S$45,((ROW('Trapezoidal Wing Summary'!$A52)-ROW('Trapezoidal Wing Summary'!$A$45))*100/$F$35),0)</f>
        <v>0.88350110729912235</v>
      </c>
      <c r="BN57" s="41">
        <f ca="1">OFFSET('Trapezoidal Wing Summary'!T$45,((ROW('Trapezoidal Wing Summary'!$A52)-ROW('Trapezoidal Wing Summary'!$A$45))*100/$F$35),0)</f>
        <v>0</v>
      </c>
      <c r="BO57" s="41">
        <f ca="1">OFFSET('Trapezoidal Wing Summary'!U$45,((ROW('Trapezoidal Wing Summary'!$A52)-ROW('Trapezoidal Wing Summary'!$A$45))*100/$F$35),0)</f>
        <v>0</v>
      </c>
      <c r="BP57" s="41">
        <f ca="1">OFFSET('Trapezoidal Wing Summary'!V$45,((ROW('Trapezoidal Wing Summary'!$A52)-ROW('Trapezoidal Wing Summary'!$A$45))*100/$F$35),0)</f>
        <v>0</v>
      </c>
      <c r="BQ57" s="41">
        <f ca="1">OFFSET('Trapezoidal Wing Summary'!W$45,((ROW('Trapezoidal Wing Summary'!$A52)-ROW('Trapezoidal Wing Summary'!$A$45))*100/$F$35),0)</f>
        <v>0</v>
      </c>
      <c r="BR57" s="41">
        <f ca="1">OFFSET('Trapezoidal Wing Summary'!X$45,((ROW('Trapezoidal Wing Summary'!$A52)-ROW('Trapezoidal Wing Summary'!$A$45))*100/$F$35),0)</f>
        <v>0</v>
      </c>
      <c r="BS57" s="41">
        <f ca="1">OFFSET('Trapezoidal Wing Summary'!Y$45,((ROW('Trapezoidal Wing Summary'!$A52)-ROW('Trapezoidal Wing Summary'!$A$45))*100/$F$35),0)</f>
        <v>0</v>
      </c>
      <c r="BT57" s="41">
        <f ca="1">OFFSET('Trapezoidal Wing Summary'!Z$45,((ROW('Trapezoidal Wing Summary'!$A52)-ROW('Trapezoidal Wing Summary'!$A$45))*100/$F$35),0)</f>
        <v>0.40141722588222928</v>
      </c>
      <c r="BU57" s="41">
        <f ca="1">OFFSET('Trapezoidal Wing Summary'!AA$45,((ROW('Trapezoidal Wing Summary'!$A52)-ROW('Trapezoidal Wing Summary'!$A$45))*100/$F$35),0)</f>
        <v>0</v>
      </c>
      <c r="BV57" s="41">
        <f ca="1">OFFSET('Trapezoidal Wing Summary'!AB$45,((ROW('Trapezoidal Wing Summary'!$A52)-ROW('Trapezoidal Wing Summary'!$A$45))*100/$F$35),0)</f>
        <v>0</v>
      </c>
      <c r="BW57" s="41">
        <f ca="1">OFFSET('Trapezoidal Wing Summary'!AC$45,((ROW('Trapezoidal Wing Summary'!$A52)-ROW('Trapezoidal Wing Summary'!$A$45))*100/$F$35),0)</f>
        <v>0</v>
      </c>
      <c r="BX57" s="41">
        <f ca="1">OFFSET('Trapezoidal Wing Summary'!AD$45,((ROW('Trapezoidal Wing Summary'!$A52)-ROW('Trapezoidal Wing Summary'!$A$45))*100/$F$35),0)</f>
        <v>2E-3</v>
      </c>
      <c r="BY57" s="41">
        <f ca="1">OFFSET('Trapezoidal Wing Summary'!AE$45,((ROW('Trapezoidal Wing Summary'!$A52)-ROW('Trapezoidal Wing Summary'!$A$45))*100/$F$35),0)</f>
        <v>2E-3</v>
      </c>
      <c r="BZ57" s="41">
        <f ca="1">OFFSET('Trapezoidal Wing Summary'!AF$45,((ROW('Trapezoidal Wing Summary'!$A52)-ROW('Trapezoidal Wing Summary'!$A$45))*100/$F$35),0)</f>
        <v>0</v>
      </c>
      <c r="CA57" s="41">
        <f ca="1">OFFSET('Trapezoidal Wing Summary'!AG$45,((ROW('Trapezoidal Wing Summary'!$A52)-ROW('Trapezoidal Wing Summary'!$A$45))*100/$F$35),0)</f>
        <v>0.40481546570999999</v>
      </c>
      <c r="CB57" s="41">
        <f ca="1">OFFSET('Trapezoidal Wing Summary'!AH$45,((ROW('Trapezoidal Wing Summary'!$A52)-ROW('Trapezoidal Wing Summary'!$A$45))*100/$F$35),0)</f>
        <v>5.2783614195156866E-3</v>
      </c>
      <c r="CC57" s="41">
        <f ca="1">OFFSET('Trapezoidal Wing Summary'!AI$45,((ROW('Trapezoidal Wing Summary'!$A52)-ROW('Trapezoidal Wing Summary'!$A$45))*100/$F$35),0)</f>
        <v>0</v>
      </c>
      <c r="CD57" s="41">
        <f>'REF - ASWING AERO-Imperial'!$R$5</f>
        <v>5.4999999999999997E-3</v>
      </c>
      <c r="CE57" s="41">
        <f>'REF - ASWING AERO-Imperial'!$R$6</f>
        <v>5.4999999999999997E-3</v>
      </c>
      <c r="CF57" s="41">
        <f ca="1">OFFSET('Trapezoidal Wing Summary'!AL$45,((ROW('Trapezoidal Wing Summary'!$A52)-ROW('Trapezoidal Wing Summary'!$A$45))*100/$F$35),0)</f>
        <v>4.4979496189999999</v>
      </c>
      <c r="CG57" s="41">
        <f ca="1">OFFSET('Trapezoidal Wing Summary'!AM$45,((ROW('Trapezoidal Wing Summary'!$A52)-ROW('Trapezoidal Wing Summary'!$A$45))*100/$F$35),0)</f>
        <v>0.25</v>
      </c>
      <c r="CH57" s="41">
        <f ca="1">OFFSET('Trapezoidal Wing Summary'!AN$45,((ROW('Trapezoidal Wing Summary'!$A52)-ROW('Trapezoidal Wing Summary'!$A$45))*100/$F$35),0)</f>
        <v>5.85</v>
      </c>
      <c r="CI57" s="41">
        <f ca="1">OFFSET('Trapezoidal Wing Summary'!AO$45,((ROW('Trapezoidal Wing Summary'!$A52)-ROW('Trapezoidal Wing Summary'!$A$45))*100/$F$35),0)</f>
        <v>-0.15</v>
      </c>
      <c r="CJ57" s="41">
        <f ca="1">OFFSET('Trapezoidal Wing Summary'!AP$45,((ROW('Trapezoidal Wing Summary'!$A52)-ROW('Trapezoidal Wing Summary'!$A$45))*100/$F$35),0)</f>
        <v>1.85</v>
      </c>
      <c r="CK57" s="41">
        <f ca="1">OFFSET('Trapezoidal Wing Summary'!AQ$45,((ROW('Trapezoidal Wing Summary'!$A52)-ROW('Trapezoidal Wing Summary'!$A$45))*100/$F$35),0)</f>
        <v>-1.55</v>
      </c>
      <c r="CL57" s="41">
        <f ca="1">OFFSET('Trapezoidal Wing Summary'!AR$45,((ROW('Trapezoidal Wing Summary'!$A52)-ROW('Trapezoidal Wing Summary'!$A$45))*100/$F$35),0)</f>
        <v>5.9690260418206069</v>
      </c>
      <c r="CM57" s="645">
        <f>'ASWING STRUCT'!CM57</f>
        <v>33.000000000000007</v>
      </c>
      <c r="CN57" s="642">
        <f>'ASWING STRUCT'!CN57*3.28084</f>
        <v>10.490857947256</v>
      </c>
      <c r="CO57" s="642">
        <f>'ASWING STRUCT'!CO57*3.28084</f>
        <v>3.2480316000000005</v>
      </c>
      <c r="CP57" s="642">
        <f>'ASWING STRUCT'!CP57*3.28084</f>
        <v>12.850247130368</v>
      </c>
      <c r="CQ57" s="642">
        <f>'ASWING STRUCT'!CQ57</f>
        <v>0</v>
      </c>
      <c r="CR57" s="692">
        <f>'ASWING STRUCT'!CR57*0.224809*3.28084^2</f>
        <v>94566.582475402218</v>
      </c>
      <c r="CS57" s="692">
        <f>'ASWING STRUCT'!CS57*0.224809*3.28084^2</f>
        <v>84693.800711073607</v>
      </c>
      <c r="CT57" s="692">
        <f>'ASWING STRUCT'!CT57*0.224809*3.28084^2</f>
        <v>0</v>
      </c>
      <c r="CU57" s="692">
        <f>'ASWING STRUCT'!CU57*0.224809*3.28084^2</f>
        <v>0</v>
      </c>
      <c r="CV57" s="692">
        <f>'ASWING STRUCT'!CV57*0.224809*3.28084^2</f>
        <v>0</v>
      </c>
      <c r="CW57" s="692">
        <f>'ASWING STRUCT'!CW57*0.224809*3.28084^2</f>
        <v>2364320.4147752649</v>
      </c>
      <c r="CX57" s="642">
        <f>'ASWING STRUCT'!CX57</f>
        <v>0</v>
      </c>
      <c r="CY57" s="642">
        <f>'ASWING STRUCT'!CY57*0.224809</f>
        <v>0</v>
      </c>
      <c r="CZ57" s="642">
        <f>'ASWING STRUCT'!CZ57*0.224809</f>
        <v>0</v>
      </c>
      <c r="DA57" s="642">
        <f>'ASWING STRUCT'!DA57*2.20462*3.28084</f>
        <v>0</v>
      </c>
      <c r="DB57" s="642">
        <f>'ASWING STRUCT'!DB57*2.20462*3.28084</f>
        <v>0</v>
      </c>
      <c r="DC57" s="642">
        <f>'ASWING STRUCT'!DC57*2.20462/3.28084</f>
        <v>2.6593934982695924</v>
      </c>
      <c r="DD57" s="642">
        <f>'ASWING STRUCT'!DD57*3.28084</f>
        <v>0.36866993185911717</v>
      </c>
      <c r="DE57" s="642">
        <f>'ASWING STRUCT'!DE57*3.28084</f>
        <v>0</v>
      </c>
      <c r="DF57" s="642">
        <f>'ASWING STRUCT'!DF57*2.20462*3.28084</f>
        <v>0</v>
      </c>
      <c r="DG57" s="642">
        <f>'ASWING STRUCT'!DG57*2.20462*3.28084</f>
        <v>0</v>
      </c>
      <c r="DH57" s="642">
        <f>'ASWING STRUCT'!DH57*2.20462/3.28084</f>
        <v>0</v>
      </c>
      <c r="DI57" s="642">
        <f>'ASWING STRUCT'!DI57*3.28084</f>
        <v>0</v>
      </c>
      <c r="DJ57" s="642">
        <f>'ASWING STRUCT'!DJ57*3.28084</f>
        <v>0</v>
      </c>
      <c r="DK57" s="642">
        <f>'ASWING STRUCT'!DK57*3.28084</f>
        <v>0.16558869553660782</v>
      </c>
      <c r="DL57" s="642">
        <f>'ASWING STRUCT'!DL57*3.28084</f>
        <v>0</v>
      </c>
      <c r="DM57" s="642">
        <f>'ASWING STRUCT'!DM57*3.28084</f>
        <v>0</v>
      </c>
      <c r="DN57" s="642">
        <f>'ASWING STRUCT'!DN57*3.28084</f>
        <v>0</v>
      </c>
      <c r="DO57" s="642">
        <f>'ASWING STRUCT'!DO57</f>
        <v>2E-3</v>
      </c>
      <c r="DP57" s="642">
        <f>'ASWING STRUCT'!DP57</f>
        <v>2E-3</v>
      </c>
      <c r="DQ57" s="642">
        <f>'ASWING STRUCT'!DQ57*3.28084</f>
        <v>0</v>
      </c>
      <c r="DR57" s="642">
        <f>'ASWING STRUCT'!DR57*3.28084</f>
        <v>0.1626968556</v>
      </c>
      <c r="DS57" s="642">
        <f>'ASWING STRUCT'!DS57*3.28084^3</f>
        <v>8.5259592137217684E-4</v>
      </c>
      <c r="DT57" s="642">
        <f>'ASWING STRUCT'!DT57*3.28084</f>
        <v>0</v>
      </c>
      <c r="DU57" s="642">
        <f>'ASWING STRUCT'!DU57</f>
        <v>5.4999999999999997E-3</v>
      </c>
      <c r="DV57" s="642">
        <f>'ASWING STRUCT'!DV57</f>
        <v>5.4999999999999997E-3</v>
      </c>
      <c r="DW57" s="642">
        <f>'ASWING STRUCT'!DW57*3.28084</f>
        <v>1.8077428400000002</v>
      </c>
      <c r="DX57" s="642">
        <f>'ASWING STRUCT'!DX57</f>
        <v>0.25</v>
      </c>
      <c r="DY57" s="642">
        <f>'ASWING STRUCT'!DY57</f>
        <v>5.9</v>
      </c>
      <c r="DZ57" s="642">
        <f>'ASWING STRUCT'!DZ57</f>
        <v>-0.15</v>
      </c>
      <c r="EA57" s="642">
        <f>'ASWING STRUCT'!EA57</f>
        <v>2.25</v>
      </c>
      <c r="EB57" s="642">
        <f>'ASWING STRUCT'!EB57</f>
        <v>-1.65</v>
      </c>
      <c r="EC57" s="641">
        <f>'ASWING STRUCT'!EC57</f>
        <v>5.9690260418206069</v>
      </c>
      <c r="ED57" s="697">
        <f>'ASWING STRUCT'!ED57</f>
        <v>33</v>
      </c>
      <c r="EE57" s="617">
        <f>'ASWING STRUCT'!EE57*3.28084</f>
        <v>39.091208600000002</v>
      </c>
      <c r="EF57" s="617">
        <f>'ASWING STRUCT'!EF57*3.28084</f>
        <v>5.1181103999999999</v>
      </c>
      <c r="EG57" s="617">
        <f>'ASWING STRUCT'!EG57*3.28084</f>
        <v>14.311024080000001</v>
      </c>
      <c r="EH57" s="617">
        <f>'ASWING STRUCT'!EH57</f>
        <v>0</v>
      </c>
      <c r="EI57" s="698">
        <f>'ASWING STRUCT'!EI57*0.224809*3.28084^2</f>
        <v>357063.43507777672</v>
      </c>
      <c r="EJ57" s="698">
        <f>'ASWING STRUCT'!EJ57*0.224809*3.28084^2</f>
        <v>283116.36915172526</v>
      </c>
      <c r="EK57" s="698">
        <f>'ASWING STRUCT'!EK57*0.224809*3.28084^2</f>
        <v>0</v>
      </c>
      <c r="EL57" s="698">
        <f>'ASWING STRUCT'!EL57*0.224809*3.28084^2</f>
        <v>0</v>
      </c>
      <c r="EM57" s="698">
        <f>'ASWING STRUCT'!EM57*0.224809*3.28084^2</f>
        <v>0</v>
      </c>
      <c r="EN57" s="698">
        <f>'ASWING STRUCT'!EN57*0.224809*3.28084^2</f>
        <v>88045062.207501993</v>
      </c>
      <c r="EO57" s="617">
        <f>'ASWING STRUCT'!EO57</f>
        <v>0</v>
      </c>
      <c r="EP57" s="698">
        <f>'ASWING STRUCT'!EP57*0.224809</f>
        <v>0</v>
      </c>
      <c r="EQ57" s="698">
        <f>'ASWING STRUCT'!EQ57*0.224809</f>
        <v>0</v>
      </c>
      <c r="ER57" s="617">
        <f>'ASWING STRUCT'!ER57*2.20462*3.28084</f>
        <v>0</v>
      </c>
      <c r="ES57" s="617">
        <f>'ASWING STRUCT'!ES57*2.20462*3.28084</f>
        <v>0</v>
      </c>
      <c r="ET57" s="617">
        <f>'ASWING STRUCT'!ET57*2.20462/3.28084</f>
        <v>12.094466973779213</v>
      </c>
      <c r="EU57" s="617">
        <f>'ASWING STRUCT'!EU57*3.28084</f>
        <v>-2.2590880889380087</v>
      </c>
      <c r="EV57" s="617">
        <f>'ASWING STRUCT'!EV57*3.28084</f>
        <v>0</v>
      </c>
      <c r="EW57" s="617">
        <f>'ASWING STRUCT'!EW57*2.20462*3.28084</f>
        <v>0</v>
      </c>
      <c r="EX57" s="617">
        <f>'ASWING STRUCT'!EX57*2.20462*3.28084</f>
        <v>0</v>
      </c>
      <c r="EY57" s="617">
        <f>'ASWING STRUCT'!EY57*2.20462/3.28084</f>
        <v>0</v>
      </c>
      <c r="EZ57" s="617">
        <f>'ASWING STRUCT'!EZ57*3.28084</f>
        <v>0</v>
      </c>
      <c r="FA57" s="617">
        <f>'ASWING STRUCT'!FA57*3.28084</f>
        <v>0</v>
      </c>
      <c r="FB57" s="617">
        <f>'ASWING STRUCT'!FB57*3.28084</f>
        <v>-3.1034104518060386</v>
      </c>
      <c r="FC57" s="617">
        <f>'ASWING STRUCT'!FC57*3.28084</f>
        <v>0</v>
      </c>
      <c r="FD57" s="617">
        <f>'ASWING STRUCT'!FD57*3.28084</f>
        <v>0</v>
      </c>
      <c r="FE57" s="617">
        <f>'ASWING STRUCT'!FE57*3.28084</f>
        <v>0</v>
      </c>
      <c r="FF57" s="617">
        <f>'ASWING STRUCT'!FF57</f>
        <v>2E-3</v>
      </c>
      <c r="FG57" s="617">
        <f>'ASWING STRUCT'!FG57</f>
        <v>2E-3</v>
      </c>
      <c r="FH57" s="617">
        <f>'ASWING STRUCT'!FH57*3.28084</f>
        <v>-3.6220473599999994</v>
      </c>
      <c r="FI57" s="617">
        <f>'ASWING STRUCT'!FI57*3.28084</f>
        <v>0.54330710399999993</v>
      </c>
      <c r="FJ57" s="617">
        <f>'ASWING STRUCT'!FJ57*3.28084^3</f>
        <v>9.507705018750404E-3</v>
      </c>
      <c r="FK57" s="617">
        <f>'ASWING STRUCT'!FK57*3.28084</f>
        <v>0</v>
      </c>
      <c r="FL57" s="617">
        <f>'ASWING STRUCT'!FL57</f>
        <v>5.4999999999999997E-3</v>
      </c>
      <c r="FM57" s="617">
        <f>'ASWING STRUCT'!FM57</f>
        <v>5.4999999999999997E-3</v>
      </c>
      <c r="FN57" s="617">
        <f>'ASWING STRUCT'!FN57*3.28084</f>
        <v>6.0367455999999997</v>
      </c>
      <c r="FO57" s="617">
        <f>'ASWING STRUCT'!FO57</f>
        <v>0.85</v>
      </c>
      <c r="FP57" s="617">
        <f>'ASWING STRUCT'!FP57</f>
        <v>0</v>
      </c>
      <c r="FQ57" s="617">
        <f>'ASWING STRUCT'!FQ57</f>
        <v>0</v>
      </c>
      <c r="FR57" s="617">
        <f>'ASWING STRUCT'!FR57</f>
        <v>1.4</v>
      </c>
      <c r="FS57" s="617">
        <f>'ASWING STRUCT'!FS57</f>
        <v>-1.4</v>
      </c>
      <c r="FT57" s="616">
        <f>'ASWING STRUCT'!FT57</f>
        <v>5.9690260418206069</v>
      </c>
      <c r="FU57" s="697">
        <f>'ASWING STRUCT'!FU57</f>
        <v>33</v>
      </c>
      <c r="FV57" s="617">
        <f>'ASWING STRUCT'!FV57*3.28084</f>
        <v>39.091208600000002</v>
      </c>
      <c r="FW57" s="617">
        <f>'ASWING STRUCT'!FW57*3.28084</f>
        <v>-5.1181103999999999</v>
      </c>
      <c r="FX57" s="617">
        <f>'ASWING STRUCT'!FX57*3.28084</f>
        <v>14.311024080000001</v>
      </c>
      <c r="FY57" s="617">
        <f>'ASWING STRUCT'!FY57</f>
        <v>0</v>
      </c>
      <c r="FZ57" s="698">
        <f>'ASWING STRUCT'!FZ57*0.224809*3.28084^2</f>
        <v>357063.43507777672</v>
      </c>
      <c r="GA57" s="698">
        <f>'ASWING STRUCT'!GA57*0.224809*3.28084^2</f>
        <v>283116.36915172526</v>
      </c>
      <c r="GB57" s="698">
        <f>'ASWING STRUCT'!GB57*0.224809*3.28084^2</f>
        <v>0</v>
      </c>
      <c r="GC57" s="698">
        <f>'ASWING STRUCT'!GC57*0.224809*3.28084^2</f>
        <v>0</v>
      </c>
      <c r="GD57" s="698">
        <f>'ASWING STRUCT'!GD57*0.224809*3.28084^2</f>
        <v>0</v>
      </c>
      <c r="GE57" s="698">
        <f>'ASWING STRUCT'!GE57*0.224809*3.28084^2</f>
        <v>88045062.207501993</v>
      </c>
      <c r="GF57" s="617">
        <f>'ASWING STRUCT'!GF57</f>
        <v>0</v>
      </c>
      <c r="GG57" s="698">
        <f>'ASWING STRUCT'!GG57*0.224809</f>
        <v>0</v>
      </c>
      <c r="GH57" s="698">
        <f>'ASWING STRUCT'!GH57*0.224809</f>
        <v>0</v>
      </c>
      <c r="GI57" s="617">
        <f>'ASWING STRUCT'!GI57*2.20462*3.28084</f>
        <v>0</v>
      </c>
      <c r="GJ57" s="617">
        <f>'ASWING STRUCT'!GJ57*2.20462*3.28084</f>
        <v>0</v>
      </c>
      <c r="GK57" s="617">
        <f>'ASWING STRUCT'!GK57*2.20462/3.28084</f>
        <v>12.094466973779213</v>
      </c>
      <c r="GL57" s="617">
        <f>'ASWING STRUCT'!GL57*3.28084</f>
        <v>-2.2590880889380087</v>
      </c>
      <c r="GM57" s="617">
        <f>'ASWING STRUCT'!GM57*3.28084</f>
        <v>0</v>
      </c>
      <c r="GN57" s="617">
        <f>'ASWING STRUCT'!GN57*2.20462*3.28084</f>
        <v>0</v>
      </c>
      <c r="GO57" s="617">
        <f>'ASWING STRUCT'!GO57*2.20462*3.28084</f>
        <v>0</v>
      </c>
      <c r="GP57" s="617">
        <f>'ASWING STRUCT'!GP57*2.20462/3.28084</f>
        <v>0</v>
      </c>
      <c r="GQ57" s="617">
        <f>'ASWING STRUCT'!GQ57*3.28084</f>
        <v>0</v>
      </c>
      <c r="GR57" s="617">
        <f>'ASWING STRUCT'!GR57*3.28084</f>
        <v>0</v>
      </c>
      <c r="GS57" s="617">
        <f>'ASWING STRUCT'!GS57*3.28084</f>
        <v>-3.1034104518060386</v>
      </c>
      <c r="GT57" s="617">
        <f>'ASWING STRUCT'!GT57*3.28084</f>
        <v>0</v>
      </c>
      <c r="GU57" s="617">
        <f>'ASWING STRUCT'!GU57*3.28084</f>
        <v>0</v>
      </c>
      <c r="GV57" s="617">
        <f>'ASWING STRUCT'!GV57*3.28084</f>
        <v>0</v>
      </c>
      <c r="GW57" s="617">
        <f>'ASWING STRUCT'!GW57</f>
        <v>2E-3</v>
      </c>
      <c r="GX57" s="617">
        <f>'ASWING STRUCT'!GX57</f>
        <v>2E-3</v>
      </c>
      <c r="GY57" s="617">
        <f>'ASWING STRUCT'!GY57*3.28084</f>
        <v>-3.6220473599999994</v>
      </c>
      <c r="GZ57" s="617">
        <f>'ASWING STRUCT'!GZ57*3.28084</f>
        <v>0.54330710399999993</v>
      </c>
      <c r="HA57" s="617">
        <f>'ASWING STRUCT'!HA57*3.28084^3</f>
        <v>9.507705018750404E-3</v>
      </c>
      <c r="HB57" s="617">
        <f>'ASWING STRUCT'!HB57*3.28084</f>
        <v>0</v>
      </c>
      <c r="HC57" s="617">
        <f>'ASWING STRUCT'!HC57</f>
        <v>5.4999999999999997E-3</v>
      </c>
      <c r="HD57" s="617">
        <f>'ASWING STRUCT'!HD57</f>
        <v>5.4999999999999997E-3</v>
      </c>
      <c r="HE57" s="617">
        <f>'ASWING STRUCT'!HE57*3.28084</f>
        <v>6.0367455999999997</v>
      </c>
      <c r="HF57" s="617">
        <f>'ASWING STRUCT'!HF57</f>
        <v>0.85</v>
      </c>
      <c r="HG57" s="617">
        <f>'ASWING STRUCT'!HG57</f>
        <v>0</v>
      </c>
      <c r="HH57" s="617">
        <f>'ASWING STRUCT'!HH57</f>
        <v>0</v>
      </c>
      <c r="HI57" s="617">
        <f>'ASWING STRUCT'!HI57</f>
        <v>1.4</v>
      </c>
      <c r="HJ57" s="617">
        <f>'ASWING STRUCT'!HJ57</f>
        <v>-1.4</v>
      </c>
      <c r="HK57" s="616">
        <f>'ASWING STRUCT'!HK57</f>
        <v>5.9690260418206069</v>
      </c>
    </row>
    <row r="58" spans="1:219" x14ac:dyDescent="0.25">
      <c r="A58" t="s">
        <v>896</v>
      </c>
      <c r="B58" s="664">
        <v>4.7394999999999996</v>
      </c>
      <c r="C58" s="665">
        <v>-4.5949999999999998</v>
      </c>
      <c r="D58" s="665">
        <v>0.1</v>
      </c>
      <c r="E58" s="670">
        <f>'ASWING STRUCT'!E58* 3.28084</f>
        <v>13.5498692</v>
      </c>
      <c r="F58" s="670">
        <f>'ASWING STRUCT'!F58* 3.28084</f>
        <v>-5.1181103999999999</v>
      </c>
      <c r="G58" s="670">
        <f>'ASWING STRUCT'!G58* 3.28084</f>
        <v>12.795275999999999</v>
      </c>
      <c r="H58" s="671">
        <f>'ASWING STRUCT'!H58*2.20462</f>
        <v>47.178867999999994</v>
      </c>
      <c r="I58" s="668">
        <v>10</v>
      </c>
      <c r="J58" s="204">
        <f t="shared" si="0"/>
        <v>13.5498692</v>
      </c>
      <c r="K58" s="575">
        <v>1</v>
      </c>
      <c r="L58" s="626">
        <f>AL50/MAX('REF - ASWING AERO-Imperial'!D24:D50)*100</f>
        <v>95.834412769750486</v>
      </c>
      <c r="M58">
        <v>9</v>
      </c>
      <c r="N58">
        <f>'REF - ASWING AERO-Imperial'!A33+'Inputs-Imperial'!E12*'REF - ASWING AERO-Imperial'!F33</f>
        <v>31.898895705803998</v>
      </c>
      <c r="O58" s="576">
        <v>0</v>
      </c>
      <c r="P58" s="580"/>
      <c r="AU58" s="594"/>
      <c r="AV58" s="574">
        <f ca="1">100*(AX58-$AX$50)/(MAX($AX$50:INDEX(($AX$50:$AX$150),$F$35+1,1))-MIN($AX$50:INDEX(($AX$50:$AX$150),$F$35+1,1)))</f>
        <v>38</v>
      </c>
      <c r="AW58" s="660">
        <f ca="1">OFFSET('Trapezoidal Wing Summary'!C$45,((ROW('Trapezoidal Wing Summary'!$A53)-ROW('Trapezoidal Wing Summary'!$A$45))*100/$F$35),0)+$F$15</f>
        <v>24.044758971531998</v>
      </c>
      <c r="AX58" s="660">
        <f ca="1">OFFSET('Trapezoidal Wing Summary'!D$45,((ROW('Trapezoidal Wing Summary'!$A53)-ROW('Trapezoidal Wing Summary'!$A$45))*100/$F$35),0)+$F$16</f>
        <v>9.1387732583199988</v>
      </c>
      <c r="AY58" s="660">
        <f ca="1">OFFSET('Trapezoidal Wing Summary'!E$45,((ROW('Trapezoidal Wing Summary'!$A53)-ROW('Trapezoidal Wing Summary'!$A$45))*100/$F$35),0)+$F$17</f>
        <v>8.1686780829199996</v>
      </c>
      <c r="AZ58" s="41">
        <f ca="1">OFFSET('Trapezoidal Wing Summary'!F$45,((ROW('Trapezoidal Wing Summary'!$A53)-ROW('Trapezoidal Wing Summary'!$A$45))*100/$F$35),0)</f>
        <v>0</v>
      </c>
      <c r="BA58" s="41">
        <f ca="1">OFFSET('Trapezoidal Wing Summary'!G$45,((ROW('Trapezoidal Wing Summary'!$A53)-ROW('Trapezoidal Wing Summary'!$A$45))*100/$F$35),0)</f>
        <v>936401.00776623457</v>
      </c>
      <c r="BB58" s="41">
        <f ca="1">OFFSET('Trapezoidal Wing Summary'!H$45,((ROW('Trapezoidal Wing Summary'!$A53)-ROW('Trapezoidal Wing Summary'!$A$45))*100/$F$35),0)</f>
        <v>4103975.529489561</v>
      </c>
      <c r="BC58" s="41">
        <f ca="1">OFFSET('Trapezoidal Wing Summary'!I$45,((ROW('Trapezoidal Wing Summary'!$A53)-ROW('Trapezoidal Wing Summary'!$A$45))*100/$F$35),0)</f>
        <v>0</v>
      </c>
      <c r="BD58" s="41">
        <f ca="1">OFFSET('Trapezoidal Wing Summary'!J$45,((ROW('Trapezoidal Wing Summary'!$A53)-ROW('Trapezoidal Wing Summary'!$A$45))*100/$F$35),0)</f>
        <v>0</v>
      </c>
      <c r="BE58" s="41">
        <f ca="1">OFFSET('Trapezoidal Wing Summary'!K$45,((ROW('Trapezoidal Wing Summary'!$A53)-ROW('Trapezoidal Wing Summary'!$A$45))*100/$F$35),0)</f>
        <v>0</v>
      </c>
      <c r="BF58" s="41">
        <f ca="1">OFFSET('Trapezoidal Wing Summary'!L$45,((ROW('Trapezoidal Wing Summary'!$A53)-ROW('Trapezoidal Wing Summary'!$A$45))*100/$F$35),0)</f>
        <v>34300777.971538179</v>
      </c>
      <c r="BG58" s="41">
        <f ca="1">OFFSET('Trapezoidal Wing Summary'!M$45,((ROW('Trapezoidal Wing Summary'!$A53)-ROW('Trapezoidal Wing Summary'!$A$45))*100/$F$35),0)</f>
        <v>0</v>
      </c>
      <c r="BH58" s="41">
        <f ca="1">OFFSET('Trapezoidal Wing Summary'!N$45,((ROW('Trapezoidal Wing Summary'!$A53)-ROW('Trapezoidal Wing Summary'!$A$45))*100/$F$35),0)</f>
        <v>0</v>
      </c>
      <c r="BI58" s="41">
        <f ca="1">OFFSET('Trapezoidal Wing Summary'!O$45,((ROW('Trapezoidal Wing Summary'!$A53)-ROW('Trapezoidal Wing Summary'!$A$45))*100/$F$35),0)</f>
        <v>0</v>
      </c>
      <c r="BJ58" s="41">
        <f ca="1">OFFSET('Trapezoidal Wing Summary'!P$45,((ROW('Trapezoidal Wing Summary'!$A53)-ROW('Trapezoidal Wing Summary'!$A$45))*100/$F$35),0)</f>
        <v>0</v>
      </c>
      <c r="BK58" s="41">
        <f ca="1">OFFSET('Trapezoidal Wing Summary'!Q$45,((ROW('Trapezoidal Wing Summary'!$A53)-ROW('Trapezoidal Wing Summary'!$A$45))*100/$F$35),0)</f>
        <v>0</v>
      </c>
      <c r="BL58" s="41">
        <f ca="1">OFFSET('Trapezoidal Wing Summary'!R$45,((ROW('Trapezoidal Wing Summary'!$A53)-ROW('Trapezoidal Wing Summary'!$A$45))*100/$F$35),0)</f>
        <v>18.146700491751417</v>
      </c>
      <c r="BM58" s="41">
        <f ca="1">OFFSET('Trapezoidal Wing Summary'!S$45,((ROW('Trapezoidal Wing Summary'!$A53)-ROW('Trapezoidal Wing Summary'!$A$45))*100/$F$35),0)</f>
        <v>0.86341715034358346</v>
      </c>
      <c r="BN58" s="41">
        <f ca="1">OFFSET('Trapezoidal Wing Summary'!T$45,((ROW('Trapezoidal Wing Summary'!$A53)-ROW('Trapezoidal Wing Summary'!$A$45))*100/$F$35),0)</f>
        <v>0</v>
      </c>
      <c r="BO58" s="41">
        <f ca="1">OFFSET('Trapezoidal Wing Summary'!U$45,((ROW('Trapezoidal Wing Summary'!$A53)-ROW('Trapezoidal Wing Summary'!$A$45))*100/$F$35),0)</f>
        <v>0</v>
      </c>
      <c r="BP58" s="41">
        <f ca="1">OFFSET('Trapezoidal Wing Summary'!V$45,((ROW('Trapezoidal Wing Summary'!$A53)-ROW('Trapezoidal Wing Summary'!$A$45))*100/$F$35),0)</f>
        <v>0</v>
      </c>
      <c r="BQ58" s="41">
        <f ca="1">OFFSET('Trapezoidal Wing Summary'!W$45,((ROW('Trapezoidal Wing Summary'!$A53)-ROW('Trapezoidal Wing Summary'!$A$45))*100/$F$35),0)</f>
        <v>0</v>
      </c>
      <c r="BR58" s="41">
        <f ca="1">OFFSET('Trapezoidal Wing Summary'!X$45,((ROW('Trapezoidal Wing Summary'!$A53)-ROW('Trapezoidal Wing Summary'!$A$45))*100/$F$35),0)</f>
        <v>0</v>
      </c>
      <c r="BS58" s="41">
        <f ca="1">OFFSET('Trapezoidal Wing Summary'!Y$45,((ROW('Trapezoidal Wing Summary'!$A53)-ROW('Trapezoidal Wing Summary'!$A$45))*100/$F$35),0)</f>
        <v>0</v>
      </c>
      <c r="BT58" s="41">
        <f ca="1">OFFSET('Trapezoidal Wing Summary'!Z$45,((ROW('Trapezoidal Wing Summary'!$A53)-ROW('Trapezoidal Wing Summary'!$A$45))*100/$F$35),0)</f>
        <v>0.39345505469589859</v>
      </c>
      <c r="BU58" s="41">
        <f ca="1">OFFSET('Trapezoidal Wing Summary'!AA$45,((ROW('Trapezoidal Wing Summary'!$A53)-ROW('Trapezoidal Wing Summary'!$A$45))*100/$F$35),0)</f>
        <v>0</v>
      </c>
      <c r="BV58" s="41">
        <f ca="1">OFFSET('Trapezoidal Wing Summary'!AB$45,((ROW('Trapezoidal Wing Summary'!$A53)-ROW('Trapezoidal Wing Summary'!$A$45))*100/$F$35),0)</f>
        <v>0</v>
      </c>
      <c r="BW58" s="41">
        <f ca="1">OFFSET('Trapezoidal Wing Summary'!AC$45,((ROW('Trapezoidal Wing Summary'!$A53)-ROW('Trapezoidal Wing Summary'!$A$45))*100/$F$35),0)</f>
        <v>0</v>
      </c>
      <c r="BX58" s="41">
        <f ca="1">OFFSET('Trapezoidal Wing Summary'!AD$45,((ROW('Trapezoidal Wing Summary'!$A53)-ROW('Trapezoidal Wing Summary'!$A$45))*100/$F$35),0)</f>
        <v>2E-3</v>
      </c>
      <c r="BY58" s="41">
        <f ca="1">OFFSET('Trapezoidal Wing Summary'!AE$45,((ROW('Trapezoidal Wing Summary'!$A53)-ROW('Trapezoidal Wing Summary'!$A$45))*100/$F$35),0)</f>
        <v>2E-3</v>
      </c>
      <c r="BZ58" s="41">
        <f ca="1">OFFSET('Trapezoidal Wing Summary'!AF$45,((ROW('Trapezoidal Wing Summary'!$A53)-ROW('Trapezoidal Wing Summary'!$A$45))*100/$F$35),0)</f>
        <v>0</v>
      </c>
      <c r="CA58" s="41">
        <f ca="1">OFFSET('Trapezoidal Wing Summary'!AG$45,((ROW('Trapezoidal Wing Summary'!$A53)-ROW('Trapezoidal Wing Summary'!$A$45))*100/$F$35),0)</f>
        <v>0.39680611506000002</v>
      </c>
      <c r="CB58" s="41">
        <f ca="1">OFFSET('Trapezoidal Wing Summary'!AH$45,((ROW('Trapezoidal Wing Summary'!$A53)-ROW('Trapezoidal Wing Summary'!$A$45))*100/$F$35),0)</f>
        <v>5.0715608931974649E-3</v>
      </c>
      <c r="CC58" s="41">
        <f ca="1">OFFSET('Trapezoidal Wing Summary'!AI$45,((ROW('Trapezoidal Wing Summary'!$A53)-ROW('Trapezoidal Wing Summary'!$A$45))*100/$F$35),0)</f>
        <v>0</v>
      </c>
      <c r="CD58" s="41">
        <f>'REF - ASWING AERO-Imperial'!$R$5</f>
        <v>5.4999999999999997E-3</v>
      </c>
      <c r="CE58" s="41">
        <f>'REF - ASWING AERO-Imperial'!$R$6</f>
        <v>5.4999999999999997E-3</v>
      </c>
      <c r="CF58" s="41">
        <f ca="1">OFFSET('Trapezoidal Wing Summary'!AL$45,((ROW('Trapezoidal Wing Summary'!$A53)-ROW('Trapezoidal Wing Summary'!$A$45))*100/$F$35),0)</f>
        <v>4.4089568340000005</v>
      </c>
      <c r="CG58" s="41">
        <f ca="1">OFFSET('Trapezoidal Wing Summary'!AM$45,((ROW('Trapezoidal Wing Summary'!$A53)-ROW('Trapezoidal Wing Summary'!$A$45))*100/$F$35),0)</f>
        <v>0.25</v>
      </c>
      <c r="CH58" s="41">
        <f ca="1">OFFSET('Trapezoidal Wing Summary'!AN$45,((ROW('Trapezoidal Wing Summary'!$A53)-ROW('Trapezoidal Wing Summary'!$A$45))*100/$F$35),0)</f>
        <v>5.35</v>
      </c>
      <c r="CI58" s="41">
        <f ca="1">OFFSET('Trapezoidal Wing Summary'!AO$45,((ROW('Trapezoidal Wing Summary'!$A53)-ROW('Trapezoidal Wing Summary'!$A$45))*100/$F$35),0)</f>
        <v>-0.15</v>
      </c>
      <c r="CJ58" s="41">
        <f ca="1">OFFSET('Trapezoidal Wing Summary'!AP$45,((ROW('Trapezoidal Wing Summary'!$A53)-ROW('Trapezoidal Wing Summary'!$A$45))*100/$F$35),0)</f>
        <v>1.85</v>
      </c>
      <c r="CK58" s="41">
        <f ca="1">OFFSET('Trapezoidal Wing Summary'!AQ$45,((ROW('Trapezoidal Wing Summary'!$A53)-ROW('Trapezoidal Wing Summary'!$A$45))*100/$F$35),0)</f>
        <v>-1.55</v>
      </c>
      <c r="CL58" s="41">
        <f ca="1">OFFSET('Trapezoidal Wing Summary'!AR$45,((ROW('Trapezoidal Wing Summary'!$A53)-ROW('Trapezoidal Wing Summary'!$A$45))*100/$F$35),0)</f>
        <v>5.9690260418206069</v>
      </c>
      <c r="CM58" s="645">
        <f>'ASWING STRUCT'!CM58</f>
        <v>38.000000000000007</v>
      </c>
      <c r="CN58" s="642">
        <f>'ASWING STRUCT'!CN58*3.28084</f>
        <v>10.503161097255999</v>
      </c>
      <c r="CO58" s="642">
        <f>'ASWING STRUCT'!CO58*3.28084</f>
        <v>3.7401576000000003</v>
      </c>
      <c r="CP58" s="642">
        <f>'ASWING STRUCT'!CP58*3.28084</f>
        <v>12.850247130368</v>
      </c>
      <c r="CQ58" s="642">
        <f>'ASWING STRUCT'!CQ58</f>
        <v>0</v>
      </c>
      <c r="CR58" s="692">
        <f>'ASWING STRUCT'!CR58*0.224809*3.28084^2</f>
        <v>87693.24853652397</v>
      </c>
      <c r="CS58" s="692">
        <f>'ASWING STRUCT'!CS58*0.224809*3.28084^2</f>
        <v>80145.28993346075</v>
      </c>
      <c r="CT58" s="692">
        <f>'ASWING STRUCT'!CT58*0.224809*3.28084^2</f>
        <v>0</v>
      </c>
      <c r="CU58" s="692">
        <f>'ASWING STRUCT'!CU58*0.224809*3.28084^2</f>
        <v>0</v>
      </c>
      <c r="CV58" s="692">
        <f>'ASWING STRUCT'!CV58*0.224809*3.28084^2</f>
        <v>0</v>
      </c>
      <c r="CW58" s="692">
        <f>'ASWING STRUCT'!CW58*0.224809*3.28084^2</f>
        <v>2176436.0191267319</v>
      </c>
      <c r="CX58" s="642">
        <f>'ASWING STRUCT'!CX58</f>
        <v>0</v>
      </c>
      <c r="CY58" s="642">
        <f>'ASWING STRUCT'!CY58*0.224809</f>
        <v>0</v>
      </c>
      <c r="CZ58" s="642">
        <f>'ASWING STRUCT'!CZ58*0.224809</f>
        <v>0</v>
      </c>
      <c r="DA58" s="642">
        <f>'ASWING STRUCT'!DA58*2.20462*3.28084</f>
        <v>0</v>
      </c>
      <c r="DB58" s="642">
        <f>'ASWING STRUCT'!DB58*2.20462*3.28084</f>
        <v>0</v>
      </c>
      <c r="DC58" s="642">
        <f>'ASWING STRUCT'!DC58*2.20462/3.28084</f>
        <v>2.5960344852489898</v>
      </c>
      <c r="DD58" s="642">
        <f>'ASWING STRUCT'!DD58*3.28084</f>
        <v>0.3573604397750253</v>
      </c>
      <c r="DE58" s="642">
        <f>'ASWING STRUCT'!DE58*3.28084</f>
        <v>0</v>
      </c>
      <c r="DF58" s="642">
        <f>'ASWING STRUCT'!DF58*2.20462*3.28084</f>
        <v>0</v>
      </c>
      <c r="DG58" s="642">
        <f>'ASWING STRUCT'!DG58*2.20462*3.28084</f>
        <v>0</v>
      </c>
      <c r="DH58" s="642">
        <f>'ASWING STRUCT'!DH58*2.20462/3.28084</f>
        <v>0</v>
      </c>
      <c r="DI58" s="642">
        <f>'ASWING STRUCT'!DI58*3.28084</f>
        <v>0</v>
      </c>
      <c r="DJ58" s="642">
        <f>'ASWING STRUCT'!DJ58*3.28084</f>
        <v>0</v>
      </c>
      <c r="DK58" s="642">
        <f>'ASWING STRUCT'!DK58*3.28084</f>
        <v>0.1617334234528966</v>
      </c>
      <c r="DL58" s="642">
        <f>'ASWING STRUCT'!DL58*3.28084</f>
        <v>0</v>
      </c>
      <c r="DM58" s="642">
        <f>'ASWING STRUCT'!DM58*3.28084</f>
        <v>0</v>
      </c>
      <c r="DN58" s="642">
        <f>'ASWING STRUCT'!DN58*3.28084</f>
        <v>0</v>
      </c>
      <c r="DO58" s="642">
        <f>'ASWING STRUCT'!DO58</f>
        <v>2E-3</v>
      </c>
      <c r="DP58" s="642">
        <f>'ASWING STRUCT'!DP58</f>
        <v>2E-3</v>
      </c>
      <c r="DQ58" s="642">
        <f>'ASWING STRUCT'!DQ58*3.28084</f>
        <v>0</v>
      </c>
      <c r="DR58" s="642">
        <f>'ASWING STRUCT'!DR58*3.28084</f>
        <v>0.15826772159999999</v>
      </c>
      <c r="DS58" s="642">
        <f>'ASWING STRUCT'!DS58*3.28084^3</f>
        <v>8.0680695329244951E-4</v>
      </c>
      <c r="DT58" s="642">
        <f>'ASWING STRUCT'!DT58*3.28084</f>
        <v>0</v>
      </c>
      <c r="DU58" s="642">
        <f>'ASWING STRUCT'!DU58</f>
        <v>5.4999999999999997E-3</v>
      </c>
      <c r="DV58" s="642">
        <f>'ASWING STRUCT'!DV58</f>
        <v>5.4999999999999997E-3</v>
      </c>
      <c r="DW58" s="642">
        <f>'ASWING STRUCT'!DW58*3.28084</f>
        <v>1.75853024</v>
      </c>
      <c r="DX58" s="642">
        <f>'ASWING STRUCT'!DX58</f>
        <v>0.25</v>
      </c>
      <c r="DY58" s="642">
        <f>'ASWING STRUCT'!DY58</f>
        <v>5.9</v>
      </c>
      <c r="DZ58" s="642">
        <f>'ASWING STRUCT'!DZ58</f>
        <v>-0.15</v>
      </c>
      <c r="EA58" s="642">
        <f>'ASWING STRUCT'!EA58</f>
        <v>2.25</v>
      </c>
      <c r="EB58" s="642">
        <f>'ASWING STRUCT'!EB58</f>
        <v>-1.65</v>
      </c>
      <c r="EC58" s="641">
        <f>'ASWING STRUCT'!EC58</f>
        <v>5.9690260418206069</v>
      </c>
      <c r="ED58" s="697">
        <f>'ASWING STRUCT'!ED58</f>
        <v>38.000000000000007</v>
      </c>
      <c r="EE58" s="617">
        <f>'ASWING STRUCT'!EE58*3.28084</f>
        <v>39.173229599999999</v>
      </c>
      <c r="EF58" s="617">
        <f>'ASWING STRUCT'!EF58*3.28084</f>
        <v>5.1181103999999999</v>
      </c>
      <c r="EG58" s="617">
        <f>'ASWING STRUCT'!EG58*3.28084</f>
        <v>14.540682879999999</v>
      </c>
      <c r="EH58" s="617">
        <f>'ASWING STRUCT'!EH58</f>
        <v>0</v>
      </c>
      <c r="EI58" s="698">
        <f>'ASWING STRUCT'!EI58*0.224809*3.28084^2</f>
        <v>311431.39039447013</v>
      </c>
      <c r="EJ58" s="698">
        <f>'ASWING STRUCT'!EJ58*0.224809*3.28084^2</f>
        <v>253179.08767833287</v>
      </c>
      <c r="EK58" s="698">
        <f>'ASWING STRUCT'!EK58*0.224809*3.28084^2</f>
        <v>0</v>
      </c>
      <c r="EL58" s="698">
        <f>'ASWING STRUCT'!EL58*0.224809*3.28084^2</f>
        <v>0</v>
      </c>
      <c r="EM58" s="698">
        <f>'ASWING STRUCT'!EM58*0.224809*3.28084^2</f>
        <v>0</v>
      </c>
      <c r="EN58" s="698">
        <f>'ASWING STRUCT'!EN58*0.224809*3.28084^2</f>
        <v>74455927.91827628</v>
      </c>
      <c r="EO58" s="617">
        <f>'ASWING STRUCT'!EO58</f>
        <v>0</v>
      </c>
      <c r="EP58" s="698">
        <f>'ASWING STRUCT'!EP58*0.224809</f>
        <v>0</v>
      </c>
      <c r="EQ58" s="698">
        <f>'ASWING STRUCT'!EQ58*0.224809</f>
        <v>0</v>
      </c>
      <c r="ER58" s="617">
        <f>'ASWING STRUCT'!ER58*2.20462*3.28084</f>
        <v>0</v>
      </c>
      <c r="ES58" s="617">
        <f>'ASWING STRUCT'!ES58*2.20462*3.28084</f>
        <v>0</v>
      </c>
      <c r="ET58" s="617">
        <f>'ASWING STRUCT'!ET58*2.20462/3.28084</f>
        <v>11.445483832634521</v>
      </c>
      <c r="EU58" s="617">
        <f>'ASWING STRUCT'!EU58*3.28084</f>
        <v>-2.139891783491632</v>
      </c>
      <c r="EV58" s="617">
        <f>'ASWING STRUCT'!EV58*3.28084</f>
        <v>0</v>
      </c>
      <c r="EW58" s="617">
        <f>'ASWING STRUCT'!EW58*2.20462*3.28084</f>
        <v>0</v>
      </c>
      <c r="EX58" s="617">
        <f>'ASWING STRUCT'!EX58*2.20462*3.28084</f>
        <v>0</v>
      </c>
      <c r="EY58" s="617">
        <f>'ASWING STRUCT'!EY58*2.20462/3.28084</f>
        <v>0</v>
      </c>
      <c r="EZ58" s="617">
        <f>'ASWING STRUCT'!EZ58*3.28084</f>
        <v>0</v>
      </c>
      <c r="FA58" s="617">
        <f>'ASWING STRUCT'!FA58*3.28084</f>
        <v>0</v>
      </c>
      <c r="FB58" s="617">
        <f>'ASWING STRUCT'!FB58*3.28084</f>
        <v>-2.923552456831223</v>
      </c>
      <c r="FC58" s="617">
        <f>'ASWING STRUCT'!FC58*3.28084</f>
        <v>0</v>
      </c>
      <c r="FD58" s="617">
        <f>'ASWING STRUCT'!FD58*3.28084</f>
        <v>0</v>
      </c>
      <c r="FE58" s="617">
        <f>'ASWING STRUCT'!FE58*3.28084</f>
        <v>0</v>
      </c>
      <c r="FF58" s="617">
        <f>'ASWING STRUCT'!FF58</f>
        <v>2E-3</v>
      </c>
      <c r="FG58" s="617">
        <f>'ASWING STRUCT'!FG58</f>
        <v>2E-3</v>
      </c>
      <c r="FH58" s="617">
        <f>'ASWING STRUCT'!FH58*3.28084</f>
        <v>-3.4251969600000001</v>
      </c>
      <c r="FI58" s="617">
        <f>'ASWING STRUCT'!FI58*3.28084</f>
        <v>0.51377954400000003</v>
      </c>
      <c r="FJ58" s="617">
        <f>'ASWING STRUCT'!FJ58*3.28084^3</f>
        <v>8.5023415981712921E-3</v>
      </c>
      <c r="FK58" s="617">
        <f>'ASWING STRUCT'!FK58*3.28084</f>
        <v>0</v>
      </c>
      <c r="FL58" s="617">
        <f>'ASWING STRUCT'!FL58</f>
        <v>5.4999999999999997E-3</v>
      </c>
      <c r="FM58" s="617">
        <f>'ASWING STRUCT'!FM58</f>
        <v>5.4999999999999997E-3</v>
      </c>
      <c r="FN58" s="617">
        <f>'ASWING STRUCT'!FN58*3.28084</f>
        <v>5.7086616000000001</v>
      </c>
      <c r="FO58" s="617">
        <f>'ASWING STRUCT'!FO58</f>
        <v>0.85</v>
      </c>
      <c r="FP58" s="617">
        <f>'ASWING STRUCT'!FP58</f>
        <v>0</v>
      </c>
      <c r="FQ58" s="617">
        <f>'ASWING STRUCT'!FQ58</f>
        <v>0</v>
      </c>
      <c r="FR58" s="617">
        <f>'ASWING STRUCT'!FR58</f>
        <v>1.4</v>
      </c>
      <c r="FS58" s="617">
        <f>'ASWING STRUCT'!FS58</f>
        <v>-1.4</v>
      </c>
      <c r="FT58" s="616">
        <f>'ASWING STRUCT'!FT58</f>
        <v>5.9690260418206069</v>
      </c>
      <c r="FU58" s="697">
        <f>'ASWING STRUCT'!FU58</f>
        <v>38.000000000000007</v>
      </c>
      <c r="FV58" s="617">
        <f>'ASWING STRUCT'!FV58*3.28084</f>
        <v>39.173229599999999</v>
      </c>
      <c r="FW58" s="617">
        <f>'ASWING STRUCT'!FW58*3.28084</f>
        <v>-5.1181103999999999</v>
      </c>
      <c r="FX58" s="617">
        <f>'ASWING STRUCT'!FX58*3.28084</f>
        <v>14.540682879999999</v>
      </c>
      <c r="FY58" s="617">
        <f>'ASWING STRUCT'!FY58</f>
        <v>0</v>
      </c>
      <c r="FZ58" s="698">
        <f>'ASWING STRUCT'!FZ58*0.224809*3.28084^2</f>
        <v>311431.39039447013</v>
      </c>
      <c r="GA58" s="698">
        <f>'ASWING STRUCT'!GA58*0.224809*3.28084^2</f>
        <v>253179.08767833287</v>
      </c>
      <c r="GB58" s="698">
        <f>'ASWING STRUCT'!GB58*0.224809*3.28084^2</f>
        <v>0</v>
      </c>
      <c r="GC58" s="698">
        <f>'ASWING STRUCT'!GC58*0.224809*3.28084^2</f>
        <v>0</v>
      </c>
      <c r="GD58" s="698">
        <f>'ASWING STRUCT'!GD58*0.224809*3.28084^2</f>
        <v>0</v>
      </c>
      <c r="GE58" s="698">
        <f>'ASWING STRUCT'!GE58*0.224809*3.28084^2</f>
        <v>74455927.91827628</v>
      </c>
      <c r="GF58" s="617">
        <f>'ASWING STRUCT'!GF58</f>
        <v>0</v>
      </c>
      <c r="GG58" s="698">
        <f>'ASWING STRUCT'!GG58*0.224809</f>
        <v>0</v>
      </c>
      <c r="GH58" s="698">
        <f>'ASWING STRUCT'!GH58*0.224809</f>
        <v>0</v>
      </c>
      <c r="GI58" s="617">
        <f>'ASWING STRUCT'!GI58*2.20462*3.28084</f>
        <v>0</v>
      </c>
      <c r="GJ58" s="617">
        <f>'ASWING STRUCT'!GJ58*2.20462*3.28084</f>
        <v>0</v>
      </c>
      <c r="GK58" s="617">
        <f>'ASWING STRUCT'!GK58*2.20462/3.28084</f>
        <v>11.445483832634521</v>
      </c>
      <c r="GL58" s="617">
        <f>'ASWING STRUCT'!GL58*3.28084</f>
        <v>-2.139891783491632</v>
      </c>
      <c r="GM58" s="617">
        <f>'ASWING STRUCT'!GM58*3.28084</f>
        <v>0</v>
      </c>
      <c r="GN58" s="617">
        <f>'ASWING STRUCT'!GN58*2.20462*3.28084</f>
        <v>0</v>
      </c>
      <c r="GO58" s="617">
        <f>'ASWING STRUCT'!GO58*2.20462*3.28084</f>
        <v>0</v>
      </c>
      <c r="GP58" s="617">
        <f>'ASWING STRUCT'!GP58*2.20462/3.28084</f>
        <v>0</v>
      </c>
      <c r="GQ58" s="617">
        <f>'ASWING STRUCT'!GQ58*3.28084</f>
        <v>0</v>
      </c>
      <c r="GR58" s="617">
        <f>'ASWING STRUCT'!GR58*3.28084</f>
        <v>0</v>
      </c>
      <c r="GS58" s="617">
        <f>'ASWING STRUCT'!GS58*3.28084</f>
        <v>-2.923552456831223</v>
      </c>
      <c r="GT58" s="617">
        <f>'ASWING STRUCT'!GT58*3.28084</f>
        <v>0</v>
      </c>
      <c r="GU58" s="617">
        <f>'ASWING STRUCT'!GU58*3.28084</f>
        <v>0</v>
      </c>
      <c r="GV58" s="617">
        <f>'ASWING STRUCT'!GV58*3.28084</f>
        <v>0</v>
      </c>
      <c r="GW58" s="617">
        <f>'ASWING STRUCT'!GW58</f>
        <v>2E-3</v>
      </c>
      <c r="GX58" s="617">
        <f>'ASWING STRUCT'!GX58</f>
        <v>2E-3</v>
      </c>
      <c r="GY58" s="617">
        <f>'ASWING STRUCT'!GY58*3.28084</f>
        <v>-3.4251969600000001</v>
      </c>
      <c r="GZ58" s="617">
        <f>'ASWING STRUCT'!GZ58*3.28084</f>
        <v>0.51377954400000003</v>
      </c>
      <c r="HA58" s="617">
        <f>'ASWING STRUCT'!HA58*3.28084^3</f>
        <v>8.5023415981712921E-3</v>
      </c>
      <c r="HB58" s="617">
        <f>'ASWING STRUCT'!HB58*3.28084</f>
        <v>0</v>
      </c>
      <c r="HC58" s="617">
        <f>'ASWING STRUCT'!HC58</f>
        <v>5.4999999999999997E-3</v>
      </c>
      <c r="HD58" s="617">
        <f>'ASWING STRUCT'!HD58</f>
        <v>5.4999999999999997E-3</v>
      </c>
      <c r="HE58" s="617">
        <f>'ASWING STRUCT'!HE58*3.28084</f>
        <v>5.7086616000000001</v>
      </c>
      <c r="HF58" s="617">
        <f>'ASWING STRUCT'!HF58</f>
        <v>0.85</v>
      </c>
      <c r="HG58" s="617">
        <f>'ASWING STRUCT'!HG58</f>
        <v>0</v>
      </c>
      <c r="HH58" s="617">
        <f>'ASWING STRUCT'!HH58</f>
        <v>0</v>
      </c>
      <c r="HI58" s="617">
        <f>'ASWING STRUCT'!HI58</f>
        <v>1.4</v>
      </c>
      <c r="HJ58" s="617">
        <f>'ASWING STRUCT'!HJ58</f>
        <v>-1.4</v>
      </c>
      <c r="HK58" s="616">
        <f>'ASWING STRUCT'!HK58</f>
        <v>5.9690260418206069</v>
      </c>
    </row>
    <row r="59" spans="1:219" x14ac:dyDescent="0.25">
      <c r="A59" t="s">
        <v>897</v>
      </c>
      <c r="B59" s="664">
        <v>4.84</v>
      </c>
      <c r="C59" s="665">
        <v>-1.56</v>
      </c>
      <c r="D59" s="665">
        <v>0.1</v>
      </c>
      <c r="E59" s="670">
        <f>'ASWING STRUCT'!E59* 3.28084</f>
        <v>13.5498692</v>
      </c>
      <c r="F59" s="670">
        <f>'ASWING STRUCT'!F59* 3.28084</f>
        <v>5.1181103999999999</v>
      </c>
      <c r="G59" s="670">
        <f>'ASWING STRUCT'!G59* 3.28084</f>
        <v>12.795275999999999</v>
      </c>
      <c r="H59" s="671">
        <f>'ASWING STRUCT'!H59*2.20462</f>
        <v>47.178867999999994</v>
      </c>
      <c r="I59" s="668">
        <v>8</v>
      </c>
      <c r="J59" s="666">
        <f t="shared" si="0"/>
        <v>13.5498692</v>
      </c>
      <c r="K59" s="575">
        <v>1</v>
      </c>
      <c r="L59" s="626">
        <f>AQ50/MAX('REF - ASWING AERO-Imperial'!D24:D57)*100</f>
        <v>-95.834412769750486</v>
      </c>
      <c r="M59">
        <v>10</v>
      </c>
      <c r="N59">
        <f>'REF - ASWING AERO-Imperial'!A33+'Inputs-Imperial'!E12*'REF - ASWING AERO-Imperial'!F33</f>
        <v>31.898895705803998</v>
      </c>
      <c r="O59" s="576">
        <v>0</v>
      </c>
      <c r="P59" s="580"/>
      <c r="AU59" s="594"/>
      <c r="AV59" s="574">
        <f ca="1">100*(AX59-$AX$50)/(MAX($AX$50:INDEX(($AX$50:$AX$150),$F$35+1,1))-MIN($AX$50:INDEX(($AX$50:$AX$150),$F$35+1,1)))</f>
        <v>42</v>
      </c>
      <c r="AW59" s="660">
        <f ca="1">OFFSET('Trapezoidal Wing Summary'!C$45,((ROW('Trapezoidal Wing Summary'!$A54)-ROW('Trapezoidal Wing Summary'!$A$45))*100/$F$35),0)+$F$15</f>
        <v>24.062557528531997</v>
      </c>
      <c r="AX59" s="660">
        <f ca="1">OFFSET('Trapezoidal Wing Summary'!D$45,((ROW('Trapezoidal Wing Summary'!$A54)-ROW('Trapezoidal Wing Summary'!$A$45))*100/$F$35),0)+$F$16</f>
        <v>10.102027882319998</v>
      </c>
      <c r="AY59" s="660">
        <f ca="1">OFFSET('Trapezoidal Wing Summary'!E$45,((ROW('Trapezoidal Wing Summary'!$A54)-ROW('Trapezoidal Wing Summary'!$A$45))*100/$F$35),0)+$F$17</f>
        <v>8.1686780829199996</v>
      </c>
      <c r="AZ59" s="41">
        <f ca="1">OFFSET('Trapezoidal Wing Summary'!F$45,((ROW('Trapezoidal Wing Summary'!$A54)-ROW('Trapezoidal Wing Summary'!$A$45))*100/$F$35),0)</f>
        <v>0</v>
      </c>
      <c r="BA59" s="41">
        <f ca="1">OFFSET('Trapezoidal Wing Summary'!G$45,((ROW('Trapezoidal Wing Summary'!$A54)-ROW('Trapezoidal Wing Summary'!$A$45))*100/$F$35),0)</f>
        <v>697136.9349565967</v>
      </c>
      <c r="BB59" s="41">
        <f ca="1">OFFSET('Trapezoidal Wing Summary'!H$45,((ROW('Trapezoidal Wing Summary'!$A54)-ROW('Trapezoidal Wing Summary'!$A$45))*100/$F$35),0)</f>
        <v>2931411.6717995456</v>
      </c>
      <c r="BC59" s="41">
        <f ca="1">OFFSET('Trapezoidal Wing Summary'!I$45,((ROW('Trapezoidal Wing Summary'!$A54)-ROW('Trapezoidal Wing Summary'!$A$45))*100/$F$35),0)</f>
        <v>0</v>
      </c>
      <c r="BD59" s="41">
        <f ca="1">OFFSET('Trapezoidal Wing Summary'!J$45,((ROW('Trapezoidal Wing Summary'!$A54)-ROW('Trapezoidal Wing Summary'!$A$45))*100/$F$35),0)</f>
        <v>0</v>
      </c>
      <c r="BE59" s="41">
        <f ca="1">OFFSET('Trapezoidal Wing Summary'!K$45,((ROW('Trapezoidal Wing Summary'!$A54)-ROW('Trapezoidal Wing Summary'!$A$45))*100/$F$35),0)</f>
        <v>0</v>
      </c>
      <c r="BF59" s="41">
        <f ca="1">OFFSET('Trapezoidal Wing Summary'!L$45,((ROW('Trapezoidal Wing Summary'!$A54)-ROW('Trapezoidal Wing Summary'!$A$45))*100/$F$35),0)</f>
        <v>32665835.553337719</v>
      </c>
      <c r="BG59" s="41">
        <f ca="1">OFFSET('Trapezoidal Wing Summary'!M$45,((ROW('Trapezoidal Wing Summary'!$A54)-ROW('Trapezoidal Wing Summary'!$A$45))*100/$F$35),0)</f>
        <v>0</v>
      </c>
      <c r="BH59" s="41">
        <f ca="1">OFFSET('Trapezoidal Wing Summary'!N$45,((ROW('Trapezoidal Wing Summary'!$A54)-ROW('Trapezoidal Wing Summary'!$A$45))*100/$F$35),0)</f>
        <v>0</v>
      </c>
      <c r="BI59" s="41">
        <f ca="1">OFFSET('Trapezoidal Wing Summary'!O$45,((ROW('Trapezoidal Wing Summary'!$A54)-ROW('Trapezoidal Wing Summary'!$A$45))*100/$F$35),0)</f>
        <v>0</v>
      </c>
      <c r="BJ59" s="41">
        <f ca="1">OFFSET('Trapezoidal Wing Summary'!P$45,((ROW('Trapezoidal Wing Summary'!$A54)-ROW('Trapezoidal Wing Summary'!$A$45))*100/$F$35),0)</f>
        <v>0</v>
      </c>
      <c r="BK59" s="41">
        <f ca="1">OFFSET('Trapezoidal Wing Summary'!Q$45,((ROW('Trapezoidal Wing Summary'!$A54)-ROW('Trapezoidal Wing Summary'!$A$45))*100/$F$35),0)</f>
        <v>0</v>
      </c>
      <c r="BL59" s="41">
        <f ca="1">OFFSET('Trapezoidal Wing Summary'!R$45,((ROW('Trapezoidal Wing Summary'!$A54)-ROW('Trapezoidal Wing Summary'!$A$45))*100/$F$35),0)</f>
        <v>17.154646791134223</v>
      </c>
      <c r="BM59" s="41">
        <f ca="1">OFFSET('Trapezoidal Wing Summary'!S$45,((ROW('Trapezoidal Wing Summary'!$A54)-ROW('Trapezoidal Wing Summary'!$A$45))*100/$F$35),0)</f>
        <v>0.88357951972316506</v>
      </c>
      <c r="BN59" s="41">
        <f ca="1">OFFSET('Trapezoidal Wing Summary'!T$45,((ROW('Trapezoidal Wing Summary'!$A54)-ROW('Trapezoidal Wing Summary'!$A$45))*100/$F$35),0)</f>
        <v>0</v>
      </c>
      <c r="BO59" s="41">
        <f ca="1">OFFSET('Trapezoidal Wing Summary'!U$45,((ROW('Trapezoidal Wing Summary'!$A54)-ROW('Trapezoidal Wing Summary'!$A$45))*100/$F$35),0)</f>
        <v>0</v>
      </c>
      <c r="BP59" s="41">
        <f ca="1">OFFSET('Trapezoidal Wing Summary'!V$45,((ROW('Trapezoidal Wing Summary'!$A54)-ROW('Trapezoidal Wing Summary'!$A$45))*100/$F$35),0)</f>
        <v>0</v>
      </c>
      <c r="BQ59" s="41">
        <f ca="1">OFFSET('Trapezoidal Wing Summary'!W$45,((ROW('Trapezoidal Wing Summary'!$A54)-ROW('Trapezoidal Wing Summary'!$A$45))*100/$F$35),0)</f>
        <v>0</v>
      </c>
      <c r="BR59" s="41">
        <f ca="1">OFFSET('Trapezoidal Wing Summary'!X$45,((ROW('Trapezoidal Wing Summary'!$A54)-ROW('Trapezoidal Wing Summary'!$A$45))*100/$F$35),0)</f>
        <v>0</v>
      </c>
      <c r="BS59" s="41">
        <f ca="1">OFFSET('Trapezoidal Wing Summary'!Y$45,((ROW('Trapezoidal Wing Summary'!$A54)-ROW('Trapezoidal Wing Summary'!$A$45))*100/$F$35),0)</f>
        <v>0</v>
      </c>
      <c r="BT59" s="41">
        <f ca="1">OFFSET('Trapezoidal Wing Summary'!Z$45,((ROW('Trapezoidal Wing Summary'!$A54)-ROW('Trapezoidal Wing Summary'!$A$45))*100/$F$35),0)</f>
        <v>0.38708007031617631</v>
      </c>
      <c r="BU59" s="41">
        <f ca="1">OFFSET('Trapezoidal Wing Summary'!AA$45,((ROW('Trapezoidal Wing Summary'!$A54)-ROW('Trapezoidal Wing Summary'!$A$45))*100/$F$35),0)</f>
        <v>0</v>
      </c>
      <c r="BV59" s="41">
        <f ca="1">OFFSET('Trapezoidal Wing Summary'!AB$45,((ROW('Trapezoidal Wing Summary'!$A54)-ROW('Trapezoidal Wing Summary'!$A$45))*100/$F$35),0)</f>
        <v>0</v>
      </c>
      <c r="BW59" s="41">
        <f ca="1">OFFSET('Trapezoidal Wing Summary'!AC$45,((ROW('Trapezoidal Wing Summary'!$A54)-ROW('Trapezoidal Wing Summary'!$A$45))*100/$F$35),0)</f>
        <v>0</v>
      </c>
      <c r="BX59" s="41">
        <f ca="1">OFFSET('Trapezoidal Wing Summary'!AD$45,((ROW('Trapezoidal Wing Summary'!$A54)-ROW('Trapezoidal Wing Summary'!$A$45))*100/$F$35),0)</f>
        <v>2E-3</v>
      </c>
      <c r="BY59" s="41">
        <f ca="1">OFFSET('Trapezoidal Wing Summary'!AE$45,((ROW('Trapezoidal Wing Summary'!$A54)-ROW('Trapezoidal Wing Summary'!$A$45))*100/$F$35),0)</f>
        <v>2E-3</v>
      </c>
      <c r="BZ59" s="41">
        <f ca="1">OFFSET('Trapezoidal Wing Summary'!AF$45,((ROW('Trapezoidal Wing Summary'!$A54)-ROW('Trapezoidal Wing Summary'!$A$45))*100/$F$35),0)</f>
        <v>0</v>
      </c>
      <c r="CA59" s="41">
        <f ca="1">OFFSET('Trapezoidal Wing Summary'!AG$45,((ROW('Trapezoidal Wing Summary'!$A54)-ROW('Trapezoidal Wing Summary'!$A$45))*100/$F$35),0)</f>
        <v>0.39039863454000001</v>
      </c>
      <c r="CB59" s="41">
        <f ca="1">OFFSET('Trapezoidal Wing Summary'!AH$45,((ROW('Trapezoidal Wing Summary'!$A54)-ROW('Trapezoidal Wing Summary'!$A$45))*100/$F$35),0)</f>
        <v>4.9090958493985051E-3</v>
      </c>
      <c r="CC59" s="41">
        <f ca="1">OFFSET('Trapezoidal Wing Summary'!AI$45,((ROW('Trapezoidal Wing Summary'!$A54)-ROW('Trapezoidal Wing Summary'!$A$45))*100/$F$35),0)</f>
        <v>0</v>
      </c>
      <c r="CD59" s="41">
        <f>'REF - ASWING AERO-Imperial'!$R$5</f>
        <v>5.4999999999999997E-3</v>
      </c>
      <c r="CE59" s="41">
        <f>'REF - ASWING AERO-Imperial'!$R$6</f>
        <v>5.4999999999999997E-3</v>
      </c>
      <c r="CF59" s="41">
        <f ca="1">OFFSET('Trapezoidal Wing Summary'!AL$45,((ROW('Trapezoidal Wing Summary'!$A54)-ROW('Trapezoidal Wing Summary'!$A$45))*100/$F$35),0)</f>
        <v>4.3377626060000001</v>
      </c>
      <c r="CG59" s="41">
        <f ca="1">OFFSET('Trapezoidal Wing Summary'!AM$45,((ROW('Trapezoidal Wing Summary'!$A54)-ROW('Trapezoidal Wing Summary'!$A$45))*100/$F$35),0)</f>
        <v>0.25</v>
      </c>
      <c r="CH59" s="41">
        <f ca="1">OFFSET('Trapezoidal Wing Summary'!AN$45,((ROW('Trapezoidal Wing Summary'!$A54)-ROW('Trapezoidal Wing Summary'!$A$45))*100/$F$35),0)</f>
        <v>5.35</v>
      </c>
      <c r="CI59" s="41">
        <f ca="1">OFFSET('Trapezoidal Wing Summary'!AO$45,((ROW('Trapezoidal Wing Summary'!$A54)-ROW('Trapezoidal Wing Summary'!$A$45))*100/$F$35),0)</f>
        <v>-0.15</v>
      </c>
      <c r="CJ59" s="41">
        <f ca="1">OFFSET('Trapezoidal Wing Summary'!AP$45,((ROW('Trapezoidal Wing Summary'!$A54)-ROW('Trapezoidal Wing Summary'!$A$45))*100/$F$35),0)</f>
        <v>1.85</v>
      </c>
      <c r="CK59" s="41">
        <f ca="1">OFFSET('Trapezoidal Wing Summary'!AQ$45,((ROW('Trapezoidal Wing Summary'!$A54)-ROW('Trapezoidal Wing Summary'!$A$45))*100/$F$35),0)</f>
        <v>-1.55</v>
      </c>
      <c r="CL59" s="41">
        <f ca="1">OFFSET('Trapezoidal Wing Summary'!AR$45,((ROW('Trapezoidal Wing Summary'!$A54)-ROW('Trapezoidal Wing Summary'!$A$45))*100/$F$35),0)</f>
        <v>5.9690260418206069</v>
      </c>
      <c r="CM59" s="645">
        <f>'ASWING STRUCT'!CM59</f>
        <v>42</v>
      </c>
      <c r="CN59" s="642">
        <f>'ASWING STRUCT'!CN59*3.28084</f>
        <v>10.513003617255999</v>
      </c>
      <c r="CO59" s="642">
        <f>'ASWING STRUCT'!CO59*3.28084</f>
        <v>4.1338584000000003</v>
      </c>
      <c r="CP59" s="642">
        <f>'ASWING STRUCT'!CP59*3.28084</f>
        <v>12.850247130368</v>
      </c>
      <c r="CQ59" s="642">
        <f>'ASWING STRUCT'!CQ59</f>
        <v>0</v>
      </c>
      <c r="CR59" s="692">
        <f>'ASWING STRUCT'!CR59*0.224809*3.28084^2</f>
        <v>63653.790809551305</v>
      </c>
      <c r="CS59" s="692">
        <f>'ASWING STRUCT'!CS59*0.224809*3.28084^2</f>
        <v>57105.846278269048</v>
      </c>
      <c r="CT59" s="692">
        <f>'ASWING STRUCT'!CT59*0.224809*3.28084^2</f>
        <v>0</v>
      </c>
      <c r="CU59" s="692">
        <f>'ASWING STRUCT'!CU59*0.224809*3.28084^2</f>
        <v>0</v>
      </c>
      <c r="CV59" s="692">
        <f>'ASWING STRUCT'!CV59*0.224809*3.28084^2</f>
        <v>0</v>
      </c>
      <c r="CW59" s="692">
        <f>'ASWING STRUCT'!CW59*0.224809*3.28084^2</f>
        <v>2033505.7115879585</v>
      </c>
      <c r="CX59" s="642">
        <f>'ASWING STRUCT'!CX59</f>
        <v>0</v>
      </c>
      <c r="CY59" s="642">
        <f>'ASWING STRUCT'!CY59*0.224809</f>
        <v>0</v>
      </c>
      <c r="CZ59" s="642">
        <f>'ASWING STRUCT'!CZ59*0.224809</f>
        <v>0</v>
      </c>
      <c r="DA59" s="642">
        <f>'ASWING STRUCT'!DA59*2.20462*3.28084</f>
        <v>0</v>
      </c>
      <c r="DB59" s="642">
        <f>'ASWING STRUCT'!DB59*2.20462*3.28084</f>
        <v>0</v>
      </c>
      <c r="DC59" s="642">
        <f>'ASWING STRUCT'!DC59*2.20462/3.28084</f>
        <v>2.4596760195343257</v>
      </c>
      <c r="DD59" s="642">
        <f>'ASWING STRUCT'!DD59*3.28084</f>
        <v>0.36030994161675384</v>
      </c>
      <c r="DE59" s="642">
        <f>'ASWING STRUCT'!DE59*3.28084</f>
        <v>0</v>
      </c>
      <c r="DF59" s="642">
        <f>'ASWING STRUCT'!DF59*2.20462*3.28084</f>
        <v>0</v>
      </c>
      <c r="DG59" s="642">
        <f>'ASWING STRUCT'!DG59*2.20462*3.28084</f>
        <v>0</v>
      </c>
      <c r="DH59" s="642">
        <f>'ASWING STRUCT'!DH59*2.20462/3.28084</f>
        <v>0</v>
      </c>
      <c r="DI59" s="642">
        <f>'ASWING STRUCT'!DI59*3.28084</f>
        <v>0</v>
      </c>
      <c r="DJ59" s="642">
        <f>'ASWING STRUCT'!DJ59*3.28084</f>
        <v>0</v>
      </c>
      <c r="DK59" s="642">
        <f>'ASWING STRUCT'!DK59*3.28084</f>
        <v>0.15867732857662453</v>
      </c>
      <c r="DL59" s="642">
        <f>'ASWING STRUCT'!DL59*3.28084</f>
        <v>0</v>
      </c>
      <c r="DM59" s="642">
        <f>'ASWING STRUCT'!DM59*3.28084</f>
        <v>0</v>
      </c>
      <c r="DN59" s="642">
        <f>'ASWING STRUCT'!DN59*3.28084</f>
        <v>0</v>
      </c>
      <c r="DO59" s="642">
        <f>'ASWING STRUCT'!DO59</f>
        <v>2E-3</v>
      </c>
      <c r="DP59" s="642">
        <f>'ASWING STRUCT'!DP59</f>
        <v>2E-3</v>
      </c>
      <c r="DQ59" s="642">
        <f>'ASWING STRUCT'!DQ59*3.28084</f>
        <v>0</v>
      </c>
      <c r="DR59" s="642">
        <f>'ASWING STRUCT'!DR59*3.28084</f>
        <v>0.15472441439999998</v>
      </c>
      <c r="DS59" s="642">
        <f>'ASWING STRUCT'!DS59*3.28084^3</f>
        <v>7.7108566080706859E-4</v>
      </c>
      <c r="DT59" s="642">
        <f>'ASWING STRUCT'!DT59*3.28084</f>
        <v>0</v>
      </c>
      <c r="DU59" s="642">
        <f>'ASWING STRUCT'!DU59</f>
        <v>5.4999999999999997E-3</v>
      </c>
      <c r="DV59" s="642">
        <f>'ASWING STRUCT'!DV59</f>
        <v>5.4999999999999997E-3</v>
      </c>
      <c r="DW59" s="642">
        <f>'ASWING STRUCT'!DW59*3.28084</f>
        <v>1.7191601600000002</v>
      </c>
      <c r="DX59" s="642">
        <f>'ASWING STRUCT'!DX59</f>
        <v>0.25</v>
      </c>
      <c r="DY59" s="642">
        <f>'ASWING STRUCT'!DY59</f>
        <v>5.9</v>
      </c>
      <c r="DZ59" s="642">
        <f>'ASWING STRUCT'!DZ59</f>
        <v>-0.15</v>
      </c>
      <c r="EA59" s="642">
        <f>'ASWING STRUCT'!EA59</f>
        <v>2.25</v>
      </c>
      <c r="EB59" s="642">
        <f>'ASWING STRUCT'!EB59</f>
        <v>-1.65</v>
      </c>
      <c r="EC59" s="641">
        <f>'ASWING STRUCT'!EC59</f>
        <v>5.9690260418206069</v>
      </c>
      <c r="ED59" s="697">
        <f>'ASWING STRUCT'!ED59</f>
        <v>42</v>
      </c>
      <c r="EE59" s="617">
        <f>'ASWING STRUCT'!EE59*3.28084</f>
        <v>39.2388464</v>
      </c>
      <c r="EF59" s="617">
        <f>'ASWING STRUCT'!EF59*3.28084</f>
        <v>5.1181103999999999</v>
      </c>
      <c r="EG59" s="617">
        <f>'ASWING STRUCT'!EG59*3.28084</f>
        <v>14.724409919999998</v>
      </c>
      <c r="EH59" s="617">
        <f>'ASWING STRUCT'!EH59</f>
        <v>0</v>
      </c>
      <c r="EI59" s="698">
        <f>'ASWING STRUCT'!EI59*0.224809*3.28084^2</f>
        <v>214511.77554084992</v>
      </c>
      <c r="EJ59" s="698">
        <f>'ASWING STRUCT'!EJ59*0.224809*3.28084^2</f>
        <v>177307.72431437118</v>
      </c>
      <c r="EK59" s="698">
        <f>'ASWING STRUCT'!EK59*0.224809*3.28084^2</f>
        <v>0</v>
      </c>
      <c r="EL59" s="698">
        <f>'ASWING STRUCT'!EL59*0.224809*3.28084^2</f>
        <v>0</v>
      </c>
      <c r="EM59" s="698">
        <f>'ASWING STRUCT'!EM59*0.224809*3.28084^2</f>
        <v>0</v>
      </c>
      <c r="EN59" s="698">
        <f>'ASWING STRUCT'!EN59*0.224809*3.28084^2</f>
        <v>64651082.313379668</v>
      </c>
      <c r="EO59" s="617">
        <f>'ASWING STRUCT'!EO59</f>
        <v>0</v>
      </c>
      <c r="EP59" s="698">
        <f>'ASWING STRUCT'!EP59*0.224809</f>
        <v>0</v>
      </c>
      <c r="EQ59" s="698">
        <f>'ASWING STRUCT'!EQ59*0.224809</f>
        <v>0</v>
      </c>
      <c r="ER59" s="617">
        <f>'ASWING STRUCT'!ER59*2.20462*3.28084</f>
        <v>0</v>
      </c>
      <c r="ES59" s="617">
        <f>'ASWING STRUCT'!ES59*2.20462*3.28084</f>
        <v>0</v>
      </c>
      <c r="ET59" s="617">
        <f>'ASWING STRUCT'!ET59*2.20462/3.28084</f>
        <v>10.905921688630675</v>
      </c>
      <c r="EU59" s="617">
        <f>'ASWING STRUCT'!EU59*3.28084</f>
        <v>-2.0421887660003799</v>
      </c>
      <c r="EV59" s="617">
        <f>'ASWING STRUCT'!EV59*3.28084</f>
        <v>0</v>
      </c>
      <c r="EW59" s="617">
        <f>'ASWING STRUCT'!EW59*2.20462*3.28084</f>
        <v>0</v>
      </c>
      <c r="EX59" s="617">
        <f>'ASWING STRUCT'!EX59*2.20462*3.28084</f>
        <v>0</v>
      </c>
      <c r="EY59" s="617">
        <f>'ASWING STRUCT'!EY59*2.20462/3.28084</f>
        <v>0</v>
      </c>
      <c r="EZ59" s="617">
        <f>'ASWING STRUCT'!EZ59*3.28084</f>
        <v>0</v>
      </c>
      <c r="FA59" s="617">
        <f>'ASWING STRUCT'!FA59*3.28084</f>
        <v>0</v>
      </c>
      <c r="FB59" s="617">
        <f>'ASWING STRUCT'!FB59*3.28084</f>
        <v>-2.7848405291357312</v>
      </c>
      <c r="FC59" s="617">
        <f>'ASWING STRUCT'!FC59*3.28084</f>
        <v>0</v>
      </c>
      <c r="FD59" s="617">
        <f>'ASWING STRUCT'!FD59*3.28084</f>
        <v>0</v>
      </c>
      <c r="FE59" s="617">
        <f>'ASWING STRUCT'!FE59*3.28084</f>
        <v>0</v>
      </c>
      <c r="FF59" s="617">
        <f>'ASWING STRUCT'!FF59</f>
        <v>2E-3</v>
      </c>
      <c r="FG59" s="617">
        <f>'ASWING STRUCT'!FG59</f>
        <v>2E-3</v>
      </c>
      <c r="FH59" s="617">
        <f>'ASWING STRUCT'!FH59*3.28084</f>
        <v>-3.2677166400000006</v>
      </c>
      <c r="FI59" s="617">
        <f>'ASWING STRUCT'!FI59*3.28084</f>
        <v>0.49015749600000003</v>
      </c>
      <c r="FJ59" s="617">
        <f>'ASWING STRUCT'!FJ59*3.28084^3</f>
        <v>7.7384900607480583E-3</v>
      </c>
      <c r="FK59" s="617">
        <f>'ASWING STRUCT'!FK59*3.28084</f>
        <v>0</v>
      </c>
      <c r="FL59" s="617">
        <f>'ASWING STRUCT'!FL59</f>
        <v>5.4999999999999997E-3</v>
      </c>
      <c r="FM59" s="617">
        <f>'ASWING STRUCT'!FM59</f>
        <v>5.4999999999999997E-3</v>
      </c>
      <c r="FN59" s="617">
        <f>'ASWING STRUCT'!FN59*3.28084</f>
        <v>5.4461944000000004</v>
      </c>
      <c r="FO59" s="617">
        <f>'ASWING STRUCT'!FO59</f>
        <v>0.85</v>
      </c>
      <c r="FP59" s="617">
        <f>'ASWING STRUCT'!FP59</f>
        <v>0</v>
      </c>
      <c r="FQ59" s="617">
        <f>'ASWING STRUCT'!FQ59</f>
        <v>0</v>
      </c>
      <c r="FR59" s="617">
        <f>'ASWING STRUCT'!FR59</f>
        <v>1.4</v>
      </c>
      <c r="FS59" s="617">
        <f>'ASWING STRUCT'!FS59</f>
        <v>-1.4</v>
      </c>
      <c r="FT59" s="616">
        <f>'ASWING STRUCT'!FT59</f>
        <v>5.9690260418206069</v>
      </c>
      <c r="FU59" s="697">
        <f>'ASWING STRUCT'!FU59</f>
        <v>42</v>
      </c>
      <c r="FV59" s="617">
        <f>'ASWING STRUCT'!FV59*3.28084</f>
        <v>39.2388464</v>
      </c>
      <c r="FW59" s="617">
        <f>'ASWING STRUCT'!FW59*3.28084</f>
        <v>-5.1181103999999999</v>
      </c>
      <c r="FX59" s="617">
        <f>'ASWING STRUCT'!FX59*3.28084</f>
        <v>14.724409919999998</v>
      </c>
      <c r="FY59" s="617">
        <f>'ASWING STRUCT'!FY59</f>
        <v>0</v>
      </c>
      <c r="FZ59" s="698">
        <f>'ASWING STRUCT'!FZ59*0.224809*3.28084^2</f>
        <v>214511.77554084992</v>
      </c>
      <c r="GA59" s="698">
        <f>'ASWING STRUCT'!GA59*0.224809*3.28084^2</f>
        <v>177307.72431437118</v>
      </c>
      <c r="GB59" s="698">
        <f>'ASWING STRUCT'!GB59*0.224809*3.28084^2</f>
        <v>0</v>
      </c>
      <c r="GC59" s="698">
        <f>'ASWING STRUCT'!GC59*0.224809*3.28084^2</f>
        <v>0</v>
      </c>
      <c r="GD59" s="698">
        <f>'ASWING STRUCT'!GD59*0.224809*3.28084^2</f>
        <v>0</v>
      </c>
      <c r="GE59" s="698">
        <f>'ASWING STRUCT'!GE59*0.224809*3.28084^2</f>
        <v>64651082.313379668</v>
      </c>
      <c r="GF59" s="617">
        <f>'ASWING STRUCT'!GF59</f>
        <v>0</v>
      </c>
      <c r="GG59" s="698">
        <f>'ASWING STRUCT'!GG59*0.224809</f>
        <v>0</v>
      </c>
      <c r="GH59" s="698">
        <f>'ASWING STRUCT'!GH59*0.224809</f>
        <v>0</v>
      </c>
      <c r="GI59" s="617">
        <f>'ASWING STRUCT'!GI59*2.20462*3.28084</f>
        <v>0</v>
      </c>
      <c r="GJ59" s="617">
        <f>'ASWING STRUCT'!GJ59*2.20462*3.28084</f>
        <v>0</v>
      </c>
      <c r="GK59" s="617">
        <f>'ASWING STRUCT'!GK59*2.20462/3.28084</f>
        <v>10.905921688630675</v>
      </c>
      <c r="GL59" s="617">
        <f>'ASWING STRUCT'!GL59*3.28084</f>
        <v>-2.0421887660003799</v>
      </c>
      <c r="GM59" s="617">
        <f>'ASWING STRUCT'!GM59*3.28084</f>
        <v>0</v>
      </c>
      <c r="GN59" s="617">
        <f>'ASWING STRUCT'!GN59*2.20462*3.28084</f>
        <v>0</v>
      </c>
      <c r="GO59" s="617">
        <f>'ASWING STRUCT'!GO59*2.20462*3.28084</f>
        <v>0</v>
      </c>
      <c r="GP59" s="617">
        <f>'ASWING STRUCT'!GP59*2.20462/3.28084</f>
        <v>0</v>
      </c>
      <c r="GQ59" s="617">
        <f>'ASWING STRUCT'!GQ59*3.28084</f>
        <v>0</v>
      </c>
      <c r="GR59" s="617">
        <f>'ASWING STRUCT'!GR59*3.28084</f>
        <v>0</v>
      </c>
      <c r="GS59" s="617">
        <f>'ASWING STRUCT'!GS59*3.28084</f>
        <v>-2.7848405291357312</v>
      </c>
      <c r="GT59" s="617">
        <f>'ASWING STRUCT'!GT59*3.28084</f>
        <v>0</v>
      </c>
      <c r="GU59" s="617">
        <f>'ASWING STRUCT'!GU59*3.28084</f>
        <v>0</v>
      </c>
      <c r="GV59" s="617">
        <f>'ASWING STRUCT'!GV59*3.28084</f>
        <v>0</v>
      </c>
      <c r="GW59" s="617">
        <f>'ASWING STRUCT'!GW59</f>
        <v>2E-3</v>
      </c>
      <c r="GX59" s="617">
        <f>'ASWING STRUCT'!GX59</f>
        <v>2E-3</v>
      </c>
      <c r="GY59" s="617">
        <f>'ASWING STRUCT'!GY59*3.28084</f>
        <v>-3.2677166400000006</v>
      </c>
      <c r="GZ59" s="617">
        <f>'ASWING STRUCT'!GZ59*3.28084</f>
        <v>0.49015749600000003</v>
      </c>
      <c r="HA59" s="617">
        <f>'ASWING STRUCT'!HA59*3.28084^3</f>
        <v>7.7384900607480583E-3</v>
      </c>
      <c r="HB59" s="617">
        <f>'ASWING STRUCT'!HB59*3.28084</f>
        <v>0</v>
      </c>
      <c r="HC59" s="617">
        <f>'ASWING STRUCT'!HC59</f>
        <v>5.4999999999999997E-3</v>
      </c>
      <c r="HD59" s="617">
        <f>'ASWING STRUCT'!HD59</f>
        <v>5.4999999999999997E-3</v>
      </c>
      <c r="HE59" s="617">
        <f>'ASWING STRUCT'!HE59*3.28084</f>
        <v>5.4461944000000004</v>
      </c>
      <c r="HF59" s="617">
        <f>'ASWING STRUCT'!HF59</f>
        <v>0.85</v>
      </c>
      <c r="HG59" s="617">
        <f>'ASWING STRUCT'!HG59</f>
        <v>0</v>
      </c>
      <c r="HH59" s="617">
        <f>'ASWING STRUCT'!HH59</f>
        <v>0</v>
      </c>
      <c r="HI59" s="617">
        <f>'ASWING STRUCT'!HI59</f>
        <v>1.4</v>
      </c>
      <c r="HJ59" s="617">
        <f>'ASWING STRUCT'!HJ59</f>
        <v>-1.4</v>
      </c>
      <c r="HK59" s="616">
        <f>'ASWING STRUCT'!HK59</f>
        <v>5.9690260418206069</v>
      </c>
    </row>
    <row r="60" spans="1:219" x14ac:dyDescent="0.25">
      <c r="A60" t="s">
        <v>898</v>
      </c>
      <c r="B60" s="664">
        <v>4.84</v>
      </c>
      <c r="C60" s="665">
        <v>1.56</v>
      </c>
      <c r="D60" s="665">
        <v>0.1</v>
      </c>
      <c r="E60" s="670">
        <f>'ASWING STRUCT'!E60* 3.28084</f>
        <v>23.690945639999999</v>
      </c>
      <c r="F60" s="670">
        <f>'ASWING STRUCT'!F60* 3.28084</f>
        <v>-15.124672400000001</v>
      </c>
      <c r="G60" s="670">
        <f>'ASWING STRUCT'!G60* 3.28084</f>
        <v>12.139108</v>
      </c>
      <c r="H60" s="671">
        <f>'ASWING STRUCT'!H60*2.20462</f>
        <v>47.178867999999994</v>
      </c>
      <c r="I60" s="668">
        <v>7</v>
      </c>
      <c r="J60" s="666">
        <f t="shared" si="0"/>
        <v>23.690945639999999</v>
      </c>
      <c r="O60" s="576"/>
      <c r="P60" s="580"/>
      <c r="AU60" s="594"/>
      <c r="AV60" s="574">
        <f ca="1">100*(AX60-$AX$50)/(MAX($AX$50:INDEX(($AX$50:$AX$150),$F$35+1,1))-MIN($AX$50:INDEX(($AX$50:$AX$150),$F$35+1,1)))</f>
        <v>47</v>
      </c>
      <c r="AW60" s="660">
        <f ca="1">OFFSET('Trapezoidal Wing Summary'!C$45,((ROW('Trapezoidal Wing Summary'!$A55)-ROW('Trapezoidal Wing Summary'!$A$45))*100/$F$35),0)+$F$15</f>
        <v>24.084805724781997</v>
      </c>
      <c r="AX60" s="660">
        <f ca="1">OFFSET('Trapezoidal Wing Summary'!D$45,((ROW('Trapezoidal Wing Summary'!$A55)-ROW('Trapezoidal Wing Summary'!$A$45))*100/$F$35),0)+$F$16</f>
        <v>11.306096162319998</v>
      </c>
      <c r="AY60" s="660">
        <f ca="1">OFFSET('Trapezoidal Wing Summary'!E$45,((ROW('Trapezoidal Wing Summary'!$A55)-ROW('Trapezoidal Wing Summary'!$A$45))*100/$F$35),0)+$F$17</f>
        <v>8.1686780829199996</v>
      </c>
      <c r="AZ60" s="41">
        <f ca="1">OFFSET('Trapezoidal Wing Summary'!F$45,((ROW('Trapezoidal Wing Summary'!$A55)-ROW('Trapezoidal Wing Summary'!$A$45))*100/$F$35),0)</f>
        <v>0</v>
      </c>
      <c r="BA60" s="41">
        <f ca="1">OFFSET('Trapezoidal Wing Summary'!G$45,((ROW('Trapezoidal Wing Summary'!$A55)-ROW('Trapezoidal Wing Summary'!$A$45))*100/$F$35),0)</f>
        <v>615221.29798102519</v>
      </c>
      <c r="BB60" s="41">
        <f ca="1">OFFSET('Trapezoidal Wing Summary'!H$45,((ROW('Trapezoidal Wing Summary'!$A55)-ROW('Trapezoidal Wing Summary'!$A$45))*100/$F$35),0)</f>
        <v>2812364.8339552013</v>
      </c>
      <c r="BC60" s="41">
        <f ca="1">OFFSET('Trapezoidal Wing Summary'!I$45,((ROW('Trapezoidal Wing Summary'!$A55)-ROW('Trapezoidal Wing Summary'!$A$45))*100/$F$35),0)</f>
        <v>0</v>
      </c>
      <c r="BD60" s="41">
        <f ca="1">OFFSET('Trapezoidal Wing Summary'!J$45,((ROW('Trapezoidal Wing Summary'!$A55)-ROW('Trapezoidal Wing Summary'!$A$45))*100/$F$35),0)</f>
        <v>0</v>
      </c>
      <c r="BE60" s="41">
        <f ca="1">OFFSET('Trapezoidal Wing Summary'!K$45,((ROW('Trapezoidal Wing Summary'!$A55)-ROW('Trapezoidal Wing Summary'!$A$45))*100/$F$35),0)</f>
        <v>0</v>
      </c>
      <c r="BF60" s="41">
        <f ca="1">OFFSET('Trapezoidal Wing Summary'!L$45,((ROW('Trapezoidal Wing Summary'!$A55)-ROW('Trapezoidal Wing Summary'!$A$45))*100/$F$35),0)</f>
        <v>30696300.703193758</v>
      </c>
      <c r="BG60" s="41">
        <f ca="1">OFFSET('Trapezoidal Wing Summary'!M$45,((ROW('Trapezoidal Wing Summary'!$A55)-ROW('Trapezoidal Wing Summary'!$A$45))*100/$F$35),0)</f>
        <v>0</v>
      </c>
      <c r="BH60" s="41">
        <f ca="1">OFFSET('Trapezoidal Wing Summary'!N$45,((ROW('Trapezoidal Wing Summary'!$A55)-ROW('Trapezoidal Wing Summary'!$A$45))*100/$F$35),0)</f>
        <v>0</v>
      </c>
      <c r="BI60" s="41">
        <f ca="1">OFFSET('Trapezoidal Wing Summary'!O$45,((ROW('Trapezoidal Wing Summary'!$A55)-ROW('Trapezoidal Wing Summary'!$A$45))*100/$F$35),0)</f>
        <v>0</v>
      </c>
      <c r="BJ60" s="41">
        <f ca="1">OFFSET('Trapezoidal Wing Summary'!P$45,((ROW('Trapezoidal Wing Summary'!$A55)-ROW('Trapezoidal Wing Summary'!$A$45))*100/$F$35),0)</f>
        <v>0</v>
      </c>
      <c r="BK60" s="41">
        <f ca="1">OFFSET('Trapezoidal Wing Summary'!Q$45,((ROW('Trapezoidal Wing Summary'!$A55)-ROW('Trapezoidal Wing Summary'!$A$45))*100/$F$35),0)</f>
        <v>0</v>
      </c>
      <c r="BL60" s="41">
        <f ca="1">OFFSET('Trapezoidal Wing Summary'!R$45,((ROW('Trapezoidal Wing Summary'!$A55)-ROW('Trapezoidal Wing Summary'!$A$45))*100/$F$35),0)</f>
        <v>16.843669261903287</v>
      </c>
      <c r="BM60" s="41">
        <f ca="1">OFFSET('Trapezoidal Wing Summary'!S$45,((ROW('Trapezoidal Wing Summary'!$A55)-ROW('Trapezoidal Wing Summary'!$A$45))*100/$F$35),0)</f>
        <v>0.86332232140201426</v>
      </c>
      <c r="BN60" s="41">
        <f ca="1">OFFSET('Trapezoidal Wing Summary'!T$45,((ROW('Trapezoidal Wing Summary'!$A55)-ROW('Trapezoidal Wing Summary'!$A$45))*100/$F$35),0)</f>
        <v>0</v>
      </c>
      <c r="BO60" s="41">
        <f ca="1">OFFSET('Trapezoidal Wing Summary'!U$45,((ROW('Trapezoidal Wing Summary'!$A55)-ROW('Trapezoidal Wing Summary'!$A$45))*100/$F$35),0)</f>
        <v>0</v>
      </c>
      <c r="BP60" s="41">
        <f ca="1">OFFSET('Trapezoidal Wing Summary'!V$45,((ROW('Trapezoidal Wing Summary'!$A55)-ROW('Trapezoidal Wing Summary'!$A$45))*100/$F$35),0)</f>
        <v>0</v>
      </c>
      <c r="BQ60" s="41">
        <f ca="1">OFFSET('Trapezoidal Wing Summary'!W$45,((ROW('Trapezoidal Wing Summary'!$A55)-ROW('Trapezoidal Wing Summary'!$A$45))*100/$F$35),0)</f>
        <v>0</v>
      </c>
      <c r="BR60" s="41">
        <f ca="1">OFFSET('Trapezoidal Wing Summary'!X$45,((ROW('Trapezoidal Wing Summary'!$A55)-ROW('Trapezoidal Wing Summary'!$A$45))*100/$F$35),0)</f>
        <v>0</v>
      </c>
      <c r="BS60" s="41">
        <f ca="1">OFFSET('Trapezoidal Wing Summary'!Y$45,((ROW('Trapezoidal Wing Summary'!$A55)-ROW('Trapezoidal Wing Summary'!$A$45))*100/$F$35),0)</f>
        <v>0</v>
      </c>
      <c r="BT60" s="41">
        <f ca="1">OFFSET('Trapezoidal Wing Summary'!Z$45,((ROW('Trapezoidal Wing Summary'!$A55)-ROW('Trapezoidal Wing Summary'!$A$45))*100/$F$35),0)</f>
        <v>0.37910752483279353</v>
      </c>
      <c r="BU60" s="41">
        <f ca="1">OFFSET('Trapezoidal Wing Summary'!AA$45,((ROW('Trapezoidal Wing Summary'!$A55)-ROW('Trapezoidal Wing Summary'!$A$45))*100/$F$35),0)</f>
        <v>0</v>
      </c>
      <c r="BV60" s="41">
        <f ca="1">OFFSET('Trapezoidal Wing Summary'!AB$45,((ROW('Trapezoidal Wing Summary'!$A55)-ROW('Trapezoidal Wing Summary'!$A$45))*100/$F$35),0)</f>
        <v>0</v>
      </c>
      <c r="BW60" s="41">
        <f ca="1">OFFSET('Trapezoidal Wing Summary'!AC$45,((ROW('Trapezoidal Wing Summary'!$A55)-ROW('Trapezoidal Wing Summary'!$A$45))*100/$F$35),0)</f>
        <v>0</v>
      </c>
      <c r="BX60" s="41">
        <f ca="1">OFFSET('Trapezoidal Wing Summary'!AD$45,((ROW('Trapezoidal Wing Summary'!$A55)-ROW('Trapezoidal Wing Summary'!$A$45))*100/$F$35),0)</f>
        <v>2E-3</v>
      </c>
      <c r="BY60" s="41">
        <f ca="1">OFFSET('Trapezoidal Wing Summary'!AE$45,((ROW('Trapezoidal Wing Summary'!$A55)-ROW('Trapezoidal Wing Summary'!$A$45))*100/$F$35),0)</f>
        <v>2E-3</v>
      </c>
      <c r="BZ60" s="41">
        <f ca="1">OFFSET('Trapezoidal Wing Summary'!AF$45,((ROW('Trapezoidal Wing Summary'!$A55)-ROW('Trapezoidal Wing Summary'!$A$45))*100/$F$35),0)</f>
        <v>0</v>
      </c>
      <c r="CA60" s="41">
        <f ca="1">OFFSET('Trapezoidal Wing Summary'!AG$45,((ROW('Trapezoidal Wing Summary'!$A55)-ROW('Trapezoidal Wing Summary'!$A$45))*100/$F$35),0)</f>
        <v>0.38238928389000004</v>
      </c>
      <c r="CB60" s="41">
        <f ca="1">OFFSET('Trapezoidal Wing Summary'!AH$45,((ROW('Trapezoidal Wing Summary'!$A55)-ROW('Trapezoidal Wing Summary'!$A$45))*100/$F$35),0)</f>
        <v>4.709733766219336E-3</v>
      </c>
      <c r="CC60" s="41">
        <f ca="1">OFFSET('Trapezoidal Wing Summary'!AI$45,((ROW('Trapezoidal Wing Summary'!$A55)-ROW('Trapezoidal Wing Summary'!$A$45))*100/$F$35),0)</f>
        <v>0</v>
      </c>
      <c r="CD60" s="41">
        <f>'REF - ASWING AERO-Imperial'!$R$5</f>
        <v>5.4999999999999997E-3</v>
      </c>
      <c r="CE60" s="41">
        <f>'REF - ASWING AERO-Imperial'!$R$6</f>
        <v>5.4999999999999997E-3</v>
      </c>
      <c r="CF60" s="41">
        <f ca="1">OFFSET('Trapezoidal Wing Summary'!AL$45,((ROW('Trapezoidal Wing Summary'!$A55)-ROW('Trapezoidal Wing Summary'!$A$45))*100/$F$35),0)</f>
        <v>4.2487698210000007</v>
      </c>
      <c r="CG60" s="41">
        <f ca="1">OFFSET('Trapezoidal Wing Summary'!AM$45,((ROW('Trapezoidal Wing Summary'!$A55)-ROW('Trapezoidal Wing Summary'!$A$45))*100/$F$35),0)</f>
        <v>0.25</v>
      </c>
      <c r="CH60" s="41">
        <f ca="1">OFFSET('Trapezoidal Wing Summary'!AN$45,((ROW('Trapezoidal Wing Summary'!$A55)-ROW('Trapezoidal Wing Summary'!$A$45))*100/$F$35),0)</f>
        <v>4.8499999999999996</v>
      </c>
      <c r="CI60" s="41">
        <f ca="1">OFFSET('Trapezoidal Wing Summary'!AO$45,((ROW('Trapezoidal Wing Summary'!$A55)-ROW('Trapezoidal Wing Summary'!$A$45))*100/$F$35),0)</f>
        <v>-0.15</v>
      </c>
      <c r="CJ60" s="41">
        <f ca="1">OFFSET('Trapezoidal Wing Summary'!AP$45,((ROW('Trapezoidal Wing Summary'!$A55)-ROW('Trapezoidal Wing Summary'!$A$45))*100/$F$35),0)</f>
        <v>1.85</v>
      </c>
      <c r="CK60" s="41">
        <f ca="1">OFFSET('Trapezoidal Wing Summary'!AQ$45,((ROW('Trapezoidal Wing Summary'!$A55)-ROW('Trapezoidal Wing Summary'!$A$45))*100/$F$35),0)</f>
        <v>-1.55</v>
      </c>
      <c r="CL60" s="41">
        <f ca="1">OFFSET('Trapezoidal Wing Summary'!AR$45,((ROW('Trapezoidal Wing Summary'!$A55)-ROW('Trapezoidal Wing Summary'!$A$45))*100/$F$35),0)</f>
        <v>5.9690260418206069</v>
      </c>
      <c r="CM60" s="645">
        <f>'ASWING STRUCT'!CM60</f>
        <v>46.999999999999993</v>
      </c>
      <c r="CN60" s="642">
        <f>'ASWING STRUCT'!CN60*3.28084</f>
        <v>10.525306767256</v>
      </c>
      <c r="CO60" s="642">
        <f>'ASWING STRUCT'!CO60*3.28084</f>
        <v>4.6259844000000001</v>
      </c>
      <c r="CP60" s="642">
        <f>'ASWING STRUCT'!CP60*3.28084</f>
        <v>12.850247130368</v>
      </c>
      <c r="CQ60" s="642">
        <f>'ASWING STRUCT'!CQ60</f>
        <v>0</v>
      </c>
      <c r="CR60" s="692">
        <f>'ASWING STRUCT'!CR60*0.224809*3.28084^2</f>
        <v>58817.567972360375</v>
      </c>
      <c r="CS60" s="692">
        <f>'ASWING STRUCT'!CS60*0.224809*3.28084^2</f>
        <v>53883.222712910887</v>
      </c>
      <c r="CT60" s="692">
        <f>'ASWING STRUCT'!CT60*0.224809*3.28084^2</f>
        <v>0</v>
      </c>
      <c r="CU60" s="692">
        <f>'ASWING STRUCT'!CU60*0.224809*3.28084^2</f>
        <v>0</v>
      </c>
      <c r="CV60" s="692">
        <f>'ASWING STRUCT'!CV60*0.224809*3.28084^2</f>
        <v>0</v>
      </c>
      <c r="CW60" s="692">
        <f>'ASWING STRUCT'!CW60*0.224809*3.28084^2</f>
        <v>1863823.9265512882</v>
      </c>
      <c r="CX60" s="642">
        <f>'ASWING STRUCT'!CX60</f>
        <v>0</v>
      </c>
      <c r="CY60" s="642">
        <f>'ASWING STRUCT'!CY60*0.224809</f>
        <v>0</v>
      </c>
      <c r="CZ60" s="642">
        <f>'ASWING STRUCT'!CZ60*0.224809</f>
        <v>0</v>
      </c>
      <c r="DA60" s="642">
        <f>'ASWING STRUCT'!DA60*2.20462*3.28084</f>
        <v>0</v>
      </c>
      <c r="DB60" s="642">
        <f>'ASWING STRUCT'!DB60*2.20462*3.28084</f>
        <v>0</v>
      </c>
      <c r="DC60" s="642">
        <f>'ASWING STRUCT'!DC60*2.20462/3.28084</f>
        <v>2.3963170065137214</v>
      </c>
      <c r="DD60" s="642">
        <f>'ASWING STRUCT'!DD60*3.28084</f>
        <v>0.3489368320707037</v>
      </c>
      <c r="DE60" s="642">
        <f>'ASWING STRUCT'!DE60*3.28084</f>
        <v>0</v>
      </c>
      <c r="DF60" s="642">
        <f>'ASWING STRUCT'!DF60*2.20462*3.28084</f>
        <v>0</v>
      </c>
      <c r="DG60" s="642">
        <f>'ASWING STRUCT'!DG60*2.20462*3.28084</f>
        <v>0</v>
      </c>
      <c r="DH60" s="642">
        <f>'ASWING STRUCT'!DH60*2.20462/3.28084</f>
        <v>0</v>
      </c>
      <c r="DI60" s="642">
        <f>'ASWING STRUCT'!DI60*3.28084</f>
        <v>0</v>
      </c>
      <c r="DJ60" s="642">
        <f>'ASWING STRUCT'!DJ60*3.28084</f>
        <v>0</v>
      </c>
      <c r="DK60" s="642">
        <f>'ASWING STRUCT'!DK60*3.28084</f>
        <v>0.1548930575456175</v>
      </c>
      <c r="DL60" s="642">
        <f>'ASWING STRUCT'!DL60*3.28084</f>
        <v>0</v>
      </c>
      <c r="DM60" s="642">
        <f>'ASWING STRUCT'!DM60*3.28084</f>
        <v>0</v>
      </c>
      <c r="DN60" s="642">
        <f>'ASWING STRUCT'!DN60*3.28084</f>
        <v>0</v>
      </c>
      <c r="DO60" s="642">
        <f>'ASWING STRUCT'!DO60</f>
        <v>2E-3</v>
      </c>
      <c r="DP60" s="642">
        <f>'ASWING STRUCT'!DP60</f>
        <v>2E-3</v>
      </c>
      <c r="DQ60" s="642">
        <f>'ASWING STRUCT'!DQ60*3.28084</f>
        <v>0</v>
      </c>
      <c r="DR60" s="642">
        <f>'ASWING STRUCT'!DR60*3.28084</f>
        <v>0.15029528039999998</v>
      </c>
      <c r="DS60" s="642">
        <f>'ASWING STRUCT'!DS60*3.28084^3</f>
        <v>7.2757139767334411E-4</v>
      </c>
      <c r="DT60" s="642">
        <f>'ASWING STRUCT'!DT60*3.28084</f>
        <v>0</v>
      </c>
      <c r="DU60" s="642">
        <f>'ASWING STRUCT'!DU60</f>
        <v>5.4999999999999997E-3</v>
      </c>
      <c r="DV60" s="642">
        <f>'ASWING STRUCT'!DV60</f>
        <v>5.4999999999999997E-3</v>
      </c>
      <c r="DW60" s="642">
        <f>'ASWING STRUCT'!DW60*3.28084</f>
        <v>1.66994756</v>
      </c>
      <c r="DX60" s="642">
        <f>'ASWING STRUCT'!DX60</f>
        <v>0.25</v>
      </c>
      <c r="DY60" s="642">
        <f>'ASWING STRUCT'!DY60</f>
        <v>5.9</v>
      </c>
      <c r="DZ60" s="642">
        <f>'ASWING STRUCT'!DZ60</f>
        <v>-0.15</v>
      </c>
      <c r="EA60" s="642">
        <f>'ASWING STRUCT'!EA60</f>
        <v>2.25</v>
      </c>
      <c r="EB60" s="642">
        <f>'ASWING STRUCT'!EB60</f>
        <v>-1.65</v>
      </c>
      <c r="EC60" s="641">
        <f>'ASWING STRUCT'!EC60</f>
        <v>5.9690260418206069</v>
      </c>
      <c r="ED60" s="697">
        <f>'ASWING STRUCT'!ED60</f>
        <v>46.999999999999993</v>
      </c>
      <c r="EE60" s="617">
        <f>'ASWING STRUCT'!EE60*3.28084</f>
        <v>39.320867399999997</v>
      </c>
      <c r="EF60" s="617">
        <f>'ASWING STRUCT'!EF60*3.28084</f>
        <v>5.1181103999999999</v>
      </c>
      <c r="EG60" s="617">
        <f>'ASWING STRUCT'!EG60*3.28084</f>
        <v>14.954068719999999</v>
      </c>
      <c r="EH60" s="617">
        <f>'ASWING STRUCT'!EH60</f>
        <v>0</v>
      </c>
      <c r="EI60" s="698">
        <f>'ASWING STRUCT'!EI60*0.224809*3.28084^2</f>
        <v>183631.42924908365</v>
      </c>
      <c r="EJ60" s="698">
        <f>'ASWING STRUCT'!EJ60*0.224809*3.28084^2</f>
        <v>156588.79296394752</v>
      </c>
      <c r="EK60" s="698">
        <f>'ASWING STRUCT'!EK60*0.224809*3.28084^2</f>
        <v>0</v>
      </c>
      <c r="EL60" s="698">
        <f>'ASWING STRUCT'!EL60*0.224809*3.28084^2</f>
        <v>0</v>
      </c>
      <c r="EM60" s="698">
        <f>'ASWING STRUCT'!EM60*0.224809*3.28084^2</f>
        <v>0</v>
      </c>
      <c r="EN60" s="698">
        <f>'ASWING STRUCT'!EN60*0.224809*3.28084^2</f>
        <v>53656869.453098685</v>
      </c>
      <c r="EO60" s="617">
        <f>'ASWING STRUCT'!EO60</f>
        <v>0</v>
      </c>
      <c r="EP60" s="698">
        <f>'ASWING STRUCT'!EP60*0.224809</f>
        <v>0</v>
      </c>
      <c r="EQ60" s="698">
        <f>'ASWING STRUCT'!EQ60*0.224809</f>
        <v>0</v>
      </c>
      <c r="ER60" s="617">
        <f>'ASWING STRUCT'!ER60*2.20462*3.28084</f>
        <v>0</v>
      </c>
      <c r="ES60" s="617">
        <f>'ASWING STRUCT'!ES60*2.20462*3.28084</f>
        <v>0</v>
      </c>
      <c r="ET60" s="617">
        <f>'ASWING STRUCT'!ET60*2.20462/3.28084</f>
        <v>10.256938547485994</v>
      </c>
      <c r="EU60" s="617">
        <f>'ASWING STRUCT'!EU60*3.28084</f>
        <v>-1.9229937620168562</v>
      </c>
      <c r="EV60" s="617">
        <f>'ASWING STRUCT'!EV60*3.28084</f>
        <v>0</v>
      </c>
      <c r="EW60" s="617">
        <f>'ASWING STRUCT'!EW60*2.20462*3.28084</f>
        <v>0</v>
      </c>
      <c r="EX60" s="617">
        <f>'ASWING STRUCT'!EX60*2.20462*3.28084</f>
        <v>0</v>
      </c>
      <c r="EY60" s="617">
        <f>'ASWING STRUCT'!EY60*2.20462/3.28084</f>
        <v>0</v>
      </c>
      <c r="EZ60" s="617">
        <f>'ASWING STRUCT'!EZ60*3.28084</f>
        <v>0</v>
      </c>
      <c r="FA60" s="617">
        <f>'ASWING STRUCT'!FA60*3.28084</f>
        <v>0</v>
      </c>
      <c r="FB60" s="617">
        <f>'ASWING STRUCT'!FB60*3.28084</f>
        <v>-2.6148354747282236</v>
      </c>
      <c r="FC60" s="617">
        <f>'ASWING STRUCT'!FC60*3.28084</f>
        <v>0</v>
      </c>
      <c r="FD60" s="617">
        <f>'ASWING STRUCT'!FD60*3.28084</f>
        <v>0</v>
      </c>
      <c r="FE60" s="617">
        <f>'ASWING STRUCT'!FE60*3.28084</f>
        <v>0</v>
      </c>
      <c r="FF60" s="617">
        <f>'ASWING STRUCT'!FF60</f>
        <v>2E-3</v>
      </c>
      <c r="FG60" s="617">
        <f>'ASWING STRUCT'!FG60</f>
        <v>2E-3</v>
      </c>
      <c r="FH60" s="617">
        <f>'ASWING STRUCT'!FH60*3.28084</f>
        <v>-3.07086624</v>
      </c>
      <c r="FI60" s="617">
        <f>'ASWING STRUCT'!FI60*3.28084</f>
        <v>0.46062993599999996</v>
      </c>
      <c r="FJ60" s="617">
        <f>'ASWING STRUCT'!FJ60*3.28084^3</f>
        <v>6.8342246377690761E-3</v>
      </c>
      <c r="FK60" s="617">
        <f>'ASWING STRUCT'!FK60*3.28084</f>
        <v>0</v>
      </c>
      <c r="FL60" s="617">
        <f>'ASWING STRUCT'!FL60</f>
        <v>5.4999999999999997E-3</v>
      </c>
      <c r="FM60" s="617">
        <f>'ASWING STRUCT'!FM60</f>
        <v>5.4999999999999997E-3</v>
      </c>
      <c r="FN60" s="617">
        <f>'ASWING STRUCT'!FN60*3.28084</f>
        <v>5.1181103999999999</v>
      </c>
      <c r="FO60" s="617">
        <f>'ASWING STRUCT'!FO60</f>
        <v>0.85</v>
      </c>
      <c r="FP60" s="617">
        <f>'ASWING STRUCT'!FP60</f>
        <v>0</v>
      </c>
      <c r="FQ60" s="617">
        <f>'ASWING STRUCT'!FQ60</f>
        <v>0</v>
      </c>
      <c r="FR60" s="617">
        <f>'ASWING STRUCT'!FR60</f>
        <v>1.4</v>
      </c>
      <c r="FS60" s="617">
        <f>'ASWING STRUCT'!FS60</f>
        <v>-1.4</v>
      </c>
      <c r="FT60" s="616">
        <f>'ASWING STRUCT'!FT60</f>
        <v>5.9690260418206069</v>
      </c>
      <c r="FU60" s="697">
        <f>'ASWING STRUCT'!FU60</f>
        <v>46.999999999999993</v>
      </c>
      <c r="FV60" s="617">
        <f>'ASWING STRUCT'!FV60*3.28084</f>
        <v>39.320867399999997</v>
      </c>
      <c r="FW60" s="617">
        <f>'ASWING STRUCT'!FW60*3.28084</f>
        <v>-5.1181103999999999</v>
      </c>
      <c r="FX60" s="617">
        <f>'ASWING STRUCT'!FX60*3.28084</f>
        <v>14.954068719999999</v>
      </c>
      <c r="FY60" s="617">
        <f>'ASWING STRUCT'!FY60</f>
        <v>0</v>
      </c>
      <c r="FZ60" s="698">
        <f>'ASWING STRUCT'!FZ60*0.224809*3.28084^2</f>
        <v>183631.42924908365</v>
      </c>
      <c r="GA60" s="698">
        <f>'ASWING STRUCT'!GA60*0.224809*3.28084^2</f>
        <v>156588.79296394752</v>
      </c>
      <c r="GB60" s="698">
        <f>'ASWING STRUCT'!GB60*0.224809*3.28084^2</f>
        <v>0</v>
      </c>
      <c r="GC60" s="698">
        <f>'ASWING STRUCT'!GC60*0.224809*3.28084^2</f>
        <v>0</v>
      </c>
      <c r="GD60" s="698">
        <f>'ASWING STRUCT'!GD60*0.224809*3.28084^2</f>
        <v>0</v>
      </c>
      <c r="GE60" s="698">
        <f>'ASWING STRUCT'!GE60*0.224809*3.28084^2</f>
        <v>53656869.453098685</v>
      </c>
      <c r="GF60" s="617">
        <f>'ASWING STRUCT'!GF60</f>
        <v>0</v>
      </c>
      <c r="GG60" s="698">
        <f>'ASWING STRUCT'!GG60*0.224809</f>
        <v>0</v>
      </c>
      <c r="GH60" s="698">
        <f>'ASWING STRUCT'!GH60*0.224809</f>
        <v>0</v>
      </c>
      <c r="GI60" s="617">
        <f>'ASWING STRUCT'!GI60*2.20462*3.28084</f>
        <v>0</v>
      </c>
      <c r="GJ60" s="617">
        <f>'ASWING STRUCT'!GJ60*2.20462*3.28084</f>
        <v>0</v>
      </c>
      <c r="GK60" s="617">
        <f>'ASWING STRUCT'!GK60*2.20462/3.28084</f>
        <v>10.256938547485994</v>
      </c>
      <c r="GL60" s="617">
        <f>'ASWING STRUCT'!GL60*3.28084</f>
        <v>-1.9229937620168562</v>
      </c>
      <c r="GM60" s="617">
        <f>'ASWING STRUCT'!GM60*3.28084</f>
        <v>0</v>
      </c>
      <c r="GN60" s="617">
        <f>'ASWING STRUCT'!GN60*2.20462*3.28084</f>
        <v>0</v>
      </c>
      <c r="GO60" s="617">
        <f>'ASWING STRUCT'!GO60*2.20462*3.28084</f>
        <v>0</v>
      </c>
      <c r="GP60" s="617">
        <f>'ASWING STRUCT'!GP60*2.20462/3.28084</f>
        <v>0</v>
      </c>
      <c r="GQ60" s="617">
        <f>'ASWING STRUCT'!GQ60*3.28084</f>
        <v>0</v>
      </c>
      <c r="GR60" s="617">
        <f>'ASWING STRUCT'!GR60*3.28084</f>
        <v>0</v>
      </c>
      <c r="GS60" s="617">
        <f>'ASWING STRUCT'!GS60*3.28084</f>
        <v>-2.6148354747282236</v>
      </c>
      <c r="GT60" s="617">
        <f>'ASWING STRUCT'!GT60*3.28084</f>
        <v>0</v>
      </c>
      <c r="GU60" s="617">
        <f>'ASWING STRUCT'!GU60*3.28084</f>
        <v>0</v>
      </c>
      <c r="GV60" s="617">
        <f>'ASWING STRUCT'!GV60*3.28084</f>
        <v>0</v>
      </c>
      <c r="GW60" s="617">
        <f>'ASWING STRUCT'!GW60</f>
        <v>2E-3</v>
      </c>
      <c r="GX60" s="617">
        <f>'ASWING STRUCT'!GX60</f>
        <v>2E-3</v>
      </c>
      <c r="GY60" s="617">
        <f>'ASWING STRUCT'!GY60*3.28084</f>
        <v>-3.07086624</v>
      </c>
      <c r="GZ60" s="617">
        <f>'ASWING STRUCT'!GZ60*3.28084</f>
        <v>0.46062993599999996</v>
      </c>
      <c r="HA60" s="617">
        <f>'ASWING STRUCT'!HA60*3.28084^3</f>
        <v>6.8342246377690761E-3</v>
      </c>
      <c r="HB60" s="617">
        <f>'ASWING STRUCT'!HB60*3.28084</f>
        <v>0</v>
      </c>
      <c r="HC60" s="617">
        <f>'ASWING STRUCT'!HC60</f>
        <v>5.4999999999999997E-3</v>
      </c>
      <c r="HD60" s="617">
        <f>'ASWING STRUCT'!HD60</f>
        <v>5.4999999999999997E-3</v>
      </c>
      <c r="HE60" s="617">
        <f>'ASWING STRUCT'!HE60*3.28084</f>
        <v>5.1181103999999999</v>
      </c>
      <c r="HF60" s="617">
        <f>'ASWING STRUCT'!HF60</f>
        <v>0.85</v>
      </c>
      <c r="HG60" s="617">
        <f>'ASWING STRUCT'!HG60</f>
        <v>0</v>
      </c>
      <c r="HH60" s="617">
        <f>'ASWING STRUCT'!HH60</f>
        <v>0</v>
      </c>
      <c r="HI60" s="617">
        <f>'ASWING STRUCT'!HI60</f>
        <v>1.4</v>
      </c>
      <c r="HJ60" s="617">
        <f>'ASWING STRUCT'!HJ60</f>
        <v>-1.4</v>
      </c>
      <c r="HK60" s="616">
        <f>'ASWING STRUCT'!HK60</f>
        <v>5.9690260418206069</v>
      </c>
    </row>
    <row r="61" spans="1:219" x14ac:dyDescent="0.25">
      <c r="A61" t="s">
        <v>899</v>
      </c>
      <c r="B61" s="664">
        <v>4.7394999999999996</v>
      </c>
      <c r="C61" s="665">
        <v>4.5949999999999998</v>
      </c>
      <c r="D61" s="665">
        <v>0.1</v>
      </c>
      <c r="E61" s="670">
        <f>'ASWING STRUCT'!E61* 3.28084</f>
        <v>23.556431199999999</v>
      </c>
      <c r="F61" s="670">
        <f>'ASWING STRUCT'!F61* 3.28084</f>
        <v>-5.1181103999999999</v>
      </c>
      <c r="G61" s="670">
        <f>'ASWING STRUCT'!G61* 3.28084</f>
        <v>12.795275999999999</v>
      </c>
      <c r="H61" s="671">
        <f>'ASWING STRUCT'!H61*2.20462</f>
        <v>47.178867999999994</v>
      </c>
      <c r="I61" s="668">
        <v>9</v>
      </c>
      <c r="J61" s="666">
        <f t="shared" si="0"/>
        <v>23.556431199999999</v>
      </c>
      <c r="L61" t="s">
        <v>922</v>
      </c>
      <c r="O61" s="576"/>
      <c r="P61" s="580"/>
      <c r="AU61" s="594"/>
      <c r="AV61" s="574">
        <f ca="1">100*(AX61-$AX$50)/(MAX($AX$50:INDEX(($AX$50:$AX$150),$F$35+1,1))-MIN($AX$50:INDEX(($AX$50:$AX$150),$F$35+1,1)))</f>
        <v>52.000000000000007</v>
      </c>
      <c r="AW61" s="660">
        <f ca="1">OFFSET('Trapezoidal Wing Summary'!C$45,((ROW('Trapezoidal Wing Summary'!$A56)-ROW('Trapezoidal Wing Summary'!$A$45))*100/$F$35),0)+$F$15</f>
        <v>24.107053921031998</v>
      </c>
      <c r="AX61" s="660">
        <f ca="1">OFFSET('Trapezoidal Wing Summary'!D$45,((ROW('Trapezoidal Wing Summary'!$A56)-ROW('Trapezoidal Wing Summary'!$A$45))*100/$F$35),0)+$F$16</f>
        <v>12.510164442319999</v>
      </c>
      <c r="AY61" s="660">
        <f ca="1">OFFSET('Trapezoidal Wing Summary'!E$45,((ROW('Trapezoidal Wing Summary'!$A56)-ROW('Trapezoidal Wing Summary'!$A$45))*100/$F$35),0)+$F$17</f>
        <v>8.1686780829199996</v>
      </c>
      <c r="AZ61" s="41">
        <f ca="1">OFFSET('Trapezoidal Wing Summary'!F$45,((ROW('Trapezoidal Wing Summary'!$A56)-ROW('Trapezoidal Wing Summary'!$A$45))*100/$F$35),0)</f>
        <v>0</v>
      </c>
      <c r="BA61" s="41">
        <f ca="1">OFFSET('Trapezoidal Wing Summary'!G$45,((ROW('Trapezoidal Wing Summary'!$A56)-ROW('Trapezoidal Wing Summary'!$A$45))*100/$F$35),0)</f>
        <v>1173867.8393330034</v>
      </c>
      <c r="BB61" s="41">
        <f ca="1">OFFSET('Trapezoidal Wing Summary'!H$45,((ROW('Trapezoidal Wing Summary'!$A56)-ROW('Trapezoidal Wing Summary'!$A$45))*100/$F$35),0)</f>
        <v>1874296.0961079721</v>
      </c>
      <c r="BC61" s="41">
        <f ca="1">OFFSET('Trapezoidal Wing Summary'!I$45,((ROW('Trapezoidal Wing Summary'!$A56)-ROW('Trapezoidal Wing Summary'!$A$45))*100/$F$35),0)</f>
        <v>0</v>
      </c>
      <c r="BD61" s="41">
        <f ca="1">OFFSET('Trapezoidal Wing Summary'!J$45,((ROW('Trapezoidal Wing Summary'!$A56)-ROW('Trapezoidal Wing Summary'!$A$45))*100/$F$35),0)</f>
        <v>0</v>
      </c>
      <c r="BE61" s="41">
        <f ca="1">OFFSET('Trapezoidal Wing Summary'!K$45,((ROW('Trapezoidal Wing Summary'!$A56)-ROW('Trapezoidal Wing Summary'!$A$45))*100/$F$35),0)</f>
        <v>0</v>
      </c>
      <c r="BF61" s="41">
        <f ca="1">OFFSET('Trapezoidal Wing Summary'!L$45,((ROW('Trapezoidal Wing Summary'!$A56)-ROW('Trapezoidal Wing Summary'!$A$45))*100/$F$35),0)</f>
        <v>28807567.549668521</v>
      </c>
      <c r="BG61" s="41">
        <f ca="1">OFFSET('Trapezoidal Wing Summary'!M$45,((ROW('Trapezoidal Wing Summary'!$A56)-ROW('Trapezoidal Wing Summary'!$A$45))*100/$F$35),0)</f>
        <v>0</v>
      </c>
      <c r="BH61" s="41">
        <f ca="1">OFFSET('Trapezoidal Wing Summary'!N$45,((ROW('Trapezoidal Wing Summary'!$A56)-ROW('Trapezoidal Wing Summary'!$A$45))*100/$F$35),0)</f>
        <v>0</v>
      </c>
      <c r="BI61" s="41">
        <f ca="1">OFFSET('Trapezoidal Wing Summary'!O$45,((ROW('Trapezoidal Wing Summary'!$A56)-ROW('Trapezoidal Wing Summary'!$A$45))*100/$F$35),0)</f>
        <v>0</v>
      </c>
      <c r="BJ61" s="41">
        <f ca="1">OFFSET('Trapezoidal Wing Summary'!P$45,((ROW('Trapezoidal Wing Summary'!$A56)-ROW('Trapezoidal Wing Summary'!$A$45))*100/$F$35),0)</f>
        <v>0</v>
      </c>
      <c r="BK61" s="41">
        <f ca="1">OFFSET('Trapezoidal Wing Summary'!Q$45,((ROW('Trapezoidal Wing Summary'!$A56)-ROW('Trapezoidal Wing Summary'!$A$45))*100/$F$35),0)</f>
        <v>0</v>
      </c>
      <c r="BL61" s="41">
        <f ca="1">OFFSET('Trapezoidal Wing Summary'!R$45,((ROW('Trapezoidal Wing Summary'!$A56)-ROW('Trapezoidal Wing Summary'!$A$45))*100/$F$35),0)</f>
        <v>11.727564301713171</v>
      </c>
      <c r="BM61" s="41">
        <f ca="1">OFFSET('Trapezoidal Wing Summary'!S$45,((ROW('Trapezoidal Wing Summary'!$A56)-ROW('Trapezoidal Wing Summary'!$A$45))*100/$F$35),0)</f>
        <v>0.85515614593142319</v>
      </c>
      <c r="BN61" s="41">
        <f ca="1">OFFSET('Trapezoidal Wing Summary'!T$45,((ROW('Trapezoidal Wing Summary'!$A56)-ROW('Trapezoidal Wing Summary'!$A$45))*100/$F$35),0)</f>
        <v>0</v>
      </c>
      <c r="BO61" s="41">
        <f ca="1">OFFSET('Trapezoidal Wing Summary'!U$45,((ROW('Trapezoidal Wing Summary'!$A56)-ROW('Trapezoidal Wing Summary'!$A$45))*100/$F$35),0)</f>
        <v>0</v>
      </c>
      <c r="BP61" s="41">
        <f ca="1">OFFSET('Trapezoidal Wing Summary'!V$45,((ROW('Trapezoidal Wing Summary'!$A56)-ROW('Trapezoidal Wing Summary'!$A$45))*100/$F$35),0)</f>
        <v>0</v>
      </c>
      <c r="BQ61" s="41">
        <f ca="1">OFFSET('Trapezoidal Wing Summary'!W$45,((ROW('Trapezoidal Wing Summary'!$A56)-ROW('Trapezoidal Wing Summary'!$A$45))*100/$F$35),0)</f>
        <v>0</v>
      </c>
      <c r="BR61" s="41">
        <f ca="1">OFFSET('Trapezoidal Wing Summary'!X$45,((ROW('Trapezoidal Wing Summary'!$A56)-ROW('Trapezoidal Wing Summary'!$A$45))*100/$F$35),0)</f>
        <v>0</v>
      </c>
      <c r="BS61" s="41">
        <f ca="1">OFFSET('Trapezoidal Wing Summary'!Y$45,((ROW('Trapezoidal Wing Summary'!$A56)-ROW('Trapezoidal Wing Summary'!$A$45))*100/$F$35),0)</f>
        <v>0</v>
      </c>
      <c r="BT61" s="41">
        <f ca="1">OFFSET('Trapezoidal Wing Summary'!Z$45,((ROW('Trapezoidal Wing Summary'!$A56)-ROW('Trapezoidal Wing Summary'!$A$45))*100/$F$35),0)</f>
        <v>0.37113272028017552</v>
      </c>
      <c r="BU61" s="41">
        <f ca="1">OFFSET('Trapezoidal Wing Summary'!AA$45,((ROW('Trapezoidal Wing Summary'!$A56)-ROW('Trapezoidal Wing Summary'!$A$45))*100/$F$35),0)</f>
        <v>0</v>
      </c>
      <c r="BV61" s="41">
        <f ca="1">OFFSET('Trapezoidal Wing Summary'!AB$45,((ROW('Trapezoidal Wing Summary'!$A56)-ROW('Trapezoidal Wing Summary'!$A$45))*100/$F$35),0)</f>
        <v>0</v>
      </c>
      <c r="BW61" s="41">
        <f ca="1">OFFSET('Trapezoidal Wing Summary'!AC$45,((ROW('Trapezoidal Wing Summary'!$A56)-ROW('Trapezoidal Wing Summary'!$A$45))*100/$F$35),0)</f>
        <v>0</v>
      </c>
      <c r="BX61" s="41">
        <f ca="1">OFFSET('Trapezoidal Wing Summary'!AD$45,((ROW('Trapezoidal Wing Summary'!$A56)-ROW('Trapezoidal Wing Summary'!$A$45))*100/$F$35),0)</f>
        <v>2E-3</v>
      </c>
      <c r="BY61" s="41">
        <f ca="1">OFFSET('Trapezoidal Wing Summary'!AE$45,((ROW('Trapezoidal Wing Summary'!$A56)-ROW('Trapezoidal Wing Summary'!$A$45))*100/$F$35),0)</f>
        <v>2E-3</v>
      </c>
      <c r="BZ61" s="41">
        <f ca="1">OFFSET('Trapezoidal Wing Summary'!AF$45,((ROW('Trapezoidal Wing Summary'!$A56)-ROW('Trapezoidal Wing Summary'!$A$45))*100/$F$35),0)</f>
        <v>0</v>
      </c>
      <c r="CA61" s="41">
        <f ca="1">OFFSET('Trapezoidal Wing Summary'!AG$45,((ROW('Trapezoidal Wing Summary'!$A56)-ROW('Trapezoidal Wing Summary'!$A$45))*100/$F$35),0)</f>
        <v>0.37437993324000002</v>
      </c>
      <c r="CB61" s="41">
        <f ca="1">OFFSET('Trapezoidal Wing Summary'!AH$45,((ROW('Trapezoidal Wing Summary'!$A56)-ROW('Trapezoidal Wing Summary'!$A$45))*100/$F$35),0)</f>
        <v>4.5145041514507477E-3</v>
      </c>
      <c r="CC61" s="41">
        <f ca="1">OFFSET('Trapezoidal Wing Summary'!AI$45,((ROW('Trapezoidal Wing Summary'!$A56)-ROW('Trapezoidal Wing Summary'!$A$45))*100/$F$35),0)</f>
        <v>0</v>
      </c>
      <c r="CD61" s="41">
        <f>'REF - ASWING AERO-Imperial'!$R$5</f>
        <v>5.4999999999999997E-3</v>
      </c>
      <c r="CE61" s="41">
        <f>'REF - ASWING AERO-Imperial'!$R$6</f>
        <v>5.4999999999999997E-3</v>
      </c>
      <c r="CF61" s="41">
        <f ca="1">OFFSET('Trapezoidal Wing Summary'!AL$45,((ROW('Trapezoidal Wing Summary'!$A56)-ROW('Trapezoidal Wing Summary'!$A$45))*100/$F$35),0)</f>
        <v>4.1597770360000004</v>
      </c>
      <c r="CG61" s="41">
        <f ca="1">OFFSET('Trapezoidal Wing Summary'!AM$45,((ROW('Trapezoidal Wing Summary'!$A56)-ROW('Trapezoidal Wing Summary'!$A$45))*100/$F$35),0)</f>
        <v>0.25</v>
      </c>
      <c r="CH61" s="41">
        <f ca="1">OFFSET('Trapezoidal Wing Summary'!AN$45,((ROW('Trapezoidal Wing Summary'!$A56)-ROW('Trapezoidal Wing Summary'!$A$45))*100/$F$35),0)</f>
        <v>4.45</v>
      </c>
      <c r="CI61" s="41">
        <f ca="1">OFFSET('Trapezoidal Wing Summary'!AO$45,((ROW('Trapezoidal Wing Summary'!$A56)-ROW('Trapezoidal Wing Summary'!$A$45))*100/$F$35),0)</f>
        <v>-0.15</v>
      </c>
      <c r="CJ61" s="41">
        <f ca="1">OFFSET('Trapezoidal Wing Summary'!AP$45,((ROW('Trapezoidal Wing Summary'!$A56)-ROW('Trapezoidal Wing Summary'!$A$45))*100/$F$35),0)</f>
        <v>1.85</v>
      </c>
      <c r="CK61" s="41">
        <f ca="1">OFFSET('Trapezoidal Wing Summary'!AQ$45,((ROW('Trapezoidal Wing Summary'!$A56)-ROW('Trapezoidal Wing Summary'!$A$45))*100/$F$35),0)</f>
        <v>-1.55</v>
      </c>
      <c r="CL61" s="41">
        <f ca="1">OFFSET('Trapezoidal Wing Summary'!AR$45,((ROW('Trapezoidal Wing Summary'!$A56)-ROW('Trapezoidal Wing Summary'!$A$45))*100/$F$35),0)</f>
        <v>5.9690260418206069</v>
      </c>
      <c r="CM61" s="645">
        <f>'ASWING STRUCT'!CM61</f>
        <v>52</v>
      </c>
      <c r="CN61" s="642">
        <f>'ASWING STRUCT'!CN61*3.28084</f>
        <v>10.537609917255999</v>
      </c>
      <c r="CO61" s="642">
        <f>'ASWING STRUCT'!CO61*3.28084</f>
        <v>5.1181103999999999</v>
      </c>
      <c r="CP61" s="642">
        <f>'ASWING STRUCT'!CP61*3.28084</f>
        <v>12.850247130368</v>
      </c>
      <c r="CQ61" s="642">
        <f>'ASWING STRUCT'!CQ61</f>
        <v>0</v>
      </c>
      <c r="CR61" s="692">
        <f>'ASWING STRUCT'!CR61*0.224809*3.28084^2</f>
        <v>39549.268303919474</v>
      </c>
      <c r="CS61" s="692">
        <f>'ASWING STRUCT'!CS61*0.224809*3.28084^2</f>
        <v>35685.687899916673</v>
      </c>
      <c r="CT61" s="692">
        <f>'ASWING STRUCT'!CT61*0.224809*3.28084^2</f>
        <v>0</v>
      </c>
      <c r="CU61" s="692">
        <f>'ASWING STRUCT'!CU61*0.224809*3.28084^2</f>
        <v>0</v>
      </c>
      <c r="CV61" s="692">
        <f>'ASWING STRUCT'!CV61*0.224809*3.28084^2</f>
        <v>0</v>
      </c>
      <c r="CW61" s="692">
        <f>'ASWING STRUCT'!CW61*0.224809*3.28084^2</f>
        <v>1703854.0165685373</v>
      </c>
      <c r="CX61" s="642">
        <f>'ASWING STRUCT'!CX61</f>
        <v>0</v>
      </c>
      <c r="CY61" s="642">
        <f>'ASWING STRUCT'!CY61*0.224809</f>
        <v>0</v>
      </c>
      <c r="CZ61" s="642">
        <f>'ASWING STRUCT'!CZ61*0.224809</f>
        <v>0</v>
      </c>
      <c r="DA61" s="642">
        <f>'ASWING STRUCT'!DA61*2.20462*3.28084</f>
        <v>0</v>
      </c>
      <c r="DB61" s="642">
        <f>'ASWING STRUCT'!DB61*2.20462*3.28084</f>
        <v>0</v>
      </c>
      <c r="DC61" s="642">
        <f>'ASWING STRUCT'!DC61*2.20462/3.28084</f>
        <v>2.2595140817370747</v>
      </c>
      <c r="DD61" s="642">
        <f>'ASWING STRUCT'!DD61*3.28084</f>
        <v>0.34841962747557131</v>
      </c>
      <c r="DE61" s="642">
        <f>'ASWING STRUCT'!DE61*3.28084</f>
        <v>0</v>
      </c>
      <c r="DF61" s="642">
        <f>'ASWING STRUCT'!DF61*2.20462*3.28084</f>
        <v>0</v>
      </c>
      <c r="DG61" s="642">
        <f>'ASWING STRUCT'!DG61*2.20462*3.28084</f>
        <v>0</v>
      </c>
      <c r="DH61" s="642">
        <f>'ASWING STRUCT'!DH61*2.20462/3.28084</f>
        <v>0</v>
      </c>
      <c r="DI61" s="642">
        <f>'ASWING STRUCT'!DI61*3.28084</f>
        <v>0</v>
      </c>
      <c r="DJ61" s="642">
        <f>'ASWING STRUCT'!DJ61*3.28084</f>
        <v>0</v>
      </c>
      <c r="DK61" s="642">
        <f>'ASWING STRUCT'!DK61*3.28084</f>
        <v>0.15114920471544047</v>
      </c>
      <c r="DL61" s="642">
        <f>'ASWING STRUCT'!DL61*3.28084</f>
        <v>0</v>
      </c>
      <c r="DM61" s="642">
        <f>'ASWING STRUCT'!DM61*3.28084</f>
        <v>0</v>
      </c>
      <c r="DN61" s="642">
        <f>'ASWING STRUCT'!DN61*3.28084</f>
        <v>0</v>
      </c>
      <c r="DO61" s="642">
        <f>'ASWING STRUCT'!DO61</f>
        <v>2E-3</v>
      </c>
      <c r="DP61" s="642">
        <f>'ASWING STRUCT'!DP61</f>
        <v>2E-3</v>
      </c>
      <c r="DQ61" s="642">
        <f>'ASWING STRUCT'!DQ61*3.28084</f>
        <v>0</v>
      </c>
      <c r="DR61" s="642">
        <f>'ASWING STRUCT'!DR61*3.28084</f>
        <v>0.14586614640000001</v>
      </c>
      <c r="DS61" s="642">
        <f>'ASWING STRUCT'!DS61*3.28084^3</f>
        <v>6.8532085950962136E-4</v>
      </c>
      <c r="DT61" s="642">
        <f>'ASWING STRUCT'!DT61*3.28084</f>
        <v>0</v>
      </c>
      <c r="DU61" s="642">
        <f>'ASWING STRUCT'!DU61</f>
        <v>5.4999999999999997E-3</v>
      </c>
      <c r="DV61" s="642">
        <f>'ASWING STRUCT'!DV61</f>
        <v>5.4999999999999997E-3</v>
      </c>
      <c r="DW61" s="642">
        <f>'ASWING STRUCT'!DW61*3.28084</f>
        <v>1.6207349600000001</v>
      </c>
      <c r="DX61" s="642">
        <f>'ASWING STRUCT'!DX61</f>
        <v>0.25</v>
      </c>
      <c r="DY61" s="642">
        <f>'ASWING STRUCT'!DY61</f>
        <v>5.9</v>
      </c>
      <c r="DZ61" s="642">
        <f>'ASWING STRUCT'!DZ61</f>
        <v>-0.15</v>
      </c>
      <c r="EA61" s="642">
        <f>'ASWING STRUCT'!EA61</f>
        <v>2.25</v>
      </c>
      <c r="EB61" s="642">
        <f>'ASWING STRUCT'!EB61</f>
        <v>-1.65</v>
      </c>
      <c r="EC61" s="641">
        <f>'ASWING STRUCT'!EC61</f>
        <v>5.9690260418206069</v>
      </c>
      <c r="FW61" s="618"/>
    </row>
    <row r="62" spans="1:219" x14ac:dyDescent="0.25">
      <c r="A62" t="s">
        <v>900</v>
      </c>
      <c r="B62" s="664">
        <v>6.2759999999999998</v>
      </c>
      <c r="C62" s="665">
        <v>-1.56</v>
      </c>
      <c r="D62" s="665">
        <v>0</v>
      </c>
      <c r="E62" s="670">
        <f>'ASWING STRUCT'!E62* 3.28084</f>
        <v>23.556431199999999</v>
      </c>
      <c r="F62" s="670">
        <f>'ASWING STRUCT'!F62* 3.28084</f>
        <v>5.1181103999999999</v>
      </c>
      <c r="G62" s="670">
        <f>'ASWING STRUCT'!G62* 3.28084</f>
        <v>12.795275999999999</v>
      </c>
      <c r="H62" s="671">
        <f>'ASWING STRUCT'!H62*2.20462</f>
        <v>47.178867999999994</v>
      </c>
      <c r="I62" s="668">
        <v>8</v>
      </c>
      <c r="J62" s="666">
        <f t="shared" si="0"/>
        <v>23.556431199999999</v>
      </c>
      <c r="K62" s="578"/>
      <c r="L62" s="578"/>
      <c r="M62" s="578"/>
      <c r="N62" s="578"/>
      <c r="O62" s="579"/>
      <c r="P62" s="580"/>
      <c r="AU62" s="594"/>
      <c r="AV62" s="574">
        <f ca="1">100*(AX62-$AX$50)/(MAX($AX$50:INDEX(($AX$50:$AX$150),$F$35+1,1))-MIN($AX$50:INDEX(($AX$50:$AX$150),$F$35+1,1)))</f>
        <v>56.999999999999993</v>
      </c>
      <c r="AW62" s="660">
        <f ca="1">OFFSET('Trapezoidal Wing Summary'!C$45,((ROW('Trapezoidal Wing Summary'!$A57)-ROW('Trapezoidal Wing Summary'!$A$45))*100/$F$35),0)+$F$15</f>
        <v>24.129302117281998</v>
      </c>
      <c r="AX62" s="660">
        <f ca="1">OFFSET('Trapezoidal Wing Summary'!D$45,((ROW('Trapezoidal Wing Summary'!$A57)-ROW('Trapezoidal Wing Summary'!$A$45))*100/$F$35),0)+$F$16</f>
        <v>13.714232722319997</v>
      </c>
      <c r="AY62" s="660">
        <f ca="1">OFFSET('Trapezoidal Wing Summary'!E$45,((ROW('Trapezoidal Wing Summary'!$A57)-ROW('Trapezoidal Wing Summary'!$A$45))*100/$F$35),0)+$F$17</f>
        <v>8.1686780829199996</v>
      </c>
      <c r="AZ62" s="41">
        <f ca="1">OFFSET('Trapezoidal Wing Summary'!F$45,((ROW('Trapezoidal Wing Summary'!$A57)-ROW('Trapezoidal Wing Summary'!$A$45))*100/$F$35),0)</f>
        <v>0</v>
      </c>
      <c r="BA62" s="41">
        <f ca="1">OFFSET('Trapezoidal Wing Summary'!G$45,((ROW('Trapezoidal Wing Summary'!$A57)-ROW('Trapezoidal Wing Summary'!$A$45))*100/$F$35),0)</f>
        <v>1085039.298524718</v>
      </c>
      <c r="BB62" s="41">
        <f ca="1">OFFSET('Trapezoidal Wing Summary'!H$45,((ROW('Trapezoidal Wing Summary'!$A57)-ROW('Trapezoidal Wing Summary'!$A$45))*100/$F$35),0)</f>
        <v>1794957.8956367015</v>
      </c>
      <c r="BC62" s="41">
        <f ca="1">OFFSET('Trapezoidal Wing Summary'!I$45,((ROW('Trapezoidal Wing Summary'!$A57)-ROW('Trapezoidal Wing Summary'!$A$45))*100/$F$35),0)</f>
        <v>0</v>
      </c>
      <c r="BD62" s="41">
        <f ca="1">OFFSET('Trapezoidal Wing Summary'!J$45,((ROW('Trapezoidal Wing Summary'!$A57)-ROW('Trapezoidal Wing Summary'!$A$45))*100/$F$35),0)</f>
        <v>0</v>
      </c>
      <c r="BE62" s="41">
        <f ca="1">OFFSET('Trapezoidal Wing Summary'!K$45,((ROW('Trapezoidal Wing Summary'!$A57)-ROW('Trapezoidal Wing Summary'!$A$45))*100/$F$35),0)</f>
        <v>0</v>
      </c>
      <c r="BF62" s="41">
        <f ca="1">OFFSET('Trapezoidal Wing Summary'!L$45,((ROW('Trapezoidal Wing Summary'!$A57)-ROW('Trapezoidal Wing Summary'!$A$45))*100/$F$35),0)</f>
        <v>26997943.65746484</v>
      </c>
      <c r="BG62" s="41">
        <f ca="1">OFFSET('Trapezoidal Wing Summary'!M$45,((ROW('Trapezoidal Wing Summary'!$A57)-ROW('Trapezoidal Wing Summary'!$A$45))*100/$F$35),0)</f>
        <v>0</v>
      </c>
      <c r="BH62" s="41">
        <f ca="1">OFFSET('Trapezoidal Wing Summary'!N$45,((ROW('Trapezoidal Wing Summary'!$A57)-ROW('Trapezoidal Wing Summary'!$A$45))*100/$F$35),0)</f>
        <v>0</v>
      </c>
      <c r="BI62" s="41">
        <f ca="1">OFFSET('Trapezoidal Wing Summary'!O$45,((ROW('Trapezoidal Wing Summary'!$A57)-ROW('Trapezoidal Wing Summary'!$A$45))*100/$F$35),0)</f>
        <v>0</v>
      </c>
      <c r="BJ62" s="41">
        <f ca="1">OFFSET('Trapezoidal Wing Summary'!P$45,((ROW('Trapezoidal Wing Summary'!$A57)-ROW('Trapezoidal Wing Summary'!$A$45))*100/$F$35),0)</f>
        <v>0</v>
      </c>
      <c r="BK62" s="41">
        <f ca="1">OFFSET('Trapezoidal Wing Summary'!Q$45,((ROW('Trapezoidal Wing Summary'!$A57)-ROW('Trapezoidal Wing Summary'!$A$45))*100/$F$35),0)</f>
        <v>0</v>
      </c>
      <c r="BL62" s="41">
        <f ca="1">OFFSET('Trapezoidal Wing Summary'!R$45,((ROW('Trapezoidal Wing Summary'!$A57)-ROW('Trapezoidal Wing Summary'!$A$45))*100/$F$35),0)</f>
        <v>11.505862947128662</v>
      </c>
      <c r="BM62" s="41">
        <f ca="1">OFFSET('Trapezoidal Wing Summary'!S$45,((ROW('Trapezoidal Wing Summary'!$A57)-ROW('Trapezoidal Wing Summary'!$A$45))*100/$F$35),0)</f>
        <v>0.83471110257399772</v>
      </c>
      <c r="BN62" s="41">
        <f ca="1">OFFSET('Trapezoidal Wing Summary'!T$45,((ROW('Trapezoidal Wing Summary'!$A57)-ROW('Trapezoidal Wing Summary'!$A$45))*100/$F$35),0)</f>
        <v>0</v>
      </c>
      <c r="BO62" s="41">
        <f ca="1">OFFSET('Trapezoidal Wing Summary'!U$45,((ROW('Trapezoidal Wing Summary'!$A57)-ROW('Trapezoidal Wing Summary'!$A$45))*100/$F$35),0)</f>
        <v>0</v>
      </c>
      <c r="BP62" s="41">
        <f ca="1">OFFSET('Trapezoidal Wing Summary'!V$45,((ROW('Trapezoidal Wing Summary'!$A57)-ROW('Trapezoidal Wing Summary'!$A$45))*100/$F$35),0)</f>
        <v>0</v>
      </c>
      <c r="BQ62" s="41">
        <f ca="1">OFFSET('Trapezoidal Wing Summary'!W$45,((ROW('Trapezoidal Wing Summary'!$A57)-ROW('Trapezoidal Wing Summary'!$A$45))*100/$F$35),0)</f>
        <v>0</v>
      </c>
      <c r="BR62" s="41">
        <f ca="1">OFFSET('Trapezoidal Wing Summary'!X$45,((ROW('Trapezoidal Wing Summary'!$A57)-ROW('Trapezoidal Wing Summary'!$A$45))*100/$F$35),0)</f>
        <v>0</v>
      </c>
      <c r="BS62" s="41">
        <f ca="1">OFFSET('Trapezoidal Wing Summary'!Y$45,((ROW('Trapezoidal Wing Summary'!$A57)-ROW('Trapezoidal Wing Summary'!$A$45))*100/$F$35),0)</f>
        <v>0</v>
      </c>
      <c r="BT62" s="41">
        <f ca="1">OFFSET('Trapezoidal Wing Summary'!Z$45,((ROW('Trapezoidal Wing Summary'!$A57)-ROW('Trapezoidal Wing Summary'!$A$45))*100/$F$35),0)</f>
        <v>0.36315691578622133</v>
      </c>
      <c r="BU62" s="41">
        <f ca="1">OFFSET('Trapezoidal Wing Summary'!AA$45,((ROW('Trapezoidal Wing Summary'!$A57)-ROW('Trapezoidal Wing Summary'!$A$45))*100/$F$35),0)</f>
        <v>0</v>
      </c>
      <c r="BV62" s="41">
        <f ca="1">OFFSET('Trapezoidal Wing Summary'!AB$45,((ROW('Trapezoidal Wing Summary'!$A57)-ROW('Trapezoidal Wing Summary'!$A$45))*100/$F$35),0)</f>
        <v>0</v>
      </c>
      <c r="BW62" s="41">
        <f ca="1">OFFSET('Trapezoidal Wing Summary'!AC$45,((ROW('Trapezoidal Wing Summary'!$A57)-ROW('Trapezoidal Wing Summary'!$A$45))*100/$F$35),0)</f>
        <v>0</v>
      </c>
      <c r="BX62" s="41">
        <f ca="1">OFFSET('Trapezoidal Wing Summary'!AD$45,((ROW('Trapezoidal Wing Summary'!$A57)-ROW('Trapezoidal Wing Summary'!$A$45))*100/$F$35),0)</f>
        <v>2E-3</v>
      </c>
      <c r="BY62" s="41">
        <f ca="1">OFFSET('Trapezoidal Wing Summary'!AE$45,((ROW('Trapezoidal Wing Summary'!$A57)-ROW('Trapezoidal Wing Summary'!$A$45))*100/$F$35),0)</f>
        <v>2E-3</v>
      </c>
      <c r="BZ62" s="41">
        <f ca="1">OFFSET('Trapezoidal Wing Summary'!AF$45,((ROW('Trapezoidal Wing Summary'!$A57)-ROW('Trapezoidal Wing Summary'!$A$45))*100/$F$35),0)</f>
        <v>0</v>
      </c>
      <c r="CA62" s="41">
        <f ca="1">OFFSET('Trapezoidal Wing Summary'!AG$45,((ROW('Trapezoidal Wing Summary'!$A57)-ROW('Trapezoidal Wing Summary'!$A$45))*100/$F$35),0)</f>
        <v>0.36637058258999999</v>
      </c>
      <c r="CB62" s="41">
        <f ca="1">OFFSET('Trapezoidal Wing Summary'!AH$45,((ROW('Trapezoidal Wing Summary'!$A57)-ROW('Trapezoidal Wing Summary'!$A$45))*100/$F$35),0)</f>
        <v>4.3234070050927427E-3</v>
      </c>
      <c r="CC62" s="41">
        <f ca="1">OFFSET('Trapezoidal Wing Summary'!AI$45,((ROW('Trapezoidal Wing Summary'!$A57)-ROW('Trapezoidal Wing Summary'!$A$45))*100/$F$35),0)</f>
        <v>0</v>
      </c>
      <c r="CD62" s="41">
        <f>'REF - ASWING AERO-Imperial'!$R$5</f>
        <v>5.4999999999999997E-3</v>
      </c>
      <c r="CE62" s="41">
        <f>'REF - ASWING AERO-Imperial'!$R$6</f>
        <v>5.4999999999999997E-3</v>
      </c>
      <c r="CF62" s="41">
        <f ca="1">OFFSET('Trapezoidal Wing Summary'!AL$45,((ROW('Trapezoidal Wing Summary'!$A57)-ROW('Trapezoidal Wing Summary'!$A$45))*100/$F$35),0)</f>
        <v>4.0707842510000001</v>
      </c>
      <c r="CG62" s="41">
        <f ca="1">OFFSET('Trapezoidal Wing Summary'!AM$45,((ROW('Trapezoidal Wing Summary'!$A57)-ROW('Trapezoidal Wing Summary'!$A$45))*100/$F$35),0)</f>
        <v>0.25</v>
      </c>
      <c r="CH62" s="41">
        <f ca="1">OFFSET('Trapezoidal Wing Summary'!AN$45,((ROW('Trapezoidal Wing Summary'!$A57)-ROW('Trapezoidal Wing Summary'!$A$45))*100/$F$35),0)</f>
        <v>4.45</v>
      </c>
      <c r="CI62" s="41">
        <f ca="1">OFFSET('Trapezoidal Wing Summary'!AO$45,((ROW('Trapezoidal Wing Summary'!$A57)-ROW('Trapezoidal Wing Summary'!$A$45))*100/$F$35),0)</f>
        <v>-0.15</v>
      </c>
      <c r="CJ62" s="41">
        <f ca="1">OFFSET('Trapezoidal Wing Summary'!AP$45,((ROW('Trapezoidal Wing Summary'!$A57)-ROW('Trapezoidal Wing Summary'!$A$45))*100/$F$35),0)</f>
        <v>1.85</v>
      </c>
      <c r="CK62" s="41">
        <f ca="1">OFFSET('Trapezoidal Wing Summary'!AQ$45,((ROW('Trapezoidal Wing Summary'!$A57)-ROW('Trapezoidal Wing Summary'!$A$45))*100/$F$35),0)</f>
        <v>-1.55</v>
      </c>
      <c r="CL62" s="41">
        <f ca="1">OFFSET('Trapezoidal Wing Summary'!AR$45,((ROW('Trapezoidal Wing Summary'!$A57)-ROW('Trapezoidal Wing Summary'!$A$45))*100/$F$35),0)</f>
        <v>5.9690260418206069</v>
      </c>
      <c r="CM62" s="645">
        <f>'ASWING STRUCT'!CM62</f>
        <v>57</v>
      </c>
      <c r="CN62" s="642">
        <f>'ASWING STRUCT'!CN62*3.28084</f>
        <v>10.549913067256</v>
      </c>
      <c r="CO62" s="642">
        <f>'ASWING STRUCT'!CO62*3.28084</f>
        <v>5.6102363999999998</v>
      </c>
      <c r="CP62" s="642">
        <f>'ASWING STRUCT'!CP62*3.28084</f>
        <v>12.850247130368</v>
      </c>
      <c r="CQ62" s="642">
        <f>'ASWING STRUCT'!CQ62</f>
        <v>0</v>
      </c>
      <c r="CR62" s="692">
        <f>'ASWING STRUCT'!CR62*0.224809*3.28084^2</f>
        <v>36377.484314358015</v>
      </c>
      <c r="CS62" s="692">
        <f>'ASWING STRUCT'!CS62*0.224809*3.28084^2</f>
        <v>33551.442891396262</v>
      </c>
      <c r="CT62" s="692">
        <f>'ASWING STRUCT'!CT62*0.224809*3.28084^2</f>
        <v>0</v>
      </c>
      <c r="CU62" s="692">
        <f>'ASWING STRUCT'!CU62*0.224809*3.28084^2</f>
        <v>0</v>
      </c>
      <c r="CV62" s="692">
        <f>'ASWING STRUCT'!CV62*0.224809*3.28084^2</f>
        <v>0</v>
      </c>
      <c r="CW62" s="692">
        <f>'ASWING STRUCT'!CW62*0.224809*3.28084^2</f>
        <v>1553309.7770703349</v>
      </c>
      <c r="CX62" s="642">
        <f>'ASWING STRUCT'!CX62</f>
        <v>0</v>
      </c>
      <c r="CY62" s="642">
        <f>'ASWING STRUCT'!CY62*0.224809</f>
        <v>0</v>
      </c>
      <c r="CZ62" s="642">
        <f>'ASWING STRUCT'!CZ62*0.224809</f>
        <v>0</v>
      </c>
      <c r="DA62" s="642">
        <f>'ASWING STRUCT'!DA62*2.20462*3.28084</f>
        <v>0</v>
      </c>
      <c r="DB62" s="642">
        <f>'ASWING STRUCT'!DB62*2.20462*3.28084</f>
        <v>0</v>
      </c>
      <c r="DC62" s="642">
        <f>'ASWING STRUCT'!DC62*2.20462/3.28084</f>
        <v>2.1961550687164713</v>
      </c>
      <c r="DD62" s="642">
        <f>'ASWING STRUCT'!DD62*3.28084</f>
        <v>0.33699877216121982</v>
      </c>
      <c r="DE62" s="642">
        <f>'ASWING STRUCT'!DE62*3.28084</f>
        <v>0</v>
      </c>
      <c r="DF62" s="642">
        <f>'ASWING STRUCT'!DF62*2.20462*3.28084</f>
        <v>0</v>
      </c>
      <c r="DG62" s="642">
        <f>'ASWING STRUCT'!DG62*2.20462*3.28084</f>
        <v>0</v>
      </c>
      <c r="DH62" s="642">
        <f>'ASWING STRUCT'!DH62*2.20462/3.28084</f>
        <v>0</v>
      </c>
      <c r="DI62" s="642">
        <f>'ASWING STRUCT'!DI62*3.28084</f>
        <v>0</v>
      </c>
      <c r="DJ62" s="642">
        <f>'ASWING STRUCT'!DJ62*3.28084</f>
        <v>0</v>
      </c>
      <c r="DK62" s="642">
        <f>'ASWING STRUCT'!DK62*3.28084</f>
        <v>0.14744617114654046</v>
      </c>
      <c r="DL62" s="642">
        <f>'ASWING STRUCT'!DL62*3.28084</f>
        <v>0</v>
      </c>
      <c r="DM62" s="642">
        <f>'ASWING STRUCT'!DM62*3.28084</f>
        <v>0</v>
      </c>
      <c r="DN62" s="642">
        <f>'ASWING STRUCT'!DN62*3.28084</f>
        <v>0</v>
      </c>
      <c r="DO62" s="642">
        <f>'ASWING STRUCT'!DO62</f>
        <v>2E-3</v>
      </c>
      <c r="DP62" s="642">
        <f>'ASWING STRUCT'!DP62</f>
        <v>2E-3</v>
      </c>
      <c r="DQ62" s="642">
        <f>'ASWING STRUCT'!DQ62*3.28084</f>
        <v>0</v>
      </c>
      <c r="DR62" s="642">
        <f>'ASWING STRUCT'!DR62*3.28084</f>
        <v>0.14143701239999998</v>
      </c>
      <c r="DS62" s="642">
        <f>'ASWING STRUCT'!DS62*3.28084^3</f>
        <v>6.443340463159001E-4</v>
      </c>
      <c r="DT62" s="642">
        <f>'ASWING STRUCT'!DT62*3.28084</f>
        <v>0</v>
      </c>
      <c r="DU62" s="642">
        <f>'ASWING STRUCT'!DU62</f>
        <v>5.4999999999999997E-3</v>
      </c>
      <c r="DV62" s="642">
        <f>'ASWING STRUCT'!DV62</f>
        <v>5.4999999999999997E-3</v>
      </c>
      <c r="DW62" s="642">
        <f>'ASWING STRUCT'!DW62*3.28084</f>
        <v>1.5715223599999999</v>
      </c>
      <c r="DX62" s="642">
        <f>'ASWING STRUCT'!DX62</f>
        <v>0.25</v>
      </c>
      <c r="DY62" s="642">
        <f>'ASWING STRUCT'!DY62</f>
        <v>5.9</v>
      </c>
      <c r="DZ62" s="642">
        <f>'ASWING STRUCT'!DZ62</f>
        <v>-0.15</v>
      </c>
      <c r="EA62" s="642">
        <f>'ASWING STRUCT'!EA62</f>
        <v>2.25</v>
      </c>
      <c r="EB62" s="642">
        <f>'ASWING STRUCT'!EB62</f>
        <v>-1.65</v>
      </c>
      <c r="EC62" s="641">
        <f>'ASWING STRUCT'!EC62</f>
        <v>5.9690260418206069</v>
      </c>
    </row>
    <row r="63" spans="1:219" x14ac:dyDescent="0.25">
      <c r="A63" t="s">
        <v>901</v>
      </c>
      <c r="B63" s="664">
        <v>6.2759999999999998</v>
      </c>
      <c r="C63" s="665">
        <v>1.56</v>
      </c>
      <c r="D63" s="665">
        <v>0</v>
      </c>
      <c r="E63" s="670">
        <f>'ASWING STRUCT'!E63* 3.28084</f>
        <v>23.690945639999999</v>
      </c>
      <c r="F63" s="670">
        <f>'ASWING STRUCT'!F63* 3.28084</f>
        <v>15.124672400000001</v>
      </c>
      <c r="G63" s="670">
        <f>'ASWING STRUCT'!G63* 3.28084</f>
        <v>12.139108</v>
      </c>
      <c r="H63" s="671">
        <f>'ASWING STRUCT'!H63*2.20462</f>
        <v>47.178867999999994</v>
      </c>
      <c r="I63" s="668">
        <v>7</v>
      </c>
      <c r="J63" s="204">
        <f t="shared" si="0"/>
        <v>23.690945639999999</v>
      </c>
      <c r="K63" s="662" t="s">
        <v>941</v>
      </c>
      <c r="L63" s="621"/>
      <c r="M63" s="621"/>
      <c r="N63" s="622"/>
      <c r="O63" s="623"/>
      <c r="P63" s="580"/>
      <c r="AU63" s="594"/>
      <c r="AV63" s="574">
        <f ca="1">100*(AX63-$AX$50)/(MAX($AX$50:INDEX(($AX$50:$AX$150),$F$35+1,1))-MIN($AX$50:INDEX(($AX$50:$AX$150),$F$35+1,1)))</f>
        <v>61</v>
      </c>
      <c r="AW63" s="660">
        <f ca="1">OFFSET('Trapezoidal Wing Summary'!C$45,((ROW('Trapezoidal Wing Summary'!$A58)-ROW('Trapezoidal Wing Summary'!$A$45))*100/$F$35),0)+$F$15</f>
        <v>24.147100674281997</v>
      </c>
      <c r="AX63" s="660">
        <f ca="1">OFFSET('Trapezoidal Wing Summary'!D$45,((ROW('Trapezoidal Wing Summary'!$A58)-ROW('Trapezoidal Wing Summary'!$A$45))*100/$F$35),0)+$F$16</f>
        <v>14.677487346319998</v>
      </c>
      <c r="AY63" s="660">
        <f ca="1">OFFSET('Trapezoidal Wing Summary'!E$45,((ROW('Trapezoidal Wing Summary'!$A58)-ROW('Trapezoidal Wing Summary'!$A$45))*100/$F$35),0)+$F$17</f>
        <v>8.1686780829199996</v>
      </c>
      <c r="AZ63" s="41">
        <f ca="1">OFFSET('Trapezoidal Wing Summary'!F$45,((ROW('Trapezoidal Wing Summary'!$A58)-ROW('Trapezoidal Wing Summary'!$A$45))*100/$F$35),0)</f>
        <v>0</v>
      </c>
      <c r="BA63" s="41">
        <f ca="1">OFFSET('Trapezoidal Wing Summary'!G$45,((ROW('Trapezoidal Wing Summary'!$A58)-ROW('Trapezoidal Wing Summary'!$A$45))*100/$F$35),0)</f>
        <v>690245.84162096353</v>
      </c>
      <c r="BB63" s="41">
        <f ca="1">OFFSET('Trapezoidal Wing Summary'!H$45,((ROW('Trapezoidal Wing Summary'!$A58)-ROW('Trapezoidal Wing Summary'!$A$45))*100/$F$35),0)</f>
        <v>1105496.7365644712</v>
      </c>
      <c r="BC63" s="41">
        <f ca="1">OFFSET('Trapezoidal Wing Summary'!I$45,((ROW('Trapezoidal Wing Summary'!$A58)-ROW('Trapezoidal Wing Summary'!$A$45))*100/$F$35),0)</f>
        <v>0</v>
      </c>
      <c r="BD63" s="41">
        <f ca="1">OFFSET('Trapezoidal Wing Summary'!J$45,((ROW('Trapezoidal Wing Summary'!$A58)-ROW('Trapezoidal Wing Summary'!$A$45))*100/$F$35),0)</f>
        <v>0</v>
      </c>
      <c r="BE63" s="41">
        <f ca="1">OFFSET('Trapezoidal Wing Summary'!K$45,((ROW('Trapezoidal Wing Summary'!$A58)-ROW('Trapezoidal Wing Summary'!$A$45))*100/$F$35),0)</f>
        <v>0</v>
      </c>
      <c r="BF63" s="41">
        <f ca="1">OFFSET('Trapezoidal Wing Summary'!L$45,((ROW('Trapezoidal Wing Summary'!$A58)-ROW('Trapezoidal Wing Summary'!$A$45))*100/$F$35),0)</f>
        <v>25606065.895333692</v>
      </c>
      <c r="BG63" s="41">
        <f ca="1">OFFSET('Trapezoidal Wing Summary'!M$45,((ROW('Trapezoidal Wing Summary'!$A58)-ROW('Trapezoidal Wing Summary'!$A$45))*100/$F$35),0)</f>
        <v>0</v>
      </c>
      <c r="BH63" s="41">
        <f ca="1">OFFSET('Trapezoidal Wing Summary'!N$45,((ROW('Trapezoidal Wing Summary'!$A58)-ROW('Trapezoidal Wing Summary'!$A$45))*100/$F$35),0)</f>
        <v>0</v>
      </c>
      <c r="BI63" s="41">
        <f ca="1">OFFSET('Trapezoidal Wing Summary'!O$45,((ROW('Trapezoidal Wing Summary'!$A58)-ROW('Trapezoidal Wing Summary'!$A$45))*100/$F$35),0)</f>
        <v>0</v>
      </c>
      <c r="BJ63" s="41">
        <f ca="1">OFFSET('Trapezoidal Wing Summary'!P$45,((ROW('Trapezoidal Wing Summary'!$A58)-ROW('Trapezoidal Wing Summary'!$A$45))*100/$F$35),0)</f>
        <v>0</v>
      </c>
      <c r="BK63" s="41">
        <f ca="1">OFFSET('Trapezoidal Wing Summary'!Q$45,((ROW('Trapezoidal Wing Summary'!$A58)-ROW('Trapezoidal Wing Summary'!$A$45))*100/$F$35),0)</f>
        <v>0</v>
      </c>
      <c r="BL63" s="41">
        <f ca="1">OFFSET('Trapezoidal Wing Summary'!R$45,((ROW('Trapezoidal Wing Summary'!$A58)-ROW('Trapezoidal Wing Summary'!$A$45))*100/$F$35),0)</f>
        <v>10.826506129961189</v>
      </c>
      <c r="BM63" s="41">
        <f ca="1">OFFSET('Trapezoidal Wing Summary'!S$45,((ROW('Trapezoidal Wing Summary'!$A58)-ROW('Trapezoidal Wing Summary'!$A$45))*100/$F$35),0)</f>
        <v>0.8558008948713669</v>
      </c>
      <c r="BN63" s="41">
        <f ca="1">OFFSET('Trapezoidal Wing Summary'!T$45,((ROW('Trapezoidal Wing Summary'!$A58)-ROW('Trapezoidal Wing Summary'!$A$45))*100/$F$35),0)</f>
        <v>0</v>
      </c>
      <c r="BO63" s="41">
        <f ca="1">OFFSET('Trapezoidal Wing Summary'!U$45,((ROW('Trapezoidal Wing Summary'!$A58)-ROW('Trapezoidal Wing Summary'!$A$45))*100/$F$35),0)</f>
        <v>0</v>
      </c>
      <c r="BP63" s="41">
        <f ca="1">OFFSET('Trapezoidal Wing Summary'!V$45,((ROW('Trapezoidal Wing Summary'!$A58)-ROW('Trapezoidal Wing Summary'!$A$45))*100/$F$35),0)</f>
        <v>0</v>
      </c>
      <c r="BQ63" s="41">
        <f ca="1">OFFSET('Trapezoidal Wing Summary'!W$45,((ROW('Trapezoidal Wing Summary'!$A58)-ROW('Trapezoidal Wing Summary'!$A$45))*100/$F$35),0)</f>
        <v>0</v>
      </c>
      <c r="BR63" s="41">
        <f ca="1">OFFSET('Trapezoidal Wing Summary'!X$45,((ROW('Trapezoidal Wing Summary'!$A58)-ROW('Trapezoidal Wing Summary'!$A$45))*100/$F$35),0)</f>
        <v>0</v>
      </c>
      <c r="BS63" s="41">
        <f ca="1">OFFSET('Trapezoidal Wing Summary'!Y$45,((ROW('Trapezoidal Wing Summary'!$A58)-ROW('Trapezoidal Wing Summary'!$A$45))*100/$F$35),0)</f>
        <v>0</v>
      </c>
      <c r="BT63" s="41">
        <f ca="1">OFFSET('Trapezoidal Wing Summary'!Z$45,((ROW('Trapezoidal Wing Summary'!$A58)-ROW('Trapezoidal Wing Summary'!$A$45))*100/$F$35),0)</f>
        <v>0.35677598212925399</v>
      </c>
      <c r="BU63" s="41">
        <f ca="1">OFFSET('Trapezoidal Wing Summary'!AA$45,((ROW('Trapezoidal Wing Summary'!$A58)-ROW('Trapezoidal Wing Summary'!$A$45))*100/$F$35),0)</f>
        <v>0</v>
      </c>
      <c r="BV63" s="41">
        <f ca="1">OFFSET('Trapezoidal Wing Summary'!AB$45,((ROW('Trapezoidal Wing Summary'!$A58)-ROW('Trapezoidal Wing Summary'!$A$45))*100/$F$35),0)</f>
        <v>0</v>
      </c>
      <c r="BW63" s="41">
        <f ca="1">OFFSET('Trapezoidal Wing Summary'!AC$45,((ROW('Trapezoidal Wing Summary'!$A58)-ROW('Trapezoidal Wing Summary'!$A$45))*100/$F$35),0)</f>
        <v>0</v>
      </c>
      <c r="BX63" s="41">
        <f ca="1">OFFSET('Trapezoidal Wing Summary'!AD$45,((ROW('Trapezoidal Wing Summary'!$A58)-ROW('Trapezoidal Wing Summary'!$A$45))*100/$F$35),0)</f>
        <v>2E-3</v>
      </c>
      <c r="BY63" s="41">
        <f ca="1">OFFSET('Trapezoidal Wing Summary'!AE$45,((ROW('Trapezoidal Wing Summary'!$A58)-ROW('Trapezoidal Wing Summary'!$A$45))*100/$F$35),0)</f>
        <v>2E-3</v>
      </c>
      <c r="BZ63" s="41">
        <f ca="1">OFFSET('Trapezoidal Wing Summary'!AF$45,((ROW('Trapezoidal Wing Summary'!$A58)-ROW('Trapezoidal Wing Summary'!$A$45))*100/$F$35),0)</f>
        <v>0</v>
      </c>
      <c r="CA63" s="41">
        <f ca="1">OFFSET('Trapezoidal Wing Summary'!AG$45,((ROW('Trapezoidal Wing Summary'!$A58)-ROW('Trapezoidal Wing Summary'!$A$45))*100/$F$35),0)</f>
        <v>0.35996310207000004</v>
      </c>
      <c r="CB63" s="41">
        <f ca="1">OFFSET('Trapezoidal Wing Summary'!AH$45,((ROW('Trapezoidal Wing Summary'!$A58)-ROW('Trapezoidal Wing Summary'!$A$45))*100/$F$35),0)</f>
        <v>4.1735046652619607E-3</v>
      </c>
      <c r="CC63" s="41">
        <f ca="1">OFFSET('Trapezoidal Wing Summary'!AI$45,((ROW('Trapezoidal Wing Summary'!$A58)-ROW('Trapezoidal Wing Summary'!$A$45))*100/$F$35),0)</f>
        <v>0</v>
      </c>
      <c r="CD63" s="41">
        <f>'REF - ASWING AERO-Imperial'!$R$5</f>
        <v>5.4999999999999997E-3</v>
      </c>
      <c r="CE63" s="41">
        <f>'REF - ASWING AERO-Imperial'!$R$6</f>
        <v>5.4999999999999997E-3</v>
      </c>
      <c r="CF63" s="41">
        <f ca="1">OFFSET('Trapezoidal Wing Summary'!AL$45,((ROW('Trapezoidal Wing Summary'!$A58)-ROW('Trapezoidal Wing Summary'!$A$45))*100/$F$35),0)</f>
        <v>3.9995900230000005</v>
      </c>
      <c r="CG63" s="41">
        <f ca="1">OFFSET('Trapezoidal Wing Summary'!AM$45,((ROW('Trapezoidal Wing Summary'!$A58)-ROW('Trapezoidal Wing Summary'!$A$45))*100/$F$35),0)</f>
        <v>0.25</v>
      </c>
      <c r="CH63" s="41">
        <f ca="1">OFFSET('Trapezoidal Wing Summary'!AN$45,((ROW('Trapezoidal Wing Summary'!$A58)-ROW('Trapezoidal Wing Summary'!$A$45))*100/$F$35),0)</f>
        <v>4.45</v>
      </c>
      <c r="CI63" s="41">
        <f ca="1">OFFSET('Trapezoidal Wing Summary'!AO$45,((ROW('Trapezoidal Wing Summary'!$A58)-ROW('Trapezoidal Wing Summary'!$A$45))*100/$F$35),0)</f>
        <v>-0.15</v>
      </c>
      <c r="CJ63" s="41">
        <f ca="1">OFFSET('Trapezoidal Wing Summary'!AP$45,((ROW('Trapezoidal Wing Summary'!$A58)-ROW('Trapezoidal Wing Summary'!$A$45))*100/$F$35),0)</f>
        <v>1.85</v>
      </c>
      <c r="CK63" s="41">
        <f ca="1">OFFSET('Trapezoidal Wing Summary'!AQ$45,((ROW('Trapezoidal Wing Summary'!$A58)-ROW('Trapezoidal Wing Summary'!$A$45))*100/$F$35),0)</f>
        <v>-1.55</v>
      </c>
      <c r="CL63" s="41">
        <f ca="1">OFFSET('Trapezoidal Wing Summary'!AR$45,((ROW('Trapezoidal Wing Summary'!$A58)-ROW('Trapezoidal Wing Summary'!$A$45))*100/$F$35),0)</f>
        <v>5.9690260418206069</v>
      </c>
      <c r="CM63" s="645">
        <f>'ASWING STRUCT'!CM63</f>
        <v>61</v>
      </c>
      <c r="CN63" s="642">
        <f>'ASWING STRUCT'!CN63*3.28084</f>
        <v>10.559755587255999</v>
      </c>
      <c r="CO63" s="642">
        <f>'ASWING STRUCT'!CO63*3.28084</f>
        <v>6.0039372000000002</v>
      </c>
      <c r="CP63" s="642">
        <f>'ASWING STRUCT'!CP63*3.28084</f>
        <v>12.850247130368</v>
      </c>
      <c r="CQ63" s="642">
        <f>'ASWING STRUCT'!CQ63</f>
        <v>0</v>
      </c>
      <c r="CR63" s="692">
        <f>'ASWING STRUCT'!CR63*0.224809*3.28084^2</f>
        <v>22789.76961135252</v>
      </c>
      <c r="CS63" s="692">
        <f>'ASWING STRUCT'!CS63*0.224809*3.28084^2</f>
        <v>20596.588070214828</v>
      </c>
      <c r="CT63" s="692">
        <f>'ASWING STRUCT'!CT63*0.224809*3.28084^2</f>
        <v>0</v>
      </c>
      <c r="CU63" s="692">
        <f>'ASWING STRUCT'!CU63*0.224809*3.28084^2</f>
        <v>0</v>
      </c>
      <c r="CV63" s="692">
        <f>'ASWING STRUCT'!CV63*0.224809*3.28084^2</f>
        <v>0</v>
      </c>
      <c r="CW63" s="692">
        <f>'ASWING STRUCT'!CW63*0.224809*3.28084^2</f>
        <v>1439468.5387500327</v>
      </c>
      <c r="CX63" s="642">
        <f>'ASWING STRUCT'!CX63</f>
        <v>0</v>
      </c>
      <c r="CY63" s="642">
        <f>'ASWING STRUCT'!CY63*0.224809</f>
        <v>0</v>
      </c>
      <c r="CZ63" s="642">
        <f>'ASWING STRUCT'!CZ63*0.224809</f>
        <v>0</v>
      </c>
      <c r="DA63" s="642">
        <f>'ASWING STRUCT'!DA63*2.20462*3.28084</f>
        <v>0</v>
      </c>
      <c r="DB63" s="642">
        <f>'ASWING STRUCT'!DB63*2.20462*3.28084</f>
        <v>0</v>
      </c>
      <c r="DC63" s="642">
        <f>'ASWING STRUCT'!DC63*2.20462/3.28084</f>
        <v>2.0849098622718669</v>
      </c>
      <c r="DD63" s="642">
        <f>'ASWING STRUCT'!DD63*3.28084</f>
        <v>0.33728523321727477</v>
      </c>
      <c r="DE63" s="642">
        <f>'ASWING STRUCT'!DE63*3.28084</f>
        <v>0</v>
      </c>
      <c r="DF63" s="642">
        <f>'ASWING STRUCT'!DF63*2.20462*3.28084</f>
        <v>0</v>
      </c>
      <c r="DG63" s="642">
        <f>'ASWING STRUCT'!DG63*2.20462*3.28084</f>
        <v>0</v>
      </c>
      <c r="DH63" s="642">
        <f>'ASWING STRUCT'!DH63*2.20462/3.28084</f>
        <v>0</v>
      </c>
      <c r="DI63" s="642">
        <f>'ASWING STRUCT'!DI63*3.28084</f>
        <v>0</v>
      </c>
      <c r="DJ63" s="642">
        <f>'ASWING STRUCT'!DJ63*3.28084</f>
        <v>0</v>
      </c>
      <c r="DK63" s="642">
        <f>'ASWING STRUCT'!DK63*3.28084</f>
        <v>0.14451322775430042</v>
      </c>
      <c r="DL63" s="642">
        <f>'ASWING STRUCT'!DL63*3.28084</f>
        <v>0</v>
      </c>
      <c r="DM63" s="642">
        <f>'ASWING STRUCT'!DM63*3.28084</f>
        <v>0</v>
      </c>
      <c r="DN63" s="642">
        <f>'ASWING STRUCT'!DN63*3.28084</f>
        <v>0</v>
      </c>
      <c r="DO63" s="642">
        <f>'ASWING STRUCT'!DO63</f>
        <v>2E-3</v>
      </c>
      <c r="DP63" s="642">
        <f>'ASWING STRUCT'!DP63</f>
        <v>2E-3</v>
      </c>
      <c r="DQ63" s="642">
        <f>'ASWING STRUCT'!DQ63*3.28084</f>
        <v>0</v>
      </c>
      <c r="DR63" s="642">
        <f>'ASWING STRUCT'!DR63*3.28084</f>
        <v>0.13789370519999999</v>
      </c>
      <c r="DS63" s="642">
        <f>'ASWING STRUCT'!DS63*3.28084^3</f>
        <v>6.1245447773932446E-4</v>
      </c>
      <c r="DT63" s="642">
        <f>'ASWING STRUCT'!DT63*3.28084</f>
        <v>0</v>
      </c>
      <c r="DU63" s="642">
        <f>'ASWING STRUCT'!DU63</f>
        <v>5.4999999999999997E-3</v>
      </c>
      <c r="DV63" s="642">
        <f>'ASWING STRUCT'!DV63</f>
        <v>5.4999999999999997E-3</v>
      </c>
      <c r="DW63" s="642">
        <f>'ASWING STRUCT'!DW63*3.28084</f>
        <v>1.53215228</v>
      </c>
      <c r="DX63" s="642">
        <f>'ASWING STRUCT'!DX63</f>
        <v>0.25</v>
      </c>
      <c r="DY63" s="642">
        <f>'ASWING STRUCT'!DY63</f>
        <v>5.9</v>
      </c>
      <c r="DZ63" s="642">
        <f>'ASWING STRUCT'!DZ63</f>
        <v>-0.15</v>
      </c>
      <c r="EA63" s="642">
        <f>'ASWING STRUCT'!EA63</f>
        <v>2.25</v>
      </c>
      <c r="EB63" s="642">
        <f>'ASWING STRUCT'!EB63</f>
        <v>-1.65</v>
      </c>
      <c r="EC63" s="641">
        <f>'ASWING STRUCT'!EC63</f>
        <v>5.9690260418206069</v>
      </c>
    </row>
    <row r="64" spans="1:219" x14ac:dyDescent="0.25">
      <c r="A64" t="s">
        <v>902</v>
      </c>
      <c r="B64" s="664">
        <v>-0.56329999999999991</v>
      </c>
      <c r="C64" s="665">
        <v>-1.46E-2</v>
      </c>
      <c r="D64" s="665">
        <v>-1.629</v>
      </c>
      <c r="E64" s="670">
        <f>'ASWING STRUCT'!E64* 3.28084</f>
        <v>40.104988159999998</v>
      </c>
      <c r="F64" s="670">
        <f>'ASWING STRUCT'!F64* 3.28084</f>
        <v>-15.124672400000001</v>
      </c>
      <c r="G64" s="670">
        <f>'ASWING STRUCT'!G64* 3.28084</f>
        <v>12.139108</v>
      </c>
      <c r="H64" s="671">
        <f>'ASWING STRUCT'!H64*2.20462</f>
        <v>47.178867999999994</v>
      </c>
      <c r="I64" s="668">
        <v>1</v>
      </c>
      <c r="J64" s="2">
        <v>0</v>
      </c>
      <c r="K64" s="575"/>
      <c r="O64" s="576"/>
      <c r="P64" s="580"/>
      <c r="AU64" s="594"/>
      <c r="AV64" s="574">
        <f ca="1">100*(AX64-$AX$50)/(MAX($AX$50:INDEX(($AX$50:$AX$150),$F$35+1,1))-MIN($AX$50:INDEX(($AX$50:$AX$150),$F$35+1,1)))</f>
        <v>66</v>
      </c>
      <c r="AW64" s="660">
        <f ca="1">OFFSET('Trapezoidal Wing Summary'!C$45,((ROW('Trapezoidal Wing Summary'!$A59)-ROW('Trapezoidal Wing Summary'!$A$45))*100/$F$35),0)+$F$15</f>
        <v>24.169348870531998</v>
      </c>
      <c r="AX64" s="660">
        <f ca="1">OFFSET('Trapezoidal Wing Summary'!D$45,((ROW('Trapezoidal Wing Summary'!$A59)-ROW('Trapezoidal Wing Summary'!$A$45))*100/$F$35),0)+$F$16</f>
        <v>15.881555626319999</v>
      </c>
      <c r="AY64" s="660">
        <f ca="1">OFFSET('Trapezoidal Wing Summary'!E$45,((ROW('Trapezoidal Wing Summary'!$A59)-ROW('Trapezoidal Wing Summary'!$A$45))*100/$F$35),0)+$F$17</f>
        <v>8.1686780829199996</v>
      </c>
      <c r="AZ64" s="41">
        <f ca="1">OFFSET('Trapezoidal Wing Summary'!F$45,((ROW('Trapezoidal Wing Summary'!$A59)-ROW('Trapezoidal Wing Summary'!$A$45))*100/$F$35),0)</f>
        <v>0</v>
      </c>
      <c r="BA64" s="41">
        <f ca="1">OFFSET('Trapezoidal Wing Summary'!G$45,((ROW('Trapezoidal Wing Summary'!$A59)-ROW('Trapezoidal Wing Summary'!$A$45))*100/$F$35),0)</f>
        <v>636392.47079128027</v>
      </c>
      <c r="BB64" s="41">
        <f ca="1">OFFSET('Trapezoidal Wing Summary'!H$45,((ROW('Trapezoidal Wing Summary'!$A59)-ROW('Trapezoidal Wing Summary'!$A$45))*100/$F$35),0)</f>
        <v>1056848.3910288438</v>
      </c>
      <c r="BC64" s="41">
        <f ca="1">OFFSET('Trapezoidal Wing Summary'!I$45,((ROW('Trapezoidal Wing Summary'!$A59)-ROW('Trapezoidal Wing Summary'!$A$45))*100/$F$35),0)</f>
        <v>0</v>
      </c>
      <c r="BD64" s="41">
        <f ca="1">OFFSET('Trapezoidal Wing Summary'!J$45,((ROW('Trapezoidal Wing Summary'!$A59)-ROW('Trapezoidal Wing Summary'!$A$45))*100/$F$35),0)</f>
        <v>0</v>
      </c>
      <c r="BE64" s="41">
        <f ca="1">OFFSET('Trapezoidal Wing Summary'!K$45,((ROW('Trapezoidal Wing Summary'!$A59)-ROW('Trapezoidal Wing Summary'!$A$45))*100/$F$35),0)</f>
        <v>0</v>
      </c>
      <c r="BF64" s="41">
        <f ca="1">OFFSET('Trapezoidal Wing Summary'!L$45,((ROW('Trapezoidal Wing Summary'!$A59)-ROW('Trapezoidal Wing Summary'!$A$45))*100/$F$35),0)</f>
        <v>23934573.736559782</v>
      </c>
      <c r="BG64" s="41">
        <f ca="1">OFFSET('Trapezoidal Wing Summary'!M$45,((ROW('Trapezoidal Wing Summary'!$A59)-ROW('Trapezoidal Wing Summary'!$A$45))*100/$F$35),0)</f>
        <v>0</v>
      </c>
      <c r="BH64" s="41">
        <f ca="1">OFFSET('Trapezoidal Wing Summary'!N$45,((ROW('Trapezoidal Wing Summary'!$A59)-ROW('Trapezoidal Wing Summary'!$A$45))*100/$F$35),0)</f>
        <v>0</v>
      </c>
      <c r="BI64" s="41">
        <f ca="1">OFFSET('Trapezoidal Wing Summary'!O$45,((ROW('Trapezoidal Wing Summary'!$A59)-ROW('Trapezoidal Wing Summary'!$A$45))*100/$F$35),0)</f>
        <v>0</v>
      </c>
      <c r="BJ64" s="41">
        <f ca="1">OFFSET('Trapezoidal Wing Summary'!P$45,((ROW('Trapezoidal Wing Summary'!$A59)-ROW('Trapezoidal Wing Summary'!$A$45))*100/$F$35),0)</f>
        <v>0</v>
      </c>
      <c r="BK64" s="41">
        <f ca="1">OFFSET('Trapezoidal Wing Summary'!Q$45,((ROW('Trapezoidal Wing Summary'!$A59)-ROW('Trapezoidal Wing Summary'!$A$45))*100/$F$35),0)</f>
        <v>0</v>
      </c>
      <c r="BL64" s="41">
        <f ca="1">OFFSET('Trapezoidal Wing Summary'!R$45,((ROW('Trapezoidal Wing Summary'!$A59)-ROW('Trapezoidal Wing Summary'!$A$45))*100/$F$35),0)</f>
        <v>10.604804775376678</v>
      </c>
      <c r="BM64" s="41">
        <f ca="1">OFFSET('Trapezoidal Wing Summary'!S$45,((ROW('Trapezoidal Wing Summary'!$A59)-ROW('Trapezoidal Wing Summary'!$A$45))*100/$F$35),0)</f>
        <v>0.83520790434351166</v>
      </c>
      <c r="BN64" s="41">
        <f ca="1">OFFSET('Trapezoidal Wing Summary'!T$45,((ROW('Trapezoidal Wing Summary'!$A59)-ROW('Trapezoidal Wing Summary'!$A$45))*100/$F$35),0)</f>
        <v>0</v>
      </c>
      <c r="BO64" s="41">
        <f ca="1">OFFSET('Trapezoidal Wing Summary'!U$45,((ROW('Trapezoidal Wing Summary'!$A59)-ROW('Trapezoidal Wing Summary'!$A$45))*100/$F$35),0)</f>
        <v>0</v>
      </c>
      <c r="BP64" s="41">
        <f ca="1">OFFSET('Trapezoidal Wing Summary'!V$45,((ROW('Trapezoidal Wing Summary'!$A59)-ROW('Trapezoidal Wing Summary'!$A$45))*100/$F$35),0)</f>
        <v>0</v>
      </c>
      <c r="BQ64" s="41">
        <f ca="1">OFFSET('Trapezoidal Wing Summary'!W$45,((ROW('Trapezoidal Wing Summary'!$A59)-ROW('Trapezoidal Wing Summary'!$A$45))*100/$F$35),0)</f>
        <v>0</v>
      </c>
      <c r="BR64" s="41">
        <f ca="1">OFFSET('Trapezoidal Wing Summary'!X$45,((ROW('Trapezoidal Wing Summary'!$A59)-ROW('Trapezoidal Wing Summary'!$A$45))*100/$F$35),0)</f>
        <v>0</v>
      </c>
      <c r="BS64" s="41">
        <f ca="1">OFFSET('Trapezoidal Wing Summary'!Y$45,((ROW('Trapezoidal Wing Summary'!$A59)-ROW('Trapezoidal Wing Summary'!$A$45))*100/$F$35),0)</f>
        <v>0</v>
      </c>
      <c r="BT64" s="41">
        <f ca="1">OFFSET('Trapezoidal Wing Summary'!Z$45,((ROW('Trapezoidal Wing Summary'!$A59)-ROW('Trapezoidal Wing Summary'!$A$45))*100/$F$35),0)</f>
        <v>0.34879965820273262</v>
      </c>
      <c r="BU64" s="41">
        <f ca="1">OFFSET('Trapezoidal Wing Summary'!AA$45,((ROW('Trapezoidal Wing Summary'!$A59)-ROW('Trapezoidal Wing Summary'!$A$45))*100/$F$35),0)</f>
        <v>0</v>
      </c>
      <c r="BV64" s="41">
        <f ca="1">OFFSET('Trapezoidal Wing Summary'!AB$45,((ROW('Trapezoidal Wing Summary'!$A59)-ROW('Trapezoidal Wing Summary'!$A$45))*100/$F$35),0)</f>
        <v>0</v>
      </c>
      <c r="BW64" s="41">
        <f ca="1">OFFSET('Trapezoidal Wing Summary'!AC$45,((ROW('Trapezoidal Wing Summary'!$A59)-ROW('Trapezoidal Wing Summary'!$A$45))*100/$F$35),0)</f>
        <v>0</v>
      </c>
      <c r="BX64" s="41">
        <f ca="1">OFFSET('Trapezoidal Wing Summary'!AD$45,((ROW('Trapezoidal Wing Summary'!$A59)-ROW('Trapezoidal Wing Summary'!$A$45))*100/$F$35),0)</f>
        <v>2E-3</v>
      </c>
      <c r="BY64" s="41">
        <f ca="1">OFFSET('Trapezoidal Wing Summary'!AE$45,((ROW('Trapezoidal Wing Summary'!$A59)-ROW('Trapezoidal Wing Summary'!$A$45))*100/$F$35),0)</f>
        <v>2E-3</v>
      </c>
      <c r="BZ64" s="41">
        <f ca="1">OFFSET('Trapezoidal Wing Summary'!AF$45,((ROW('Trapezoidal Wing Summary'!$A59)-ROW('Trapezoidal Wing Summary'!$A$45))*100/$F$35),0)</f>
        <v>0</v>
      </c>
      <c r="CA64" s="41">
        <f ca="1">OFFSET('Trapezoidal Wing Summary'!AG$45,((ROW('Trapezoidal Wing Summary'!$A59)-ROW('Trapezoidal Wing Summary'!$A$45))*100/$F$35),0)</f>
        <v>0.35195375142000002</v>
      </c>
      <c r="CB64" s="41">
        <f ca="1">OFFSET('Trapezoidal Wing Summary'!AH$45,((ROW('Trapezoidal Wing Summary'!$A59)-ROW('Trapezoidal Wing Summary'!$A$45))*100/$F$35),0)</f>
        <v>3.9898459620430074E-3</v>
      </c>
      <c r="CC64" s="41">
        <f ca="1">OFFSET('Trapezoidal Wing Summary'!AI$45,((ROW('Trapezoidal Wing Summary'!$A59)-ROW('Trapezoidal Wing Summary'!$A$45))*100/$F$35),0)</f>
        <v>0</v>
      </c>
      <c r="CD64" s="41">
        <f>'REF - ASWING AERO-Imperial'!$R$5</f>
        <v>5.4999999999999997E-3</v>
      </c>
      <c r="CE64" s="41">
        <f>'REF - ASWING AERO-Imperial'!$R$6</f>
        <v>5.4999999999999997E-3</v>
      </c>
      <c r="CF64" s="41">
        <f ca="1">OFFSET('Trapezoidal Wing Summary'!AL$45,((ROW('Trapezoidal Wing Summary'!$A59)-ROW('Trapezoidal Wing Summary'!$A$45))*100/$F$35),0)</f>
        <v>3.9105972380000003</v>
      </c>
      <c r="CG64" s="41">
        <f ca="1">OFFSET('Trapezoidal Wing Summary'!AM$45,((ROW('Trapezoidal Wing Summary'!$A59)-ROW('Trapezoidal Wing Summary'!$A$45))*100/$F$35),0)</f>
        <v>0.25</v>
      </c>
      <c r="CH64" s="41">
        <f ca="1">OFFSET('Trapezoidal Wing Summary'!AN$45,((ROW('Trapezoidal Wing Summary'!$A59)-ROW('Trapezoidal Wing Summary'!$A$45))*100/$F$35),0)</f>
        <v>4.45</v>
      </c>
      <c r="CI64" s="41">
        <f ca="1">OFFSET('Trapezoidal Wing Summary'!AO$45,((ROW('Trapezoidal Wing Summary'!$A59)-ROW('Trapezoidal Wing Summary'!$A$45))*100/$F$35),0)</f>
        <v>-0.15</v>
      </c>
      <c r="CJ64" s="41">
        <f ca="1">OFFSET('Trapezoidal Wing Summary'!AP$45,((ROW('Trapezoidal Wing Summary'!$A59)-ROW('Trapezoidal Wing Summary'!$A$45))*100/$F$35),0)</f>
        <v>1.85</v>
      </c>
      <c r="CK64" s="41">
        <f ca="1">OFFSET('Trapezoidal Wing Summary'!AQ$45,((ROW('Trapezoidal Wing Summary'!$A59)-ROW('Trapezoidal Wing Summary'!$A$45))*100/$F$35),0)</f>
        <v>-1.55</v>
      </c>
      <c r="CL64" s="41">
        <f ca="1">OFFSET('Trapezoidal Wing Summary'!AR$45,((ROW('Trapezoidal Wing Summary'!$A59)-ROW('Trapezoidal Wing Summary'!$A$45))*100/$F$35),0)</f>
        <v>5.9690260418206069</v>
      </c>
      <c r="CM64" s="645">
        <f>'ASWING STRUCT'!CM64</f>
        <v>66.000000000000014</v>
      </c>
      <c r="CN64" s="642">
        <f>'ASWING STRUCT'!CN64*3.28084</f>
        <v>10.572058737255999</v>
      </c>
      <c r="CO64" s="642">
        <f>'ASWING STRUCT'!CO64*3.28084</f>
        <v>6.4960632000000009</v>
      </c>
      <c r="CP64" s="642">
        <f>'ASWING STRUCT'!CP64*3.28084</f>
        <v>12.850247130368</v>
      </c>
      <c r="CQ64" s="642">
        <f>'ASWING STRUCT'!CQ64</f>
        <v>0</v>
      </c>
      <c r="CR64" s="692">
        <f>'ASWING STRUCT'!CR64*0.224809*3.28084^2</f>
        <v>20871.288734142403</v>
      </c>
      <c r="CS64" s="692">
        <f>'ASWING STRUCT'!CS64*0.224809*3.28084^2</f>
        <v>19294.716052149215</v>
      </c>
      <c r="CT64" s="692">
        <f>'ASWING STRUCT'!CT64*0.224809*3.28084^2</f>
        <v>0</v>
      </c>
      <c r="CU64" s="692">
        <f>'ASWING STRUCT'!CU64*0.224809*3.28084^2</f>
        <v>0</v>
      </c>
      <c r="CV64" s="692">
        <f>'ASWING STRUCT'!CV64*0.224809*3.28084^2</f>
        <v>0</v>
      </c>
      <c r="CW64" s="692">
        <f>'ASWING STRUCT'!CW64*0.224809*3.28084^2</f>
        <v>1305169.2706092095</v>
      </c>
      <c r="CX64" s="642">
        <f>'ASWING STRUCT'!CX64</f>
        <v>0</v>
      </c>
      <c r="CY64" s="642">
        <f>'ASWING STRUCT'!CY64*0.224809</f>
        <v>0</v>
      </c>
      <c r="CZ64" s="642">
        <f>'ASWING STRUCT'!CZ64*0.224809</f>
        <v>0</v>
      </c>
      <c r="DA64" s="642">
        <f>'ASWING STRUCT'!DA64*2.20462*3.28084</f>
        <v>0</v>
      </c>
      <c r="DB64" s="642">
        <f>'ASWING STRUCT'!DB64*2.20462*3.28084</f>
        <v>0</v>
      </c>
      <c r="DC64" s="642">
        <f>'ASWING STRUCT'!DC64*2.20462/3.28084</f>
        <v>2.0215508492512635</v>
      </c>
      <c r="DD64" s="642">
        <f>'ASWING STRUCT'!DD64*3.28084</f>
        <v>0.32583075332548667</v>
      </c>
      <c r="DE64" s="642">
        <f>'ASWING STRUCT'!DE64*3.28084</f>
        <v>0</v>
      </c>
      <c r="DF64" s="642">
        <f>'ASWING STRUCT'!DF64*2.20462*3.28084</f>
        <v>0</v>
      </c>
      <c r="DG64" s="642">
        <f>'ASWING STRUCT'!DG64*2.20462*3.28084</f>
        <v>0</v>
      </c>
      <c r="DH64" s="642">
        <f>'ASWING STRUCT'!DH64*2.20462/3.28084</f>
        <v>0</v>
      </c>
      <c r="DI64" s="642">
        <f>'ASWING STRUCT'!DI64*3.28084</f>
        <v>0</v>
      </c>
      <c r="DJ64" s="642">
        <f>'ASWING STRUCT'!DJ64*3.28084</f>
        <v>0</v>
      </c>
      <c r="DK64" s="642">
        <f>'ASWING STRUCT'!DK64*3.28084</f>
        <v>0.14088376797889479</v>
      </c>
      <c r="DL64" s="642">
        <f>'ASWING STRUCT'!DL64*3.28084</f>
        <v>0</v>
      </c>
      <c r="DM64" s="642">
        <f>'ASWING STRUCT'!DM64*3.28084</f>
        <v>0</v>
      </c>
      <c r="DN64" s="642">
        <f>'ASWING STRUCT'!DN64*3.28084</f>
        <v>0</v>
      </c>
      <c r="DO64" s="642">
        <f>'ASWING STRUCT'!DO64</f>
        <v>2E-3</v>
      </c>
      <c r="DP64" s="642">
        <f>'ASWING STRUCT'!DP64</f>
        <v>2E-3</v>
      </c>
      <c r="DQ64" s="642">
        <f>'ASWING STRUCT'!DQ64*3.28084</f>
        <v>0</v>
      </c>
      <c r="DR64" s="642">
        <f>'ASWING STRUCT'!DR64*3.28084</f>
        <v>0.13346457119999999</v>
      </c>
      <c r="DS64" s="642">
        <f>'ASWING STRUCT'!DS64*3.28084^3</f>
        <v>5.7374236949160661E-4</v>
      </c>
      <c r="DT64" s="642">
        <f>'ASWING STRUCT'!DT64*3.28084</f>
        <v>0</v>
      </c>
      <c r="DU64" s="642">
        <f>'ASWING STRUCT'!DU64</f>
        <v>5.4999999999999997E-3</v>
      </c>
      <c r="DV64" s="642">
        <f>'ASWING STRUCT'!DV64</f>
        <v>5.4999999999999997E-3</v>
      </c>
      <c r="DW64" s="642">
        <f>'ASWING STRUCT'!DW64*3.28084</f>
        <v>1.4829396799999999</v>
      </c>
      <c r="DX64" s="642">
        <f>'ASWING STRUCT'!DX64</f>
        <v>0.25</v>
      </c>
      <c r="DY64" s="642">
        <f>'ASWING STRUCT'!DY64</f>
        <v>5.9</v>
      </c>
      <c r="DZ64" s="642">
        <f>'ASWING STRUCT'!DZ64</f>
        <v>-0.15</v>
      </c>
      <c r="EA64" s="642">
        <f>'ASWING STRUCT'!EA64</f>
        <v>2.25</v>
      </c>
      <c r="EB64" s="642">
        <f>'ASWING STRUCT'!EB64</f>
        <v>-1.65</v>
      </c>
      <c r="EC64" s="641">
        <f>'ASWING STRUCT'!EC64</f>
        <v>5.9690260418206069</v>
      </c>
    </row>
    <row r="65" spans="1:133" x14ac:dyDescent="0.25">
      <c r="A65" t="s">
        <v>903</v>
      </c>
      <c r="B65" s="664">
        <v>-0.15114</v>
      </c>
      <c r="C65" s="665">
        <v>-1.46E-2</v>
      </c>
      <c r="D65" s="665">
        <v>-1.629</v>
      </c>
      <c r="E65" s="670">
        <f>'ASWING STRUCT'!E65* 3.28084</f>
        <v>39.406169239999997</v>
      </c>
      <c r="F65" s="670">
        <f>'ASWING STRUCT'!F65* 3.28084</f>
        <v>-5.1181103999999999</v>
      </c>
      <c r="G65" s="670">
        <f>'ASWING STRUCT'!G65* 3.28084</f>
        <v>12.795275999999999</v>
      </c>
      <c r="H65" s="671">
        <f>'ASWING STRUCT'!H65*2.20462</f>
        <v>47.178867999999994</v>
      </c>
      <c r="I65" s="668">
        <v>1</v>
      </c>
      <c r="J65" s="2">
        <v>0</v>
      </c>
      <c r="K65" s="624" t="s">
        <v>942</v>
      </c>
      <c r="L65" s="4" t="s">
        <v>0</v>
      </c>
      <c r="O65" s="576"/>
      <c r="P65" s="580"/>
      <c r="AU65" s="594"/>
      <c r="AV65" s="574">
        <f ca="1">100*(AX65-$AX$50)/(MAX($AX$50:INDEX(($AX$50:$AX$150),$F$35+1,1))-MIN($AX$50:INDEX(($AX$50:$AX$150),$F$35+1,1)))</f>
        <v>71</v>
      </c>
      <c r="AW65" s="660">
        <f ca="1">OFFSET('Trapezoidal Wing Summary'!C$45,((ROW('Trapezoidal Wing Summary'!$A60)-ROW('Trapezoidal Wing Summary'!$A$45))*100/$F$35),0)+$F$15</f>
        <v>24.191597066781998</v>
      </c>
      <c r="AX65" s="660">
        <f ca="1">OFFSET('Trapezoidal Wing Summary'!D$45,((ROW('Trapezoidal Wing Summary'!$A60)-ROW('Trapezoidal Wing Summary'!$A$45))*100/$F$35),0)+$F$16</f>
        <v>17.085623906319999</v>
      </c>
      <c r="AY65" s="660">
        <f ca="1">OFFSET('Trapezoidal Wing Summary'!E$45,((ROW('Trapezoidal Wing Summary'!$A60)-ROW('Trapezoidal Wing Summary'!$A$45))*100/$F$35),0)+$F$17</f>
        <v>8.1686780829199996</v>
      </c>
      <c r="AZ65" s="41">
        <f ca="1">OFFSET('Trapezoidal Wing Summary'!F$45,((ROW('Trapezoidal Wing Summary'!$A60)-ROW('Trapezoidal Wing Summary'!$A$45))*100/$F$35),0)</f>
        <v>0</v>
      </c>
      <c r="BA65" s="41">
        <f ca="1">OFFSET('Trapezoidal Wing Summary'!G$45,((ROW('Trapezoidal Wing Summary'!$A60)-ROW('Trapezoidal Wing Summary'!$A$45))*100/$F$35),0)</f>
        <v>347419.38389203919</v>
      </c>
      <c r="BB65" s="41">
        <f ca="1">OFFSET('Trapezoidal Wing Summary'!H$45,((ROW('Trapezoidal Wing Summary'!$A60)-ROW('Trapezoidal Wing Summary'!$A$45))*100/$F$35),0)</f>
        <v>562662.18089059507</v>
      </c>
      <c r="BC65" s="41">
        <f ca="1">OFFSET('Trapezoidal Wing Summary'!I$45,((ROW('Trapezoidal Wing Summary'!$A60)-ROW('Trapezoidal Wing Summary'!$A$45))*100/$F$35),0)</f>
        <v>0</v>
      </c>
      <c r="BD65" s="41">
        <f ca="1">OFFSET('Trapezoidal Wing Summary'!J$45,((ROW('Trapezoidal Wing Summary'!$A60)-ROW('Trapezoidal Wing Summary'!$A$45))*100/$F$35),0)</f>
        <v>0</v>
      </c>
      <c r="BE65" s="41">
        <f ca="1">OFFSET('Trapezoidal Wing Summary'!K$45,((ROW('Trapezoidal Wing Summary'!$A60)-ROW('Trapezoidal Wing Summary'!$A$45))*100/$F$35),0)</f>
        <v>0</v>
      </c>
      <c r="BF65" s="41">
        <f ca="1">OFFSET('Trapezoidal Wing Summary'!L$45,((ROW('Trapezoidal Wing Summary'!$A60)-ROW('Trapezoidal Wing Summary'!$A$45))*100/$F$35),0)</f>
        <v>22337452.020275202</v>
      </c>
      <c r="BG65" s="41">
        <f ca="1">OFFSET('Trapezoidal Wing Summary'!M$45,((ROW('Trapezoidal Wing Summary'!$A60)-ROW('Trapezoidal Wing Summary'!$A$45))*100/$F$35),0)</f>
        <v>0</v>
      </c>
      <c r="BH65" s="41">
        <f ca="1">OFFSET('Trapezoidal Wing Summary'!N$45,((ROW('Trapezoidal Wing Summary'!$A60)-ROW('Trapezoidal Wing Summary'!$A$45))*100/$F$35),0)</f>
        <v>0</v>
      </c>
      <c r="BI65" s="41">
        <f ca="1">OFFSET('Trapezoidal Wing Summary'!O$45,((ROW('Trapezoidal Wing Summary'!$A60)-ROW('Trapezoidal Wing Summary'!$A$45))*100/$F$35),0)</f>
        <v>0</v>
      </c>
      <c r="BJ65" s="41">
        <f ca="1">OFFSET('Trapezoidal Wing Summary'!P$45,((ROW('Trapezoidal Wing Summary'!$A60)-ROW('Trapezoidal Wing Summary'!$A$45))*100/$F$35),0)</f>
        <v>0</v>
      </c>
      <c r="BK65" s="41">
        <f ca="1">OFFSET('Trapezoidal Wing Summary'!Q$45,((ROW('Trapezoidal Wing Summary'!$A60)-ROW('Trapezoidal Wing Summary'!$A$45))*100/$F$35),0)</f>
        <v>0</v>
      </c>
      <c r="BL65" s="41">
        <f ca="1">OFFSET('Trapezoidal Wing Summary'!R$45,((ROW('Trapezoidal Wing Summary'!$A60)-ROW('Trapezoidal Wing Summary'!$A$45))*100/$F$35),0)</f>
        <v>10.001934376673582</v>
      </c>
      <c r="BM65" s="41">
        <f ca="1">OFFSET('Trapezoidal Wing Summary'!S$45,((ROW('Trapezoidal Wing Summary'!$A60)-ROW('Trapezoidal Wing Summary'!$A$45))*100/$F$35),0)</f>
        <v>0.84525892114266654</v>
      </c>
      <c r="BN65" s="41">
        <f ca="1">OFFSET('Trapezoidal Wing Summary'!T$45,((ROW('Trapezoidal Wing Summary'!$A60)-ROW('Trapezoidal Wing Summary'!$A$45))*100/$F$35),0)</f>
        <v>0</v>
      </c>
      <c r="BO65" s="41">
        <f ca="1">OFFSET('Trapezoidal Wing Summary'!U$45,((ROW('Trapezoidal Wing Summary'!$A60)-ROW('Trapezoidal Wing Summary'!$A$45))*100/$F$35),0)</f>
        <v>0</v>
      </c>
      <c r="BP65" s="41">
        <f ca="1">OFFSET('Trapezoidal Wing Summary'!V$45,((ROW('Trapezoidal Wing Summary'!$A60)-ROW('Trapezoidal Wing Summary'!$A$45))*100/$F$35),0)</f>
        <v>0</v>
      </c>
      <c r="BQ65" s="41">
        <f ca="1">OFFSET('Trapezoidal Wing Summary'!W$45,((ROW('Trapezoidal Wing Summary'!$A60)-ROW('Trapezoidal Wing Summary'!$A$45))*100/$F$35),0)</f>
        <v>0</v>
      </c>
      <c r="BR65" s="41">
        <f ca="1">OFFSET('Trapezoidal Wing Summary'!X$45,((ROW('Trapezoidal Wing Summary'!$A60)-ROW('Trapezoidal Wing Summary'!$A$45))*100/$F$35),0)</f>
        <v>0</v>
      </c>
      <c r="BS65" s="41">
        <f ca="1">OFFSET('Trapezoidal Wing Summary'!Y$45,((ROW('Trapezoidal Wing Summary'!$A60)-ROW('Trapezoidal Wing Summary'!$A$45))*100/$F$35),0)</f>
        <v>0</v>
      </c>
      <c r="BT65" s="41">
        <f ca="1">OFFSET('Trapezoidal Wing Summary'!Z$45,((ROW('Trapezoidal Wing Summary'!$A60)-ROW('Trapezoidal Wing Summary'!$A$45))*100/$F$35),0)</f>
        <v>0.34082320362625318</v>
      </c>
      <c r="BU65" s="41">
        <f ca="1">OFFSET('Trapezoidal Wing Summary'!AA$45,((ROW('Trapezoidal Wing Summary'!$A60)-ROW('Trapezoidal Wing Summary'!$A$45))*100/$F$35),0)</f>
        <v>0</v>
      </c>
      <c r="BV65" s="41">
        <f ca="1">OFFSET('Trapezoidal Wing Summary'!AB$45,((ROW('Trapezoidal Wing Summary'!$A60)-ROW('Trapezoidal Wing Summary'!$A$45))*100/$F$35),0)</f>
        <v>0</v>
      </c>
      <c r="BW65" s="41">
        <f ca="1">OFFSET('Trapezoidal Wing Summary'!AC$45,((ROW('Trapezoidal Wing Summary'!$A60)-ROW('Trapezoidal Wing Summary'!$A$45))*100/$F$35),0)</f>
        <v>0</v>
      </c>
      <c r="BX65" s="41">
        <f ca="1">OFFSET('Trapezoidal Wing Summary'!AD$45,((ROW('Trapezoidal Wing Summary'!$A60)-ROW('Trapezoidal Wing Summary'!$A$45))*100/$F$35),0)</f>
        <v>2E-3</v>
      </c>
      <c r="BY65" s="41">
        <f ca="1">OFFSET('Trapezoidal Wing Summary'!AE$45,((ROW('Trapezoidal Wing Summary'!$A60)-ROW('Trapezoidal Wing Summary'!$A$45))*100/$F$35),0)</f>
        <v>2E-3</v>
      </c>
      <c r="BZ65" s="41">
        <f ca="1">OFFSET('Trapezoidal Wing Summary'!AF$45,((ROW('Trapezoidal Wing Summary'!$A60)-ROW('Trapezoidal Wing Summary'!$A$45))*100/$F$35),0)</f>
        <v>0</v>
      </c>
      <c r="CA65" s="41">
        <f ca="1">OFFSET('Trapezoidal Wing Summary'!AG$45,((ROW('Trapezoidal Wing Summary'!$A60)-ROW('Trapezoidal Wing Summary'!$A$45))*100/$F$35),0)</f>
        <v>0.34394440077000005</v>
      </c>
      <c r="CB65" s="41">
        <f ca="1">OFFSET('Trapezoidal Wing Summary'!AH$45,((ROW('Trapezoidal Wing Summary'!$A60)-ROW('Trapezoidal Wing Summary'!$A$45))*100/$F$35),0)</f>
        <v>3.8103197272346379E-3</v>
      </c>
      <c r="CC65" s="41">
        <f ca="1">OFFSET('Trapezoidal Wing Summary'!AI$45,((ROW('Trapezoidal Wing Summary'!$A60)-ROW('Trapezoidal Wing Summary'!$A$45))*100/$F$35),0)</f>
        <v>0</v>
      </c>
      <c r="CD65" s="41">
        <f>'REF - ASWING AERO-Imperial'!$R$5</f>
        <v>5.4999999999999997E-3</v>
      </c>
      <c r="CE65" s="41">
        <f>'REF - ASWING AERO-Imperial'!$R$6</f>
        <v>5.4999999999999997E-3</v>
      </c>
      <c r="CF65" s="41">
        <f ca="1">OFFSET('Trapezoidal Wing Summary'!AL$45,((ROW('Trapezoidal Wing Summary'!$A60)-ROW('Trapezoidal Wing Summary'!$A$45))*100/$F$35),0)</f>
        <v>3.8216044530000004</v>
      </c>
      <c r="CG65" s="41">
        <f ca="1">OFFSET('Trapezoidal Wing Summary'!AM$45,((ROW('Trapezoidal Wing Summary'!$A60)-ROW('Trapezoidal Wing Summary'!$A$45))*100/$F$35),0)</f>
        <v>0.25</v>
      </c>
      <c r="CH65" s="41">
        <f ca="1">OFFSET('Trapezoidal Wing Summary'!AN$45,((ROW('Trapezoidal Wing Summary'!$A60)-ROW('Trapezoidal Wing Summary'!$A$45))*100/$F$35),0)</f>
        <v>4.4000000000000004</v>
      </c>
      <c r="CI65" s="41">
        <f ca="1">OFFSET('Trapezoidal Wing Summary'!AO$45,((ROW('Trapezoidal Wing Summary'!$A60)-ROW('Trapezoidal Wing Summary'!$A$45))*100/$F$35),0)</f>
        <v>-0.15</v>
      </c>
      <c r="CJ65" s="41">
        <f ca="1">OFFSET('Trapezoidal Wing Summary'!AP$45,((ROW('Trapezoidal Wing Summary'!$A60)-ROW('Trapezoidal Wing Summary'!$A$45))*100/$F$35),0)</f>
        <v>1.85</v>
      </c>
      <c r="CK65" s="41">
        <f ca="1">OFFSET('Trapezoidal Wing Summary'!AQ$45,((ROW('Trapezoidal Wing Summary'!$A60)-ROW('Trapezoidal Wing Summary'!$A$45))*100/$F$35),0)</f>
        <v>-1.55</v>
      </c>
      <c r="CL65" s="41">
        <f ca="1">OFFSET('Trapezoidal Wing Summary'!AR$45,((ROW('Trapezoidal Wing Summary'!$A60)-ROW('Trapezoidal Wing Summary'!$A$45))*100/$F$35),0)</f>
        <v>5.9690260418206069</v>
      </c>
      <c r="CM65" s="645">
        <f>'ASWING STRUCT'!CM65</f>
        <v>70.999999999999986</v>
      </c>
      <c r="CN65" s="642">
        <f>'ASWING STRUCT'!CN65*3.28084</f>
        <v>10.584361887256</v>
      </c>
      <c r="CO65" s="642">
        <f>'ASWING STRUCT'!CO65*3.28084</f>
        <v>6.9881891999999999</v>
      </c>
      <c r="CP65" s="642">
        <f>'ASWING STRUCT'!CP65*3.28084</f>
        <v>12.850247130368</v>
      </c>
      <c r="CQ65" s="642">
        <f>'ASWING STRUCT'!CQ65</f>
        <v>0</v>
      </c>
      <c r="CR65" s="692">
        <f>'ASWING STRUCT'!CR65*0.224809*3.28084^2</f>
        <v>11201.560857931176</v>
      </c>
      <c r="CS65" s="692">
        <f>'ASWING STRUCT'!CS65*0.224809*3.28084^2</f>
        <v>10186.783611243605</v>
      </c>
      <c r="CT65" s="692">
        <f>'ASWING STRUCT'!CT65*0.224809*3.28084^2</f>
        <v>0</v>
      </c>
      <c r="CU65" s="692">
        <f>'ASWING STRUCT'!CU65*0.224809*3.28084^2</f>
        <v>0</v>
      </c>
      <c r="CV65" s="692">
        <f>'ASWING STRUCT'!CV65*0.224809*3.28084^2</f>
        <v>0</v>
      </c>
      <c r="CW65" s="692">
        <f>'ASWING STRUCT'!CW65*0.224809*3.28084^2</f>
        <v>1179494.3001587039</v>
      </c>
      <c r="CX65" s="642">
        <f>'ASWING STRUCT'!CX65</f>
        <v>0</v>
      </c>
      <c r="CY65" s="642">
        <f>'ASWING STRUCT'!CY65*0.224809</f>
        <v>0</v>
      </c>
      <c r="CZ65" s="642">
        <f>'ASWING STRUCT'!CZ65*0.224809</f>
        <v>0</v>
      </c>
      <c r="DA65" s="642">
        <f>'ASWING STRUCT'!DA65*2.20462*3.28084</f>
        <v>0</v>
      </c>
      <c r="DB65" s="642">
        <f>'ASWING STRUCT'!DB65*2.20462*3.28084</f>
        <v>0</v>
      </c>
      <c r="DC65" s="642">
        <f>'ASWING STRUCT'!DC65*2.20462/3.28084</f>
        <v>1.9110833400429461</v>
      </c>
      <c r="DD65" s="642">
        <f>'ASWING STRUCT'!DD65*3.28084</f>
        <v>0.32204727201404582</v>
      </c>
      <c r="DE65" s="642">
        <f>'ASWING STRUCT'!DE65*3.28084</f>
        <v>0</v>
      </c>
      <c r="DF65" s="642">
        <f>'ASWING STRUCT'!DF65*2.20462*3.28084</f>
        <v>0</v>
      </c>
      <c r="DG65" s="642">
        <f>'ASWING STRUCT'!DG65*2.20462*3.28084</f>
        <v>0</v>
      </c>
      <c r="DH65" s="642">
        <f>'ASWING STRUCT'!DH65*2.20462/3.28084</f>
        <v>0</v>
      </c>
      <c r="DI65" s="642">
        <f>'ASWING STRUCT'!DI65*3.28084</f>
        <v>0</v>
      </c>
      <c r="DJ65" s="642">
        <f>'ASWING STRUCT'!DJ65*3.28084</f>
        <v>0</v>
      </c>
      <c r="DK65" s="642">
        <f>'ASWING STRUCT'!DK65*3.28084</f>
        <v>0.13729463886943288</v>
      </c>
      <c r="DL65" s="642">
        <f>'ASWING STRUCT'!DL65*3.28084</f>
        <v>0</v>
      </c>
      <c r="DM65" s="642">
        <f>'ASWING STRUCT'!DM65*3.28084</f>
        <v>0</v>
      </c>
      <c r="DN65" s="642">
        <f>'ASWING STRUCT'!DN65*3.28084</f>
        <v>0</v>
      </c>
      <c r="DO65" s="642">
        <f>'ASWING STRUCT'!DO65</f>
        <v>2E-3</v>
      </c>
      <c r="DP65" s="642">
        <f>'ASWING STRUCT'!DP65</f>
        <v>2E-3</v>
      </c>
      <c r="DQ65" s="642">
        <f>'ASWING STRUCT'!DQ65*3.28084</f>
        <v>0</v>
      </c>
      <c r="DR65" s="642">
        <f>'ASWING STRUCT'!DR65*3.28084</f>
        <v>0.12903543719999999</v>
      </c>
      <c r="DS65" s="642">
        <f>'ASWING STRUCT'!DS65*3.28084^3</f>
        <v>5.3629398621389004E-4</v>
      </c>
      <c r="DT65" s="642">
        <f>'ASWING STRUCT'!DT65*3.28084</f>
        <v>0</v>
      </c>
      <c r="DU65" s="642">
        <f>'ASWING STRUCT'!DU65</f>
        <v>5.4999999999999997E-3</v>
      </c>
      <c r="DV65" s="642">
        <f>'ASWING STRUCT'!DV65</f>
        <v>5.4999999999999997E-3</v>
      </c>
      <c r="DW65" s="642">
        <f>'ASWING STRUCT'!DW65*3.28084</f>
        <v>1.4337270799999999</v>
      </c>
      <c r="DX65" s="642">
        <f>'ASWING STRUCT'!DX65</f>
        <v>0.25</v>
      </c>
      <c r="DY65" s="642">
        <f>'ASWING STRUCT'!DY65</f>
        <v>5.9</v>
      </c>
      <c r="DZ65" s="642">
        <f>'ASWING STRUCT'!DZ65</f>
        <v>-0.15</v>
      </c>
      <c r="EA65" s="642">
        <f>'ASWING STRUCT'!EA65</f>
        <v>2.25</v>
      </c>
      <c r="EB65" s="642">
        <f>'ASWING STRUCT'!EB65</f>
        <v>-1.65</v>
      </c>
      <c r="EC65" s="641">
        <f>'ASWING STRUCT'!EC65</f>
        <v>5.9690260418206069</v>
      </c>
    </row>
    <row r="66" spans="1:133" x14ac:dyDescent="0.25">
      <c r="A66" t="s">
        <v>904</v>
      </c>
      <c r="B66" s="664">
        <v>0.28704000000000002</v>
      </c>
      <c r="C66" s="665">
        <v>-1.46E-2</v>
      </c>
      <c r="D66" s="665">
        <v>-1.629</v>
      </c>
      <c r="E66" s="670">
        <f>'ASWING STRUCT'!E66* 3.28084</f>
        <v>39.406169239999997</v>
      </c>
      <c r="F66" s="670">
        <f>'ASWING STRUCT'!F66* 3.28084</f>
        <v>5.1181103999999999</v>
      </c>
      <c r="G66" s="670">
        <f>'ASWING STRUCT'!G66* 3.28084</f>
        <v>12.795275999999999</v>
      </c>
      <c r="H66" s="671">
        <f>'ASWING STRUCT'!H66*2.20462</f>
        <v>47.178867999999994</v>
      </c>
      <c r="I66" s="668">
        <v>1</v>
      </c>
      <c r="J66" s="2">
        <v>0</v>
      </c>
      <c r="K66" s="620">
        <v>1</v>
      </c>
      <c r="L66" t="s">
        <v>944</v>
      </c>
      <c r="O66" s="576"/>
      <c r="P66" s="580"/>
      <c r="AU66" s="594"/>
      <c r="AV66" s="574">
        <f ca="1">100*(AX66-$AX$50)/(MAX($AX$50:INDEX(($AX$50:$AX$150),$F$35+1,1))-MIN($AX$50:INDEX(($AX$50:$AX$150),$F$35+1,1)))</f>
        <v>76</v>
      </c>
      <c r="AW66" s="660">
        <f ca="1">OFFSET('Trapezoidal Wing Summary'!C$45,((ROW('Trapezoidal Wing Summary'!$A61)-ROW('Trapezoidal Wing Summary'!$A$45))*100/$F$35),0)+$F$15</f>
        <v>24.213845263031995</v>
      </c>
      <c r="AX66" s="660">
        <f ca="1">OFFSET('Trapezoidal Wing Summary'!D$45,((ROW('Trapezoidal Wing Summary'!$A61)-ROW('Trapezoidal Wing Summary'!$A$45))*100/$F$35),0)+$F$16</f>
        <v>18.28969218632</v>
      </c>
      <c r="AY66" s="660">
        <f ca="1">OFFSET('Trapezoidal Wing Summary'!E$45,((ROW('Trapezoidal Wing Summary'!$A61)-ROW('Trapezoidal Wing Summary'!$A$45))*100/$F$35),0)+$F$17</f>
        <v>8.1686780829199996</v>
      </c>
      <c r="AZ66" s="41">
        <f ca="1">OFFSET('Trapezoidal Wing Summary'!F$45,((ROW('Trapezoidal Wing Summary'!$A61)-ROW('Trapezoidal Wing Summary'!$A$45))*100/$F$35),0)</f>
        <v>0</v>
      </c>
      <c r="BA66" s="41">
        <f ca="1">OFFSET('Trapezoidal Wing Summary'!G$45,((ROW('Trapezoidal Wing Summary'!$A61)-ROW('Trapezoidal Wing Summary'!$A$45))*100/$F$35),0)</f>
        <v>571089.41903928784</v>
      </c>
      <c r="BB66" s="41">
        <f ca="1">OFFSET('Trapezoidal Wing Summary'!H$45,((ROW('Trapezoidal Wing Summary'!$A61)-ROW('Trapezoidal Wing Summary'!$A$45))*100/$F$35),0)</f>
        <v>536762.13937685685</v>
      </c>
      <c r="BC66" s="41">
        <f ca="1">OFFSET('Trapezoidal Wing Summary'!I$45,((ROW('Trapezoidal Wing Summary'!$A61)-ROW('Trapezoidal Wing Summary'!$A$45))*100/$F$35),0)</f>
        <v>0</v>
      </c>
      <c r="BD66" s="41">
        <f ca="1">OFFSET('Trapezoidal Wing Summary'!J$45,((ROW('Trapezoidal Wing Summary'!$A61)-ROW('Trapezoidal Wing Summary'!$A$45))*100/$F$35),0)</f>
        <v>0</v>
      </c>
      <c r="BE66" s="41">
        <f ca="1">OFFSET('Trapezoidal Wing Summary'!K$45,((ROW('Trapezoidal Wing Summary'!$A61)-ROW('Trapezoidal Wing Summary'!$A$45))*100/$F$35),0)</f>
        <v>0</v>
      </c>
      <c r="BF66" s="41">
        <f ca="1">OFFSET('Trapezoidal Wing Summary'!L$45,((ROW('Trapezoidal Wing Summary'!$A61)-ROW('Trapezoidal Wing Summary'!$A$45))*100/$F$35),0)</f>
        <v>20813008.311182722</v>
      </c>
      <c r="BG66" s="41">
        <f ca="1">OFFSET('Trapezoidal Wing Summary'!M$45,((ROW('Trapezoidal Wing Summary'!$A61)-ROW('Trapezoidal Wing Summary'!$A$45))*100/$F$35),0)</f>
        <v>0</v>
      </c>
      <c r="BH66" s="41">
        <f ca="1">OFFSET('Trapezoidal Wing Summary'!N$45,((ROW('Trapezoidal Wing Summary'!$A61)-ROW('Trapezoidal Wing Summary'!$A$45))*100/$F$35),0)</f>
        <v>0</v>
      </c>
      <c r="BI66" s="41">
        <f ca="1">OFFSET('Trapezoidal Wing Summary'!O$45,((ROW('Trapezoidal Wing Summary'!$A61)-ROW('Trapezoidal Wing Summary'!$A$45))*100/$F$35),0)</f>
        <v>0</v>
      </c>
      <c r="BJ66" s="41">
        <f ca="1">OFFSET('Trapezoidal Wing Summary'!P$45,((ROW('Trapezoidal Wing Summary'!$A61)-ROW('Trapezoidal Wing Summary'!$A$45))*100/$F$35),0)</f>
        <v>0</v>
      </c>
      <c r="BK66" s="41">
        <f ca="1">OFFSET('Trapezoidal Wing Summary'!Q$45,((ROW('Trapezoidal Wing Summary'!$A61)-ROW('Trapezoidal Wing Summary'!$A$45))*100/$F$35),0)</f>
        <v>0</v>
      </c>
      <c r="BL66" s="41">
        <f ca="1">OFFSET('Trapezoidal Wing Summary'!R$45,((ROW('Trapezoidal Wing Summary'!$A61)-ROW('Trapezoidal Wing Summary'!$A$45))*100/$F$35),0)</f>
        <v>7.0730658949176117</v>
      </c>
      <c r="BM66" s="41">
        <f ca="1">OFFSET('Trapezoidal Wing Summary'!S$45,((ROW('Trapezoidal Wing Summary'!$A61)-ROW('Trapezoidal Wing Summary'!$A$45))*100/$F$35),0)</f>
        <v>0.81068103656801771</v>
      </c>
      <c r="BN66" s="41">
        <f ca="1">OFFSET('Trapezoidal Wing Summary'!T$45,((ROW('Trapezoidal Wing Summary'!$A61)-ROW('Trapezoidal Wing Summary'!$A$45))*100/$F$35),0)</f>
        <v>0</v>
      </c>
      <c r="BO66" s="41">
        <f ca="1">OFFSET('Trapezoidal Wing Summary'!U$45,((ROW('Trapezoidal Wing Summary'!$A61)-ROW('Trapezoidal Wing Summary'!$A$45))*100/$F$35),0)</f>
        <v>0</v>
      </c>
      <c r="BP66" s="41">
        <f ca="1">OFFSET('Trapezoidal Wing Summary'!V$45,((ROW('Trapezoidal Wing Summary'!$A61)-ROW('Trapezoidal Wing Summary'!$A$45))*100/$F$35),0)</f>
        <v>0</v>
      </c>
      <c r="BQ66" s="41">
        <f ca="1">OFFSET('Trapezoidal Wing Summary'!W$45,((ROW('Trapezoidal Wing Summary'!$A61)-ROW('Trapezoidal Wing Summary'!$A$45))*100/$F$35),0)</f>
        <v>0</v>
      </c>
      <c r="BR66" s="41">
        <f ca="1">OFFSET('Trapezoidal Wing Summary'!X$45,((ROW('Trapezoidal Wing Summary'!$A61)-ROW('Trapezoidal Wing Summary'!$A$45))*100/$F$35),0)</f>
        <v>0</v>
      </c>
      <c r="BS66" s="41">
        <f ca="1">OFFSET('Trapezoidal Wing Summary'!Y$45,((ROW('Trapezoidal Wing Summary'!$A61)-ROW('Trapezoidal Wing Summary'!$A$45))*100/$F$35),0)</f>
        <v>0</v>
      </c>
      <c r="BT66" s="41">
        <f ca="1">OFFSET('Trapezoidal Wing Summary'!Z$45,((ROW('Trapezoidal Wing Summary'!$A61)-ROW('Trapezoidal Wing Summary'!$A$45))*100/$F$35),0)</f>
        <v>0.33284663762854738</v>
      </c>
      <c r="BU66" s="41">
        <f ca="1">OFFSET('Trapezoidal Wing Summary'!AA$45,((ROW('Trapezoidal Wing Summary'!$A61)-ROW('Trapezoidal Wing Summary'!$A$45))*100/$F$35),0)</f>
        <v>0</v>
      </c>
      <c r="BV66" s="41">
        <f ca="1">OFFSET('Trapezoidal Wing Summary'!AB$45,((ROW('Trapezoidal Wing Summary'!$A61)-ROW('Trapezoidal Wing Summary'!$A$45))*100/$F$35),0)</f>
        <v>0</v>
      </c>
      <c r="BW66" s="41">
        <f ca="1">OFFSET('Trapezoidal Wing Summary'!AC$45,((ROW('Trapezoidal Wing Summary'!$A61)-ROW('Trapezoidal Wing Summary'!$A$45))*100/$F$35),0)</f>
        <v>0</v>
      </c>
      <c r="BX66" s="41">
        <f ca="1">OFFSET('Trapezoidal Wing Summary'!AD$45,((ROW('Trapezoidal Wing Summary'!$A61)-ROW('Trapezoidal Wing Summary'!$A$45))*100/$F$35),0)</f>
        <v>2E-3</v>
      </c>
      <c r="BY66" s="41">
        <f ca="1">OFFSET('Trapezoidal Wing Summary'!AE$45,((ROW('Trapezoidal Wing Summary'!$A61)-ROW('Trapezoidal Wing Summary'!$A$45))*100/$F$35),0)</f>
        <v>2E-3</v>
      </c>
      <c r="BZ66" s="41">
        <f ca="1">OFFSET('Trapezoidal Wing Summary'!AF$45,((ROW('Trapezoidal Wing Summary'!$A61)-ROW('Trapezoidal Wing Summary'!$A$45))*100/$F$35),0)</f>
        <v>0</v>
      </c>
      <c r="CA66" s="41">
        <f ca="1">OFFSET('Trapezoidal Wing Summary'!AG$45,((ROW('Trapezoidal Wing Summary'!$A61)-ROW('Trapezoidal Wing Summary'!$A$45))*100/$F$35),0)</f>
        <v>0.33593505012000002</v>
      </c>
      <c r="CB66" s="41">
        <f ca="1">OFFSET('Trapezoidal Wing Summary'!AH$45,((ROW('Trapezoidal Wing Summary'!$A61)-ROW('Trapezoidal Wing Summary'!$A$45))*100/$F$35),0)</f>
        <v>3.6349259608368521E-3</v>
      </c>
      <c r="CC66" s="41">
        <f ca="1">OFFSET('Trapezoidal Wing Summary'!AI$45,((ROW('Trapezoidal Wing Summary'!$A61)-ROW('Trapezoidal Wing Summary'!$A$45))*100/$F$35),0)</f>
        <v>0</v>
      </c>
      <c r="CD66" s="41">
        <f>'REF - ASWING AERO-Imperial'!$R$5</f>
        <v>5.4999999999999997E-3</v>
      </c>
      <c r="CE66" s="41">
        <f>'REF - ASWING AERO-Imperial'!$R$6</f>
        <v>5.4999999999999997E-3</v>
      </c>
      <c r="CF66" s="41">
        <f ca="1">OFFSET('Trapezoidal Wing Summary'!AL$45,((ROW('Trapezoidal Wing Summary'!$A61)-ROW('Trapezoidal Wing Summary'!$A$45))*100/$F$35),0)</f>
        <v>3.7326116680000001</v>
      </c>
      <c r="CG66" s="41">
        <f ca="1">OFFSET('Trapezoidal Wing Summary'!AM$45,((ROW('Trapezoidal Wing Summary'!$A61)-ROW('Trapezoidal Wing Summary'!$A$45))*100/$F$35),0)</f>
        <v>0.25</v>
      </c>
      <c r="CH66" s="41">
        <f ca="1">OFFSET('Trapezoidal Wing Summary'!AN$45,((ROW('Trapezoidal Wing Summary'!$A61)-ROW('Trapezoidal Wing Summary'!$A$45))*100/$F$35),0)</f>
        <v>4.05</v>
      </c>
      <c r="CI66" s="41">
        <f ca="1">OFFSET('Trapezoidal Wing Summary'!AO$45,((ROW('Trapezoidal Wing Summary'!$A61)-ROW('Trapezoidal Wing Summary'!$A$45))*100/$F$35),0)</f>
        <v>-0.15</v>
      </c>
      <c r="CJ66" s="41">
        <f ca="1">OFFSET('Trapezoidal Wing Summary'!AP$45,((ROW('Trapezoidal Wing Summary'!$A61)-ROW('Trapezoidal Wing Summary'!$A$45))*100/$F$35),0)</f>
        <v>1.85</v>
      </c>
      <c r="CK66" s="41">
        <f ca="1">OFFSET('Trapezoidal Wing Summary'!AQ$45,((ROW('Trapezoidal Wing Summary'!$A61)-ROW('Trapezoidal Wing Summary'!$A$45))*100/$F$35),0)</f>
        <v>-1.55</v>
      </c>
      <c r="CL66" s="41">
        <f ca="1">OFFSET('Trapezoidal Wing Summary'!AR$45,((ROW('Trapezoidal Wing Summary'!$A61)-ROW('Trapezoidal Wing Summary'!$A$45))*100/$F$35),0)</f>
        <v>5.9690260418206069</v>
      </c>
      <c r="CM66" s="645">
        <f>'ASWING STRUCT'!CM66</f>
        <v>76.000000000000014</v>
      </c>
      <c r="CN66" s="642">
        <f>'ASWING STRUCT'!CN66*3.28084</f>
        <v>10.596665037255999</v>
      </c>
      <c r="CO66" s="642">
        <f>'ASWING STRUCT'!CO66*3.28084</f>
        <v>7.4803152000000006</v>
      </c>
      <c r="CP66" s="642">
        <f>'ASWING STRUCT'!CP66*3.28084</f>
        <v>12.850247130368</v>
      </c>
      <c r="CQ66" s="642">
        <f>'ASWING STRUCT'!CQ66</f>
        <v>0</v>
      </c>
      <c r="CR66" s="692">
        <f>'ASWING STRUCT'!CR66*0.224809*3.28084^2</f>
        <v>10200.566276295767</v>
      </c>
      <c r="CS66" s="692">
        <f>'ASWING STRUCT'!CS66*0.224809*3.28084^2</f>
        <v>9499.4641676120482</v>
      </c>
      <c r="CT66" s="692">
        <f>'ASWING STRUCT'!CT66*0.224809*3.28084^2</f>
        <v>0</v>
      </c>
      <c r="CU66" s="692">
        <f>'ASWING STRUCT'!CU66*0.224809*3.28084^2</f>
        <v>0</v>
      </c>
      <c r="CV66" s="692">
        <f>'ASWING STRUCT'!CV66*0.224809*3.28084^2</f>
        <v>0</v>
      </c>
      <c r="CW66" s="692">
        <f>'ASWING STRUCT'!CW66*0.224809*3.28084^2</f>
        <v>1062157.4228291458</v>
      </c>
      <c r="CX66" s="642">
        <f>'ASWING STRUCT'!CX66</f>
        <v>0</v>
      </c>
      <c r="CY66" s="642">
        <f>'ASWING STRUCT'!CY66*0.224809</f>
        <v>0</v>
      </c>
      <c r="CZ66" s="642">
        <f>'ASWING STRUCT'!CZ66*0.224809</f>
        <v>0</v>
      </c>
      <c r="DA66" s="642">
        <f>'ASWING STRUCT'!DA66*2.20462*3.28084</f>
        <v>0</v>
      </c>
      <c r="DB66" s="642">
        <f>'ASWING STRUCT'!DB66*2.20462*3.28084</f>
        <v>0</v>
      </c>
      <c r="DC66" s="642">
        <f>'ASWING STRUCT'!DC66*2.20462/3.28084</f>
        <v>1.847724327022342</v>
      </c>
      <c r="DD66" s="642">
        <f>'ASWING STRUCT'!DD66*3.28084</f>
        <v>0.31057318185556837</v>
      </c>
      <c r="DE66" s="642">
        <f>'ASWING STRUCT'!DE66*3.28084</f>
        <v>0</v>
      </c>
      <c r="DF66" s="642">
        <f>'ASWING STRUCT'!DF66*2.20462*3.28084</f>
        <v>0</v>
      </c>
      <c r="DG66" s="642">
        <f>'ASWING STRUCT'!DG66*2.20462*3.28084</f>
        <v>0</v>
      </c>
      <c r="DH66" s="642">
        <f>'ASWING STRUCT'!DH66*2.20462/3.28084</f>
        <v>0</v>
      </c>
      <c r="DI66" s="642">
        <f>'ASWING STRUCT'!DI66*3.28084</f>
        <v>0</v>
      </c>
      <c r="DJ66" s="642">
        <f>'ASWING STRUCT'!DJ66*3.28084</f>
        <v>0</v>
      </c>
      <c r="DK66" s="642">
        <f>'ASWING STRUCT'!DK66*3.28084</f>
        <v>0.1337449504325236</v>
      </c>
      <c r="DL66" s="642">
        <f>'ASWING STRUCT'!DL66*3.28084</f>
        <v>0</v>
      </c>
      <c r="DM66" s="642">
        <f>'ASWING STRUCT'!DM66*3.28084</f>
        <v>0</v>
      </c>
      <c r="DN66" s="642">
        <f>'ASWING STRUCT'!DN66*3.28084</f>
        <v>0</v>
      </c>
      <c r="DO66" s="642">
        <f>'ASWING STRUCT'!DO66</f>
        <v>2E-3</v>
      </c>
      <c r="DP66" s="642">
        <f>'ASWING STRUCT'!DP66</f>
        <v>2E-3</v>
      </c>
      <c r="DQ66" s="642">
        <f>'ASWING STRUCT'!DQ66*3.28084</f>
        <v>0</v>
      </c>
      <c r="DR66" s="642">
        <f>'ASWING STRUCT'!DR66*3.28084</f>
        <v>0.1246063032</v>
      </c>
      <c r="DS66" s="642">
        <f>'ASWING STRUCT'!DS66*3.28084^3</f>
        <v>5.0010932790617529E-4</v>
      </c>
      <c r="DT66" s="642">
        <f>'ASWING STRUCT'!DT66*3.28084</f>
        <v>0</v>
      </c>
      <c r="DU66" s="642">
        <f>'ASWING STRUCT'!DU66</f>
        <v>5.4999999999999997E-3</v>
      </c>
      <c r="DV66" s="642">
        <f>'ASWING STRUCT'!DV66</f>
        <v>5.4999999999999997E-3</v>
      </c>
      <c r="DW66" s="642">
        <f>'ASWING STRUCT'!DW66*3.28084</f>
        <v>1.38451448</v>
      </c>
      <c r="DX66" s="642">
        <f>'ASWING STRUCT'!DX66</f>
        <v>0.25</v>
      </c>
      <c r="DY66" s="642">
        <f>'ASWING STRUCT'!DY66</f>
        <v>5.9</v>
      </c>
      <c r="DZ66" s="642">
        <f>'ASWING STRUCT'!DZ66</f>
        <v>-0.15</v>
      </c>
      <c r="EA66" s="642">
        <f>'ASWING STRUCT'!EA66</f>
        <v>2.25</v>
      </c>
      <c r="EB66" s="642">
        <f>'ASWING STRUCT'!EB66</f>
        <v>-1.65</v>
      </c>
      <c r="EC66" s="641">
        <f>'ASWING STRUCT'!EC66</f>
        <v>5.9690260418206069</v>
      </c>
    </row>
    <row r="67" spans="1:133" x14ac:dyDescent="0.25">
      <c r="A67" t="s">
        <v>905</v>
      </c>
      <c r="B67" s="664">
        <v>0.70022799999999996</v>
      </c>
      <c r="C67" s="665">
        <v>-1.46E-2</v>
      </c>
      <c r="D67" s="665">
        <v>-1.629</v>
      </c>
      <c r="E67" s="670">
        <f>'ASWING STRUCT'!E67* 3.28084</f>
        <v>40.104988159999998</v>
      </c>
      <c r="F67" s="670">
        <f>'ASWING STRUCT'!F67* 3.28084</f>
        <v>15.124672400000001</v>
      </c>
      <c r="G67" s="670">
        <f>'ASWING STRUCT'!G67* 3.28084</f>
        <v>12.139108</v>
      </c>
      <c r="H67" s="671">
        <f>'ASWING STRUCT'!H67*2.20462</f>
        <v>47.178867999999994</v>
      </c>
      <c r="I67" s="668">
        <v>1</v>
      </c>
      <c r="J67" s="2">
        <v>0</v>
      </c>
      <c r="K67" s="620">
        <v>2</v>
      </c>
      <c r="L67" t="s">
        <v>880</v>
      </c>
      <c r="O67" s="576"/>
      <c r="P67" s="580"/>
      <c r="AU67" s="594"/>
      <c r="AV67" s="574">
        <f ca="1">100*(AX67-$AX$50)/(MAX($AX$50:INDEX(($AX$50:$AX$150),$F$35+1,1))-MIN($AX$50:INDEX(($AX$50:$AX$150),$F$35+1,1)))</f>
        <v>80.000000000000014</v>
      </c>
      <c r="AW67" s="660">
        <f ca="1">OFFSET('Trapezoidal Wing Summary'!C$45,((ROW('Trapezoidal Wing Summary'!$A62)-ROW('Trapezoidal Wing Summary'!$A$45))*100/$F$35),0)+$F$15</f>
        <v>24.231643820031998</v>
      </c>
      <c r="AX67" s="660">
        <f ca="1">OFFSET('Trapezoidal Wing Summary'!D$45,((ROW('Trapezoidal Wing Summary'!$A62)-ROW('Trapezoidal Wing Summary'!$A$45))*100/$F$35),0)+$F$16</f>
        <v>19.252946810320001</v>
      </c>
      <c r="AY67" s="660">
        <f ca="1">OFFSET('Trapezoidal Wing Summary'!E$45,((ROW('Trapezoidal Wing Summary'!$A62)-ROW('Trapezoidal Wing Summary'!$A$45))*100/$F$35),0)+$F$17</f>
        <v>8.1686780829199996</v>
      </c>
      <c r="AZ67" s="41">
        <f ca="1">OFFSET('Trapezoidal Wing Summary'!F$45,((ROW('Trapezoidal Wing Summary'!$A62)-ROW('Trapezoidal Wing Summary'!$A$45))*100/$F$35),0)</f>
        <v>0</v>
      </c>
      <c r="BA67" s="41">
        <f ca="1">OFFSET('Trapezoidal Wing Summary'!G$45,((ROW('Trapezoidal Wing Summary'!$A62)-ROW('Trapezoidal Wing Summary'!$A$45))*100/$F$35),0)</f>
        <v>247126.71760001045</v>
      </c>
      <c r="BB67" s="41">
        <f ca="1">OFFSET('Trapezoidal Wing Summary'!H$45,((ROW('Trapezoidal Wing Summary'!$A62)-ROW('Trapezoidal Wing Summary'!$A$45))*100/$F$35),0)</f>
        <v>225786.78849734511</v>
      </c>
      <c r="BC67" s="41">
        <f ca="1">OFFSET('Trapezoidal Wing Summary'!I$45,((ROW('Trapezoidal Wing Summary'!$A62)-ROW('Trapezoidal Wing Summary'!$A$45))*100/$F$35),0)</f>
        <v>0</v>
      </c>
      <c r="BD67" s="41">
        <f ca="1">OFFSET('Trapezoidal Wing Summary'!J$45,((ROW('Trapezoidal Wing Summary'!$A62)-ROW('Trapezoidal Wing Summary'!$A$45))*100/$F$35),0)</f>
        <v>0</v>
      </c>
      <c r="BE67" s="41">
        <f ca="1">OFFSET('Trapezoidal Wing Summary'!K$45,((ROW('Trapezoidal Wing Summary'!$A62)-ROW('Trapezoidal Wing Summary'!$A$45))*100/$F$35),0)</f>
        <v>0</v>
      </c>
      <c r="BF67" s="41">
        <f ca="1">OFFSET('Trapezoidal Wing Summary'!L$45,((ROW('Trapezoidal Wing Summary'!$A62)-ROW('Trapezoidal Wing Summary'!$A$45))*100/$F$35),0)</f>
        <v>19644644.192567337</v>
      </c>
      <c r="BG67" s="41">
        <f ca="1">OFFSET('Trapezoidal Wing Summary'!M$45,((ROW('Trapezoidal Wing Summary'!$A62)-ROW('Trapezoidal Wing Summary'!$A$45))*100/$F$35),0)</f>
        <v>0</v>
      </c>
      <c r="BH67" s="41">
        <f ca="1">OFFSET('Trapezoidal Wing Summary'!N$45,((ROW('Trapezoidal Wing Summary'!$A62)-ROW('Trapezoidal Wing Summary'!$A$45))*100/$F$35),0)</f>
        <v>0</v>
      </c>
      <c r="BI67" s="41">
        <f ca="1">OFFSET('Trapezoidal Wing Summary'!O$45,((ROW('Trapezoidal Wing Summary'!$A62)-ROW('Trapezoidal Wing Summary'!$A$45))*100/$F$35),0)</f>
        <v>0</v>
      </c>
      <c r="BJ67" s="41">
        <f ca="1">OFFSET('Trapezoidal Wing Summary'!P$45,((ROW('Trapezoidal Wing Summary'!$A62)-ROW('Trapezoidal Wing Summary'!$A$45))*100/$F$35),0)</f>
        <v>0</v>
      </c>
      <c r="BK67" s="41">
        <f ca="1">OFFSET('Trapezoidal Wing Summary'!Q$45,((ROW('Trapezoidal Wing Summary'!$A62)-ROW('Trapezoidal Wing Summary'!$A$45))*100/$F$35),0)</f>
        <v>0</v>
      </c>
      <c r="BL67" s="41">
        <f ca="1">OFFSET('Trapezoidal Wing Summary'!R$45,((ROW('Trapezoidal Wing Summary'!$A62)-ROW('Trapezoidal Wing Summary'!$A$45))*100/$F$35),0)</f>
        <v>6.6845640321097735</v>
      </c>
      <c r="BM67" s="41">
        <f ca="1">OFFSET('Trapezoidal Wing Summary'!S$45,((ROW('Trapezoidal Wing Summary'!$A62)-ROW('Trapezoidal Wing Summary'!$A$45))*100/$F$35),0)</f>
        <v>0.82494004777868379</v>
      </c>
      <c r="BN67" s="41">
        <f ca="1">OFFSET('Trapezoidal Wing Summary'!T$45,((ROW('Trapezoidal Wing Summary'!$A62)-ROW('Trapezoidal Wing Summary'!$A$45))*100/$F$35),0)</f>
        <v>0</v>
      </c>
      <c r="BO67" s="41">
        <f ca="1">OFFSET('Trapezoidal Wing Summary'!U$45,((ROW('Trapezoidal Wing Summary'!$A62)-ROW('Trapezoidal Wing Summary'!$A$45))*100/$F$35),0)</f>
        <v>0</v>
      </c>
      <c r="BP67" s="41">
        <f ca="1">OFFSET('Trapezoidal Wing Summary'!V$45,((ROW('Trapezoidal Wing Summary'!$A62)-ROW('Trapezoidal Wing Summary'!$A$45))*100/$F$35),0)</f>
        <v>0</v>
      </c>
      <c r="BQ67" s="41">
        <f ca="1">OFFSET('Trapezoidal Wing Summary'!W$45,((ROW('Trapezoidal Wing Summary'!$A62)-ROW('Trapezoidal Wing Summary'!$A$45))*100/$F$35),0)</f>
        <v>0</v>
      </c>
      <c r="BR67" s="41">
        <f ca="1">OFFSET('Trapezoidal Wing Summary'!X$45,((ROW('Trapezoidal Wing Summary'!$A62)-ROW('Trapezoidal Wing Summary'!$A$45))*100/$F$35),0)</f>
        <v>0</v>
      </c>
      <c r="BS67" s="41">
        <f ca="1">OFFSET('Trapezoidal Wing Summary'!Y$45,((ROW('Trapezoidal Wing Summary'!$A62)-ROW('Trapezoidal Wing Summary'!$A$45))*100/$F$35),0)</f>
        <v>0</v>
      </c>
      <c r="BT67" s="41">
        <f ca="1">OFFSET('Trapezoidal Wing Summary'!Z$45,((ROW('Trapezoidal Wing Summary'!$A62)-ROW('Trapezoidal Wing Summary'!$A$45))*100/$F$35),0)</f>
        <v>0.32646539390607976</v>
      </c>
      <c r="BU67" s="41">
        <f ca="1">OFFSET('Trapezoidal Wing Summary'!AA$45,((ROW('Trapezoidal Wing Summary'!$A62)-ROW('Trapezoidal Wing Summary'!$A$45))*100/$F$35),0)</f>
        <v>0</v>
      </c>
      <c r="BV67" s="41">
        <f ca="1">OFFSET('Trapezoidal Wing Summary'!AB$45,((ROW('Trapezoidal Wing Summary'!$A62)-ROW('Trapezoidal Wing Summary'!$A$45))*100/$F$35),0)</f>
        <v>0</v>
      </c>
      <c r="BW67" s="41">
        <f ca="1">OFFSET('Trapezoidal Wing Summary'!AC$45,((ROW('Trapezoidal Wing Summary'!$A62)-ROW('Trapezoidal Wing Summary'!$A$45))*100/$F$35),0)</f>
        <v>0</v>
      </c>
      <c r="BX67" s="41">
        <f ca="1">OFFSET('Trapezoidal Wing Summary'!AD$45,((ROW('Trapezoidal Wing Summary'!$A62)-ROW('Trapezoidal Wing Summary'!$A$45))*100/$F$35),0)</f>
        <v>2E-3</v>
      </c>
      <c r="BY67" s="41">
        <f ca="1">OFFSET('Trapezoidal Wing Summary'!AE$45,((ROW('Trapezoidal Wing Summary'!$A62)-ROW('Trapezoidal Wing Summary'!$A$45))*100/$F$35),0)</f>
        <v>2E-3</v>
      </c>
      <c r="BZ67" s="41">
        <f ca="1">OFFSET('Trapezoidal Wing Summary'!AF$45,((ROW('Trapezoidal Wing Summary'!$A62)-ROW('Trapezoidal Wing Summary'!$A$45))*100/$F$35),0)</f>
        <v>0</v>
      </c>
      <c r="CA67" s="41">
        <f ca="1">OFFSET('Trapezoidal Wing Summary'!AG$45,((ROW('Trapezoidal Wing Summary'!$A62)-ROW('Trapezoidal Wing Summary'!$A$45))*100/$F$35),0)</f>
        <v>0.32952756960000001</v>
      </c>
      <c r="CB67" s="41">
        <f ca="1">OFFSET('Trapezoidal Wing Summary'!AH$45,((ROW('Trapezoidal Wing Summary'!$A62)-ROW('Trapezoidal Wing Summary'!$A$45))*100/$F$35),0)</f>
        <v>3.4975863249742446E-3</v>
      </c>
      <c r="CC67" s="41">
        <f ca="1">OFFSET('Trapezoidal Wing Summary'!AI$45,((ROW('Trapezoidal Wing Summary'!$A62)-ROW('Trapezoidal Wing Summary'!$A$45))*100/$F$35),0)</f>
        <v>0</v>
      </c>
      <c r="CD67" s="41">
        <f>'REF - ASWING AERO-Imperial'!$R$5</f>
        <v>5.4999999999999997E-3</v>
      </c>
      <c r="CE67" s="41">
        <f>'REF - ASWING AERO-Imperial'!$R$6</f>
        <v>5.4999999999999997E-3</v>
      </c>
      <c r="CF67" s="41">
        <f ca="1">OFFSET('Trapezoidal Wing Summary'!AL$45,((ROW('Trapezoidal Wing Summary'!$A62)-ROW('Trapezoidal Wing Summary'!$A$45))*100/$F$35),0)</f>
        <v>3.6614174400000001</v>
      </c>
      <c r="CG67" s="41">
        <f ca="1">OFFSET('Trapezoidal Wing Summary'!AM$45,((ROW('Trapezoidal Wing Summary'!$A62)-ROW('Trapezoidal Wing Summary'!$A$45))*100/$F$35),0)</f>
        <v>0.25</v>
      </c>
      <c r="CH67" s="41">
        <f ca="1">OFFSET('Trapezoidal Wing Summary'!AN$45,((ROW('Trapezoidal Wing Summary'!$A62)-ROW('Trapezoidal Wing Summary'!$A$45))*100/$F$35),0)</f>
        <v>4.05</v>
      </c>
      <c r="CI67" s="41">
        <f ca="1">OFFSET('Trapezoidal Wing Summary'!AO$45,((ROW('Trapezoidal Wing Summary'!$A62)-ROW('Trapezoidal Wing Summary'!$A$45))*100/$F$35),0)</f>
        <v>-0.15</v>
      </c>
      <c r="CJ67" s="41">
        <f ca="1">OFFSET('Trapezoidal Wing Summary'!AP$45,((ROW('Trapezoidal Wing Summary'!$A62)-ROW('Trapezoidal Wing Summary'!$A$45))*100/$F$35),0)</f>
        <v>1.85</v>
      </c>
      <c r="CK67" s="41">
        <f ca="1">OFFSET('Trapezoidal Wing Summary'!AQ$45,((ROW('Trapezoidal Wing Summary'!$A62)-ROW('Trapezoidal Wing Summary'!$A$45))*100/$F$35),0)</f>
        <v>-1.55</v>
      </c>
      <c r="CL67" s="41">
        <f ca="1">OFFSET('Trapezoidal Wing Summary'!AR$45,((ROW('Trapezoidal Wing Summary'!$A62)-ROW('Trapezoidal Wing Summary'!$A$45))*100/$F$35),0)</f>
        <v>5.9690260418206069</v>
      </c>
      <c r="CM67" s="645">
        <f>'ASWING STRUCT'!CM67</f>
        <v>80.000000000000014</v>
      </c>
      <c r="CN67" s="642">
        <f>'ASWING STRUCT'!CN67*3.28084</f>
        <v>10.606507557256</v>
      </c>
      <c r="CO67" s="642">
        <f>'ASWING STRUCT'!CO67*3.28084</f>
        <v>7.874016000000001</v>
      </c>
      <c r="CP67" s="642">
        <f>'ASWING STRUCT'!CP67*3.28084</f>
        <v>12.850247130368</v>
      </c>
      <c r="CQ67" s="642">
        <f>'ASWING STRUCT'!CQ67</f>
        <v>0</v>
      </c>
      <c r="CR67" s="692">
        <f>'ASWING STRUCT'!CR67*0.224809*3.28084^2</f>
        <v>4359.7158875942441</v>
      </c>
      <c r="CS67" s="692">
        <f>'ASWING STRUCT'!CS67*0.224809*3.28084^2</f>
        <v>3973.6439994101229</v>
      </c>
      <c r="CT67" s="692">
        <f>'ASWING STRUCT'!CT67*0.224809*3.28084^2</f>
        <v>0</v>
      </c>
      <c r="CU67" s="692">
        <f>'ASWING STRUCT'!CU67*0.224809*3.28084^2</f>
        <v>0</v>
      </c>
      <c r="CV67" s="692">
        <f>'ASWING STRUCT'!CV67*0.224809*3.28084^2</f>
        <v>0</v>
      </c>
      <c r="CW67" s="692">
        <f>'ASWING STRUCT'!CW67*0.224809*3.28084^2</f>
        <v>974099.01854196552</v>
      </c>
      <c r="CX67" s="642">
        <f>'ASWING STRUCT'!CX67</f>
        <v>0</v>
      </c>
      <c r="CY67" s="642">
        <f>'ASWING STRUCT'!CY67*0.224809</f>
        <v>0</v>
      </c>
      <c r="CZ67" s="642">
        <f>'ASWING STRUCT'!CZ67*0.224809</f>
        <v>0</v>
      </c>
      <c r="DA67" s="642">
        <f>'ASWING STRUCT'!DA67*2.20462*3.28084</f>
        <v>0</v>
      </c>
      <c r="DB67" s="642">
        <f>'ASWING STRUCT'!DB67*2.20462*3.28084</f>
        <v>0</v>
      </c>
      <c r="DC67" s="642">
        <f>'ASWING STRUCT'!DC67*2.20462/3.28084</f>
        <v>1.7637665218232768</v>
      </c>
      <c r="DD67" s="642">
        <f>'ASWING STRUCT'!DD67*3.28084</f>
        <v>0.30702248756971862</v>
      </c>
      <c r="DE67" s="642">
        <f>'ASWING STRUCT'!DE67*3.28084</f>
        <v>0</v>
      </c>
      <c r="DF67" s="642">
        <f>'ASWING STRUCT'!DF67*2.20462*3.28084</f>
        <v>0</v>
      </c>
      <c r="DG67" s="642">
        <f>'ASWING STRUCT'!DG67*2.20462*3.28084</f>
        <v>0</v>
      </c>
      <c r="DH67" s="642">
        <f>'ASWING STRUCT'!DH67*2.20462/3.28084</f>
        <v>0</v>
      </c>
      <c r="DI67" s="642">
        <f>'ASWING STRUCT'!DI67*3.28084</f>
        <v>0</v>
      </c>
      <c r="DJ67" s="642">
        <f>'ASWING STRUCT'!DJ67*3.28084</f>
        <v>0</v>
      </c>
      <c r="DK67" s="642">
        <f>'ASWING STRUCT'!DK67*3.28084</f>
        <v>0.13093270561121628</v>
      </c>
      <c r="DL67" s="642">
        <f>'ASWING STRUCT'!DL67*3.28084</f>
        <v>0</v>
      </c>
      <c r="DM67" s="642">
        <f>'ASWING STRUCT'!DM67*3.28084</f>
        <v>0</v>
      </c>
      <c r="DN67" s="642">
        <f>'ASWING STRUCT'!DN67*3.28084</f>
        <v>0</v>
      </c>
      <c r="DO67" s="642">
        <f>'ASWING STRUCT'!DO67</f>
        <v>2E-3</v>
      </c>
      <c r="DP67" s="642">
        <f>'ASWING STRUCT'!DP67</f>
        <v>2E-3</v>
      </c>
      <c r="DQ67" s="642">
        <f>'ASWING STRUCT'!DQ67*3.28084</f>
        <v>0</v>
      </c>
      <c r="DR67" s="642">
        <f>'ASWING STRUCT'!DR67*3.28084</f>
        <v>0.12106299599999998</v>
      </c>
      <c r="DS67" s="642">
        <f>'ASWING STRUCT'!DS67*3.28084^3</f>
        <v>4.7207148323840471E-4</v>
      </c>
      <c r="DT67" s="642">
        <f>'ASWING STRUCT'!DT67*3.28084</f>
        <v>0</v>
      </c>
      <c r="DU67" s="642">
        <f>'ASWING STRUCT'!DU67</f>
        <v>5.4999999999999997E-3</v>
      </c>
      <c r="DV67" s="642">
        <f>'ASWING STRUCT'!DV67</f>
        <v>5.4999999999999997E-3</v>
      </c>
      <c r="DW67" s="642">
        <f>'ASWING STRUCT'!DW67*3.28084</f>
        <v>1.3451443999999999</v>
      </c>
      <c r="DX67" s="642">
        <f>'ASWING STRUCT'!DX67</f>
        <v>0.25</v>
      </c>
      <c r="DY67" s="642">
        <f>'ASWING STRUCT'!DY67</f>
        <v>5.9</v>
      </c>
      <c r="DZ67" s="642">
        <f>'ASWING STRUCT'!DZ67</f>
        <v>-0.15</v>
      </c>
      <c r="EA67" s="642">
        <f>'ASWING STRUCT'!EA67</f>
        <v>2.25</v>
      </c>
      <c r="EB67" s="642">
        <f>'ASWING STRUCT'!EB67</f>
        <v>-1.65</v>
      </c>
      <c r="EC67" s="641">
        <f>'ASWING STRUCT'!EC67</f>
        <v>5.9690260418206069</v>
      </c>
    </row>
    <row r="68" spans="1:133" x14ac:dyDescent="0.25">
      <c r="A68" t="s">
        <v>906</v>
      </c>
      <c r="B68" s="664">
        <v>1.129232</v>
      </c>
      <c r="C68" s="665">
        <v>-1.46E-2</v>
      </c>
      <c r="D68" s="665">
        <v>-1.629</v>
      </c>
      <c r="E68" s="670">
        <f>'ASWING STRUCT'!E68* 3.28084</f>
        <v>45.246064439999998</v>
      </c>
      <c r="F68" s="670">
        <f>'ASWING STRUCT'!F68* 3.28084</f>
        <v>-5.1181103999999999</v>
      </c>
      <c r="G68" s="670">
        <f>'ASWING STRUCT'!G68* 3.28084</f>
        <v>12.795275999999999</v>
      </c>
      <c r="H68" s="671">
        <f>'ASWING STRUCT'!H68*2.20462</f>
        <v>60.627049999999997</v>
      </c>
      <c r="I68" s="668">
        <v>1</v>
      </c>
      <c r="J68" s="2">
        <v>0</v>
      </c>
      <c r="K68" s="620">
        <v>3</v>
      </c>
      <c r="L68" t="s">
        <v>945</v>
      </c>
      <c r="O68" s="576"/>
      <c r="P68" s="580"/>
      <c r="AU68" s="594"/>
      <c r="AV68" s="574">
        <f ca="1">100*(AX68-$AX$50)/(MAX($AX$50:INDEX(($AX$50:$AX$150),$F$35+1,1))-MIN($AX$50:INDEX(($AX$50:$AX$150),$F$35+1,1)))</f>
        <v>85</v>
      </c>
      <c r="AW68" s="660">
        <f ca="1">OFFSET('Trapezoidal Wing Summary'!C$45,((ROW('Trapezoidal Wing Summary'!$A63)-ROW('Trapezoidal Wing Summary'!$A$45))*100/$F$35),0)+$F$15</f>
        <v>24.253892016281998</v>
      </c>
      <c r="AX68" s="660">
        <f ca="1">OFFSET('Trapezoidal Wing Summary'!D$45,((ROW('Trapezoidal Wing Summary'!$A63)-ROW('Trapezoidal Wing Summary'!$A$45))*100/$F$35),0)+$F$16</f>
        <v>20.457015090319999</v>
      </c>
      <c r="AY68" s="660">
        <f ca="1">OFFSET('Trapezoidal Wing Summary'!E$45,((ROW('Trapezoidal Wing Summary'!$A63)-ROW('Trapezoidal Wing Summary'!$A$45))*100/$F$35),0)+$F$17</f>
        <v>8.1686780829199996</v>
      </c>
      <c r="AZ68" s="41">
        <f ca="1">OFFSET('Trapezoidal Wing Summary'!F$45,((ROW('Trapezoidal Wing Summary'!$A63)-ROW('Trapezoidal Wing Summary'!$A$45))*100/$F$35),0)</f>
        <v>0</v>
      </c>
      <c r="BA68" s="41">
        <f ca="1">OFFSET('Trapezoidal Wing Summary'!G$45,((ROW('Trapezoidal Wing Summary'!$A63)-ROW('Trapezoidal Wing Summary'!$A$45))*100/$F$35),0)</f>
        <v>231485.55381767431</v>
      </c>
      <c r="BB68" s="41">
        <f ca="1">OFFSET('Trapezoidal Wing Summary'!H$45,((ROW('Trapezoidal Wing Summary'!$A63)-ROW('Trapezoidal Wing Summary'!$A$45))*100/$F$35),0)</f>
        <v>214944.427644421</v>
      </c>
      <c r="BC68" s="41">
        <f ca="1">OFFSET('Trapezoidal Wing Summary'!I$45,((ROW('Trapezoidal Wing Summary'!$A63)-ROW('Trapezoidal Wing Summary'!$A$45))*100/$F$35),0)</f>
        <v>0</v>
      </c>
      <c r="BD68" s="41">
        <f ca="1">OFFSET('Trapezoidal Wing Summary'!J$45,((ROW('Trapezoidal Wing Summary'!$A63)-ROW('Trapezoidal Wing Summary'!$A$45))*100/$F$35),0)</f>
        <v>0</v>
      </c>
      <c r="BE68" s="41">
        <f ca="1">OFFSET('Trapezoidal Wing Summary'!K$45,((ROW('Trapezoidal Wing Summary'!$A63)-ROW('Trapezoidal Wing Summary'!$A$45))*100/$F$35),0)</f>
        <v>0</v>
      </c>
      <c r="BF68" s="41">
        <f ca="1">OFFSET('Trapezoidal Wing Summary'!L$45,((ROW('Trapezoidal Wing Summary'!$A63)-ROW('Trapezoidal Wing Summary'!$A$45))*100/$F$35),0)</f>
        <v>18246755.959471643</v>
      </c>
      <c r="BG68" s="41">
        <f ca="1">OFFSET('Trapezoidal Wing Summary'!M$45,((ROW('Trapezoidal Wing Summary'!$A63)-ROW('Trapezoidal Wing Summary'!$A$45))*100/$F$35),0)</f>
        <v>0</v>
      </c>
      <c r="BH68" s="41">
        <f ca="1">OFFSET('Trapezoidal Wing Summary'!N$45,((ROW('Trapezoidal Wing Summary'!$A63)-ROW('Trapezoidal Wing Summary'!$A$45))*100/$F$35),0)</f>
        <v>0</v>
      </c>
      <c r="BI68" s="41">
        <f ca="1">OFFSET('Trapezoidal Wing Summary'!O$45,((ROW('Trapezoidal Wing Summary'!$A63)-ROW('Trapezoidal Wing Summary'!$A$45))*100/$F$35),0)</f>
        <v>0</v>
      </c>
      <c r="BJ68" s="41">
        <f ca="1">OFFSET('Trapezoidal Wing Summary'!P$45,((ROW('Trapezoidal Wing Summary'!$A63)-ROW('Trapezoidal Wing Summary'!$A$45))*100/$F$35),0)</f>
        <v>0</v>
      </c>
      <c r="BK68" s="41">
        <f ca="1">OFFSET('Trapezoidal Wing Summary'!Q$45,((ROW('Trapezoidal Wing Summary'!$A63)-ROW('Trapezoidal Wing Summary'!$A$45))*100/$F$35),0)</f>
        <v>0</v>
      </c>
      <c r="BL68" s="41">
        <f ca="1">OFFSET('Trapezoidal Wing Summary'!R$45,((ROW('Trapezoidal Wing Summary'!$A63)-ROW('Trapezoidal Wing Summary'!$A$45))*100/$F$35),0)</f>
        <v>6.5272533329455831</v>
      </c>
      <c r="BM68" s="41">
        <f ca="1">OFFSET('Trapezoidal Wing Summary'!S$45,((ROW('Trapezoidal Wing Summary'!$A63)-ROW('Trapezoidal Wing Summary'!$A$45))*100/$F$35),0)</f>
        <v>0.80420124839175433</v>
      </c>
      <c r="BN68" s="41">
        <f ca="1">OFFSET('Trapezoidal Wing Summary'!T$45,((ROW('Trapezoidal Wing Summary'!$A63)-ROW('Trapezoidal Wing Summary'!$A$45))*100/$F$35),0)</f>
        <v>0</v>
      </c>
      <c r="BO68" s="41">
        <f ca="1">OFFSET('Trapezoidal Wing Summary'!U$45,((ROW('Trapezoidal Wing Summary'!$A63)-ROW('Trapezoidal Wing Summary'!$A$45))*100/$F$35),0)</f>
        <v>0</v>
      </c>
      <c r="BP68" s="41">
        <f ca="1">OFFSET('Trapezoidal Wing Summary'!V$45,((ROW('Trapezoidal Wing Summary'!$A63)-ROW('Trapezoidal Wing Summary'!$A$45))*100/$F$35),0)</f>
        <v>0</v>
      </c>
      <c r="BQ68" s="41">
        <f ca="1">OFFSET('Trapezoidal Wing Summary'!W$45,((ROW('Trapezoidal Wing Summary'!$A63)-ROW('Trapezoidal Wing Summary'!$A$45))*100/$F$35),0)</f>
        <v>0</v>
      </c>
      <c r="BR68" s="41">
        <f ca="1">OFFSET('Trapezoidal Wing Summary'!X$45,((ROW('Trapezoidal Wing Summary'!$A63)-ROW('Trapezoidal Wing Summary'!$A$45))*100/$F$35),0)</f>
        <v>0</v>
      </c>
      <c r="BS68" s="41">
        <f ca="1">OFFSET('Trapezoidal Wing Summary'!Y$45,((ROW('Trapezoidal Wing Summary'!$A63)-ROW('Trapezoidal Wing Summary'!$A$45))*100/$F$35),0)</f>
        <v>0</v>
      </c>
      <c r="BT68" s="41">
        <f ca="1">OFFSET('Trapezoidal Wing Summary'!Z$45,((ROW('Trapezoidal Wing Summary'!$A63)-ROW('Trapezoidal Wing Summary'!$A$45))*100/$F$35),0)</f>
        <v>0.31848916339319377</v>
      </c>
      <c r="BU68" s="41">
        <f ca="1">OFFSET('Trapezoidal Wing Summary'!AA$45,((ROW('Trapezoidal Wing Summary'!$A63)-ROW('Trapezoidal Wing Summary'!$A$45))*100/$F$35),0)</f>
        <v>0</v>
      </c>
      <c r="BV68" s="41">
        <f ca="1">OFFSET('Trapezoidal Wing Summary'!AB$45,((ROW('Trapezoidal Wing Summary'!$A63)-ROW('Trapezoidal Wing Summary'!$A$45))*100/$F$35),0)</f>
        <v>0</v>
      </c>
      <c r="BW68" s="41">
        <f ca="1">OFFSET('Trapezoidal Wing Summary'!AC$45,((ROW('Trapezoidal Wing Summary'!$A63)-ROW('Trapezoidal Wing Summary'!$A$45))*100/$F$35),0)</f>
        <v>0</v>
      </c>
      <c r="BX68" s="41">
        <f ca="1">OFFSET('Trapezoidal Wing Summary'!AD$45,((ROW('Trapezoidal Wing Summary'!$A63)-ROW('Trapezoidal Wing Summary'!$A$45))*100/$F$35),0)</f>
        <v>2E-3</v>
      </c>
      <c r="BY68" s="41">
        <f ca="1">OFFSET('Trapezoidal Wing Summary'!AE$45,((ROW('Trapezoidal Wing Summary'!$A63)-ROW('Trapezoidal Wing Summary'!$A$45))*100/$F$35),0)</f>
        <v>2E-3</v>
      </c>
      <c r="BZ68" s="41">
        <f ca="1">OFFSET('Trapezoidal Wing Summary'!AF$45,((ROW('Trapezoidal Wing Summary'!$A63)-ROW('Trapezoidal Wing Summary'!$A$45))*100/$F$35),0)</f>
        <v>0</v>
      </c>
      <c r="CA68" s="41">
        <f ca="1">OFFSET('Trapezoidal Wing Summary'!AG$45,((ROW('Trapezoidal Wing Summary'!$A63)-ROW('Trapezoidal Wing Summary'!$A$45))*100/$F$35),0)</f>
        <v>0.32151821894999999</v>
      </c>
      <c r="CB68" s="41">
        <f ca="1">OFFSET('Trapezoidal Wing Summary'!AH$45,((ROW('Trapezoidal Wing Summary'!$A63)-ROW('Trapezoidal Wing Summary'!$A$45))*100/$F$35),0)</f>
        <v>3.3296310017155114E-3</v>
      </c>
      <c r="CC68" s="41">
        <f ca="1">OFFSET('Trapezoidal Wing Summary'!AI$45,((ROW('Trapezoidal Wing Summary'!$A63)-ROW('Trapezoidal Wing Summary'!$A$45))*100/$F$35),0)</f>
        <v>0</v>
      </c>
      <c r="CD68" s="41">
        <f>'REF - ASWING AERO-Imperial'!$R$5</f>
        <v>5.4999999999999997E-3</v>
      </c>
      <c r="CE68" s="41">
        <f>'REF - ASWING AERO-Imperial'!$R$6</f>
        <v>5.4999999999999997E-3</v>
      </c>
      <c r="CF68" s="41">
        <f ca="1">OFFSET('Trapezoidal Wing Summary'!AL$45,((ROW('Trapezoidal Wing Summary'!$A63)-ROW('Trapezoidal Wing Summary'!$A$45))*100/$F$35),0)</f>
        <v>3.5724246550000003</v>
      </c>
      <c r="CG68" s="41">
        <f ca="1">OFFSET('Trapezoidal Wing Summary'!AM$45,((ROW('Trapezoidal Wing Summary'!$A63)-ROW('Trapezoidal Wing Summary'!$A$45))*100/$F$35),0)</f>
        <v>0.25</v>
      </c>
      <c r="CH68" s="41">
        <f ca="1">OFFSET('Trapezoidal Wing Summary'!AN$45,((ROW('Trapezoidal Wing Summary'!$A63)-ROW('Trapezoidal Wing Summary'!$A$45))*100/$F$35),0)</f>
        <v>3.35</v>
      </c>
      <c r="CI68" s="41">
        <f ca="1">OFFSET('Trapezoidal Wing Summary'!AO$45,((ROW('Trapezoidal Wing Summary'!$A63)-ROW('Trapezoidal Wing Summary'!$A$45))*100/$F$35),0)</f>
        <v>-0.15</v>
      </c>
      <c r="CJ68" s="41">
        <f ca="1">OFFSET('Trapezoidal Wing Summary'!AP$45,((ROW('Trapezoidal Wing Summary'!$A63)-ROW('Trapezoidal Wing Summary'!$A$45))*100/$F$35),0)</f>
        <v>1.85</v>
      </c>
      <c r="CK68" s="41">
        <f ca="1">OFFSET('Trapezoidal Wing Summary'!AQ$45,((ROW('Trapezoidal Wing Summary'!$A63)-ROW('Trapezoidal Wing Summary'!$A$45))*100/$F$35),0)</f>
        <v>-1.55</v>
      </c>
      <c r="CL68" s="41">
        <f ca="1">OFFSET('Trapezoidal Wing Summary'!AR$45,((ROW('Trapezoidal Wing Summary'!$A63)-ROW('Trapezoidal Wing Summary'!$A$45))*100/$F$35),0)</f>
        <v>5.9690260418206069</v>
      </c>
      <c r="CM68" s="645">
        <f>'ASWING STRUCT'!CM68</f>
        <v>85</v>
      </c>
      <c r="CN68" s="642">
        <f>'ASWING STRUCT'!CN68*3.28084</f>
        <v>10.618810707255999</v>
      </c>
      <c r="CO68" s="642">
        <f>'ASWING STRUCT'!CO68*3.28084</f>
        <v>8.366142</v>
      </c>
      <c r="CP68" s="642">
        <f>'ASWING STRUCT'!CP68*3.28084</f>
        <v>12.850247130368</v>
      </c>
      <c r="CQ68" s="642">
        <f>'ASWING STRUCT'!CQ68</f>
        <v>0</v>
      </c>
      <c r="CR68" s="692">
        <f>'ASWING STRUCT'!CR68*0.224809*3.28084^2</f>
        <v>3948.4460695851094</v>
      </c>
      <c r="CS68" s="692">
        <f>'ASWING STRUCT'!CS68*0.224809*3.28084^2</f>
        <v>3688.2082391907456</v>
      </c>
      <c r="CT68" s="692">
        <f>'ASWING STRUCT'!CT68*0.224809*3.28084^2</f>
        <v>0</v>
      </c>
      <c r="CU68" s="692">
        <f>'ASWING STRUCT'!CU68*0.224809*3.28084^2</f>
        <v>0</v>
      </c>
      <c r="CV68" s="692">
        <f>'ASWING STRUCT'!CV68*0.224809*3.28084^2</f>
        <v>0</v>
      </c>
      <c r="CW68" s="692">
        <f>'ASWING STRUCT'!CW68*0.224809*3.28084^2</f>
        <v>871049.47331530321</v>
      </c>
      <c r="CX68" s="642">
        <f>'ASWING STRUCT'!CX68</f>
        <v>0</v>
      </c>
      <c r="CY68" s="642">
        <f>'ASWING STRUCT'!CY68*0.224809</f>
        <v>0</v>
      </c>
      <c r="CZ68" s="642">
        <f>'ASWING STRUCT'!CZ68*0.224809</f>
        <v>0</v>
      </c>
      <c r="DA68" s="642">
        <f>'ASWING STRUCT'!DA68*2.20462*3.28084</f>
        <v>0</v>
      </c>
      <c r="DB68" s="642">
        <f>'ASWING STRUCT'!DB68*2.20462*3.28084</f>
        <v>0</v>
      </c>
      <c r="DC68" s="642">
        <f>'ASWING STRUCT'!DC68*2.20462/3.28084</f>
        <v>1.7004075088026731</v>
      </c>
      <c r="DD68" s="642">
        <f>'ASWING STRUCT'!DD68*3.28084</f>
        <v>0.29553920383000321</v>
      </c>
      <c r="DE68" s="642">
        <f>'ASWING STRUCT'!DE68*3.28084</f>
        <v>0</v>
      </c>
      <c r="DF68" s="642">
        <f>'ASWING STRUCT'!DF68*2.20462*3.28084</f>
        <v>0</v>
      </c>
      <c r="DG68" s="642">
        <f>'ASWING STRUCT'!DG68*2.20462*3.28084</f>
        <v>0</v>
      </c>
      <c r="DH68" s="642">
        <f>'ASWING STRUCT'!DH68*2.20462/3.28084</f>
        <v>0</v>
      </c>
      <c r="DI68" s="642">
        <f>'ASWING STRUCT'!DI68*3.28084</f>
        <v>0</v>
      </c>
      <c r="DJ68" s="642">
        <f>'ASWING STRUCT'!DJ68*3.28084</f>
        <v>0</v>
      </c>
      <c r="DK68" s="642">
        <f>'ASWING STRUCT'!DK68*3.28084</f>
        <v>0.12745025404887023</v>
      </c>
      <c r="DL68" s="642">
        <f>'ASWING STRUCT'!DL68*3.28084</f>
        <v>0</v>
      </c>
      <c r="DM68" s="642">
        <f>'ASWING STRUCT'!DM68*3.28084</f>
        <v>0</v>
      </c>
      <c r="DN68" s="642">
        <f>'ASWING STRUCT'!DN68*3.28084</f>
        <v>0</v>
      </c>
      <c r="DO68" s="642">
        <f>'ASWING STRUCT'!DO68</f>
        <v>2E-3</v>
      </c>
      <c r="DP68" s="642">
        <f>'ASWING STRUCT'!DP68</f>
        <v>2E-3</v>
      </c>
      <c r="DQ68" s="642">
        <f>'ASWING STRUCT'!DQ68*3.28084</f>
        <v>0</v>
      </c>
      <c r="DR68" s="642">
        <f>'ASWING STRUCT'!DR68*3.28084</f>
        <v>0.11663386199999999</v>
      </c>
      <c r="DS68" s="642">
        <f>'ASWING STRUCT'!DS68*3.28084^3</f>
        <v>4.3816152987669299E-4</v>
      </c>
      <c r="DT68" s="642">
        <f>'ASWING STRUCT'!DT68*3.28084</f>
        <v>0</v>
      </c>
      <c r="DU68" s="642">
        <f>'ASWING STRUCT'!DU68</f>
        <v>5.4999999999999997E-3</v>
      </c>
      <c r="DV68" s="642">
        <f>'ASWING STRUCT'!DV68</f>
        <v>5.4999999999999997E-3</v>
      </c>
      <c r="DW68" s="642">
        <f>'ASWING STRUCT'!DW68*3.28084</f>
        <v>1.2959318</v>
      </c>
      <c r="DX68" s="642">
        <f>'ASWING STRUCT'!DX68</f>
        <v>0.25</v>
      </c>
      <c r="DY68" s="642">
        <f>'ASWING STRUCT'!DY68</f>
        <v>5.9</v>
      </c>
      <c r="DZ68" s="642">
        <f>'ASWING STRUCT'!DZ68</f>
        <v>-0.15</v>
      </c>
      <c r="EA68" s="642">
        <f>'ASWING STRUCT'!EA68</f>
        <v>2.25</v>
      </c>
      <c r="EB68" s="642">
        <f>'ASWING STRUCT'!EB68</f>
        <v>-1.65</v>
      </c>
      <c r="EC68" s="641">
        <f>'ASWING STRUCT'!EC68</f>
        <v>5.9690260418206069</v>
      </c>
    </row>
    <row r="69" spans="1:133" x14ac:dyDescent="0.25">
      <c r="A69" t="s">
        <v>907</v>
      </c>
      <c r="B69" s="664">
        <v>1.54535</v>
      </c>
      <c r="C69" s="665">
        <v>-1.46E-2</v>
      </c>
      <c r="D69" s="665">
        <v>-1.629</v>
      </c>
      <c r="E69" s="670">
        <f>'ASWING STRUCT'!E69* 3.28084</f>
        <v>45.246064439999998</v>
      </c>
      <c r="F69" s="670">
        <f>'ASWING STRUCT'!F69* 3.28084</f>
        <v>5.1181103999999999</v>
      </c>
      <c r="G69" s="670">
        <f>'ASWING STRUCT'!G69* 3.28084</f>
        <v>12.795275999999999</v>
      </c>
      <c r="H69" s="671">
        <f>'ASWING STRUCT'!H69*2.20462</f>
        <v>60.627049999999997</v>
      </c>
      <c r="I69" s="668">
        <v>1</v>
      </c>
      <c r="J69" s="2">
        <v>0</v>
      </c>
      <c r="K69" s="620">
        <v>4</v>
      </c>
      <c r="L69" t="s">
        <v>946</v>
      </c>
      <c r="O69" s="576"/>
      <c r="P69" s="580"/>
      <c r="AU69" s="594"/>
      <c r="AV69" s="574">
        <f ca="1">100*(AX69-$AX$50)/(MAX($AX$50:INDEX(($AX$50:$AX$150),$F$35+1,1))-MIN($AX$50:INDEX(($AX$50:$AX$150),$F$35+1,1)))</f>
        <v>90.000000000000014</v>
      </c>
      <c r="AW69" s="660">
        <f ca="1">OFFSET('Trapezoidal Wing Summary'!C$45,((ROW('Trapezoidal Wing Summary'!$A64)-ROW('Trapezoidal Wing Summary'!$A$45))*100/$F$35),0)+$F$15</f>
        <v>24.276140212531995</v>
      </c>
      <c r="AX69" s="660">
        <f ca="1">OFFSET('Trapezoidal Wing Summary'!D$45,((ROW('Trapezoidal Wing Summary'!$A64)-ROW('Trapezoidal Wing Summary'!$A$45))*100/$F$35),0)+$F$16</f>
        <v>21.66108337032</v>
      </c>
      <c r="AY69" s="660">
        <f ca="1">OFFSET('Trapezoidal Wing Summary'!E$45,((ROW('Trapezoidal Wing Summary'!$A64)-ROW('Trapezoidal Wing Summary'!$A$45))*100/$F$35),0)+$F$17</f>
        <v>8.1686780829199996</v>
      </c>
      <c r="AZ69" s="41">
        <f ca="1">OFFSET('Trapezoidal Wing Summary'!F$45,((ROW('Trapezoidal Wing Summary'!$A64)-ROW('Trapezoidal Wing Summary'!$A$45))*100/$F$35),0)</f>
        <v>0</v>
      </c>
      <c r="BA69" s="41">
        <f ca="1">OFFSET('Trapezoidal Wing Summary'!G$45,((ROW('Trapezoidal Wing Summary'!$A64)-ROW('Trapezoidal Wing Summary'!$A$45))*100/$F$35),0)</f>
        <v>55325.841767042592</v>
      </c>
      <c r="BB69" s="41">
        <f ca="1">OFFSET('Trapezoidal Wing Summary'!H$45,((ROW('Trapezoidal Wing Summary'!$A64)-ROW('Trapezoidal Wing Summary'!$A$45))*100/$F$35),0)</f>
        <v>50140.954902205878</v>
      </c>
      <c r="BC69" s="41">
        <f ca="1">OFFSET('Trapezoidal Wing Summary'!I$45,((ROW('Trapezoidal Wing Summary'!$A64)-ROW('Trapezoidal Wing Summary'!$A$45))*100/$F$35),0)</f>
        <v>0</v>
      </c>
      <c r="BD69" s="41">
        <f ca="1">OFFSET('Trapezoidal Wing Summary'!J$45,((ROW('Trapezoidal Wing Summary'!$A64)-ROW('Trapezoidal Wing Summary'!$A$45))*100/$F$35),0)</f>
        <v>0</v>
      </c>
      <c r="BE69" s="41">
        <f ca="1">OFFSET('Trapezoidal Wing Summary'!K$45,((ROW('Trapezoidal Wing Summary'!$A64)-ROW('Trapezoidal Wing Summary'!$A$45))*100/$F$35),0)</f>
        <v>0</v>
      </c>
      <c r="BF69" s="41">
        <f ca="1">OFFSET('Trapezoidal Wing Summary'!L$45,((ROW('Trapezoidal Wing Summary'!$A64)-ROW('Trapezoidal Wing Summary'!$A$45))*100/$F$35),0)</f>
        <v>16916806.914735857</v>
      </c>
      <c r="BG69" s="41">
        <f ca="1">OFFSET('Trapezoidal Wing Summary'!M$45,((ROW('Trapezoidal Wing Summary'!$A64)-ROW('Trapezoidal Wing Summary'!$A$45))*100/$F$35),0)</f>
        <v>0</v>
      </c>
      <c r="BH69" s="41">
        <f ca="1">OFFSET('Trapezoidal Wing Summary'!N$45,((ROW('Trapezoidal Wing Summary'!$A64)-ROW('Trapezoidal Wing Summary'!$A$45))*100/$F$35),0)</f>
        <v>0</v>
      </c>
      <c r="BI69" s="41">
        <f ca="1">OFFSET('Trapezoidal Wing Summary'!O$45,((ROW('Trapezoidal Wing Summary'!$A64)-ROW('Trapezoidal Wing Summary'!$A$45))*100/$F$35),0)</f>
        <v>0</v>
      </c>
      <c r="BJ69" s="41">
        <f ca="1">OFFSET('Trapezoidal Wing Summary'!P$45,((ROW('Trapezoidal Wing Summary'!$A64)-ROW('Trapezoidal Wing Summary'!$A$45))*100/$F$35),0)</f>
        <v>0</v>
      </c>
      <c r="BK69" s="41">
        <f ca="1">OFFSET('Trapezoidal Wing Summary'!Q$45,((ROW('Trapezoidal Wing Summary'!$A64)-ROW('Trapezoidal Wing Summary'!$A$45))*100/$F$35),0)</f>
        <v>0</v>
      </c>
      <c r="BL69" s="41">
        <f ca="1">OFFSET('Trapezoidal Wing Summary'!R$45,((ROW('Trapezoidal Wing Summary'!$A64)-ROW('Trapezoidal Wing Summary'!$A$45))*100/$F$35),0)</f>
        <v>6.2205273513144776</v>
      </c>
      <c r="BM69" s="41">
        <f ca="1">OFFSET('Trapezoidal Wing Summary'!S$45,((ROW('Trapezoidal Wing Summary'!$A64)-ROW('Trapezoidal Wing Summary'!$A$45))*100/$F$35),0)</f>
        <v>0.8020377349162009</v>
      </c>
      <c r="BN69" s="41">
        <f ca="1">OFFSET('Trapezoidal Wing Summary'!T$45,((ROW('Trapezoidal Wing Summary'!$A64)-ROW('Trapezoidal Wing Summary'!$A$45))*100/$F$35),0)</f>
        <v>0</v>
      </c>
      <c r="BO69" s="41">
        <f ca="1">OFFSET('Trapezoidal Wing Summary'!U$45,((ROW('Trapezoidal Wing Summary'!$A64)-ROW('Trapezoidal Wing Summary'!$A$45))*100/$F$35),0)</f>
        <v>0</v>
      </c>
      <c r="BP69" s="41">
        <f ca="1">OFFSET('Trapezoidal Wing Summary'!V$45,((ROW('Trapezoidal Wing Summary'!$A64)-ROW('Trapezoidal Wing Summary'!$A$45))*100/$F$35),0)</f>
        <v>0</v>
      </c>
      <c r="BQ69" s="41">
        <f ca="1">OFFSET('Trapezoidal Wing Summary'!W$45,((ROW('Trapezoidal Wing Summary'!$A64)-ROW('Trapezoidal Wing Summary'!$A$45))*100/$F$35),0)</f>
        <v>0</v>
      </c>
      <c r="BR69" s="41">
        <f ca="1">OFFSET('Trapezoidal Wing Summary'!X$45,((ROW('Trapezoidal Wing Summary'!$A64)-ROW('Trapezoidal Wing Summary'!$A$45))*100/$F$35),0)</f>
        <v>0</v>
      </c>
      <c r="BS69" s="41">
        <f ca="1">OFFSET('Trapezoidal Wing Summary'!Y$45,((ROW('Trapezoidal Wing Summary'!$A64)-ROW('Trapezoidal Wing Summary'!$A$45))*100/$F$35),0)</f>
        <v>0</v>
      </c>
      <c r="BT69" s="41">
        <f ca="1">OFFSET('Trapezoidal Wing Summary'!Z$45,((ROW('Trapezoidal Wing Summary'!$A64)-ROW('Trapezoidal Wing Summary'!$A$45))*100/$F$35),0)</f>
        <v>0.31051396256722397</v>
      </c>
      <c r="BU69" s="41">
        <f ca="1">OFFSET('Trapezoidal Wing Summary'!AA$45,((ROW('Trapezoidal Wing Summary'!$A64)-ROW('Trapezoidal Wing Summary'!$A$45))*100/$F$35),0)</f>
        <v>0</v>
      </c>
      <c r="BV69" s="41">
        <f ca="1">OFFSET('Trapezoidal Wing Summary'!AB$45,((ROW('Trapezoidal Wing Summary'!$A64)-ROW('Trapezoidal Wing Summary'!$A$45))*100/$F$35),0)</f>
        <v>0</v>
      </c>
      <c r="BW69" s="41">
        <f ca="1">OFFSET('Trapezoidal Wing Summary'!AC$45,((ROW('Trapezoidal Wing Summary'!$A64)-ROW('Trapezoidal Wing Summary'!$A$45))*100/$F$35),0)</f>
        <v>0</v>
      </c>
      <c r="BX69" s="41">
        <f ca="1">OFFSET('Trapezoidal Wing Summary'!AD$45,((ROW('Trapezoidal Wing Summary'!$A64)-ROW('Trapezoidal Wing Summary'!$A$45))*100/$F$35),0)</f>
        <v>2E-3</v>
      </c>
      <c r="BY69" s="41">
        <f ca="1">OFFSET('Trapezoidal Wing Summary'!AE$45,((ROW('Trapezoidal Wing Summary'!$A64)-ROW('Trapezoidal Wing Summary'!$A$45))*100/$F$35),0)</f>
        <v>2E-3</v>
      </c>
      <c r="BZ69" s="41">
        <f ca="1">OFFSET('Trapezoidal Wing Summary'!AF$45,((ROW('Trapezoidal Wing Summary'!$A64)-ROW('Trapezoidal Wing Summary'!$A$45))*100/$F$35),0)</f>
        <v>0</v>
      </c>
      <c r="CA69" s="41">
        <f ca="1">OFFSET('Trapezoidal Wing Summary'!AG$45,((ROW('Trapezoidal Wing Summary'!$A64)-ROW('Trapezoidal Wing Summary'!$A$45))*100/$F$35),0)</f>
        <v>0.31350886830000002</v>
      </c>
      <c r="CB69" s="41">
        <f ca="1">OFFSET('Trapezoidal Wing Summary'!AH$45,((ROW('Trapezoidal Wing Summary'!$A64)-ROW('Trapezoidal Wing Summary'!$A$45))*100/$F$35),0)</f>
        <v>3.1658081468673624E-3</v>
      </c>
      <c r="CC69" s="41">
        <f ca="1">OFFSET('Trapezoidal Wing Summary'!AI$45,((ROW('Trapezoidal Wing Summary'!$A64)-ROW('Trapezoidal Wing Summary'!$A$45))*100/$F$35),0)</f>
        <v>0</v>
      </c>
      <c r="CD69" s="41">
        <f>'REF - ASWING AERO-Imperial'!$R$5</f>
        <v>5.4999999999999997E-3</v>
      </c>
      <c r="CE69" s="41">
        <f>'REF - ASWING AERO-Imperial'!$R$6</f>
        <v>5.4999999999999997E-3</v>
      </c>
      <c r="CF69" s="41">
        <f ca="1">OFFSET('Trapezoidal Wing Summary'!AL$45,((ROW('Trapezoidal Wing Summary'!$A64)-ROW('Trapezoidal Wing Summary'!$A$45))*100/$F$35),0)</f>
        <v>3.4834318700000004</v>
      </c>
      <c r="CG69" s="41">
        <f ca="1">OFFSET('Trapezoidal Wing Summary'!AM$45,((ROW('Trapezoidal Wing Summary'!$A64)-ROW('Trapezoidal Wing Summary'!$A$45))*100/$F$35),0)</f>
        <v>0.25</v>
      </c>
      <c r="CH69" s="41">
        <f ca="1">OFFSET('Trapezoidal Wing Summary'!AN$45,((ROW('Trapezoidal Wing Summary'!$A64)-ROW('Trapezoidal Wing Summary'!$A$45))*100/$F$35),0)</f>
        <v>3.1</v>
      </c>
      <c r="CI69" s="41">
        <f ca="1">OFFSET('Trapezoidal Wing Summary'!AO$45,((ROW('Trapezoidal Wing Summary'!$A64)-ROW('Trapezoidal Wing Summary'!$A$45))*100/$F$35),0)</f>
        <v>-0.15</v>
      </c>
      <c r="CJ69" s="41">
        <f ca="1">OFFSET('Trapezoidal Wing Summary'!AP$45,((ROW('Trapezoidal Wing Summary'!$A64)-ROW('Trapezoidal Wing Summary'!$A$45))*100/$F$35),0)</f>
        <v>1.85</v>
      </c>
      <c r="CK69" s="41">
        <f ca="1">OFFSET('Trapezoidal Wing Summary'!AQ$45,((ROW('Trapezoidal Wing Summary'!$A64)-ROW('Trapezoidal Wing Summary'!$A$45))*100/$F$35),0)</f>
        <v>-1.55</v>
      </c>
      <c r="CL69" s="41">
        <f ca="1">OFFSET('Trapezoidal Wing Summary'!AR$45,((ROW('Trapezoidal Wing Summary'!$A64)-ROW('Trapezoidal Wing Summary'!$A$45))*100/$F$35),0)</f>
        <v>5.9690260418206069</v>
      </c>
      <c r="CM69" s="645">
        <f>'ASWING STRUCT'!CM69</f>
        <v>90</v>
      </c>
      <c r="CN69" s="642">
        <f>'ASWING STRUCT'!CN69*3.28084</f>
        <v>10.631113857255999</v>
      </c>
      <c r="CO69" s="642">
        <f>'ASWING STRUCT'!CO69*3.28084</f>
        <v>8.8582680000000007</v>
      </c>
      <c r="CP69" s="642">
        <f>'ASWING STRUCT'!CP69*3.28084</f>
        <v>12.850247130368</v>
      </c>
      <c r="CQ69" s="642">
        <f>'ASWING STRUCT'!CQ69</f>
        <v>0</v>
      </c>
      <c r="CR69" s="692">
        <f>'ASWING STRUCT'!CR69*0.224809*3.28084^2</f>
        <v>922.7748770895646</v>
      </c>
      <c r="CS69" s="692">
        <f>'ASWING STRUCT'!CS69*0.224809*3.28084^2</f>
        <v>847.99515895470142</v>
      </c>
      <c r="CT69" s="692">
        <f>'ASWING STRUCT'!CT69*0.224809*3.28084^2</f>
        <v>0</v>
      </c>
      <c r="CU69" s="692">
        <f>'ASWING STRUCT'!CU69*0.224809*3.28084^2</f>
        <v>0</v>
      </c>
      <c r="CV69" s="692">
        <f>'ASWING STRUCT'!CV69*0.224809*3.28084^2</f>
        <v>0</v>
      </c>
      <c r="CW69" s="692">
        <f>'ASWING STRUCT'!CW69*0.224809*3.28084^2</f>
        <v>775536.64841535548</v>
      </c>
      <c r="CX69" s="642">
        <f>'ASWING STRUCT'!CX69</f>
        <v>0</v>
      </c>
      <c r="CY69" s="642">
        <f>'ASWING STRUCT'!CY69*0.224809</f>
        <v>0</v>
      </c>
      <c r="CZ69" s="642">
        <f>'ASWING STRUCT'!CZ69*0.224809</f>
        <v>0</v>
      </c>
      <c r="DA69" s="642">
        <f>'ASWING STRUCT'!DA69*2.20462*3.28084</f>
        <v>0</v>
      </c>
      <c r="DB69" s="642">
        <f>'ASWING STRUCT'!DB69*2.20462*3.28084</f>
        <v>0</v>
      </c>
      <c r="DC69" s="642">
        <f>'ASWING STRUCT'!DC69*2.20462/3.28084</f>
        <v>1.6176657823356217</v>
      </c>
      <c r="DD69" s="642">
        <f>'ASWING STRUCT'!DD69*3.28084</f>
        <v>0.28742642090017806</v>
      </c>
      <c r="DE69" s="642">
        <f>'ASWING STRUCT'!DE69*3.28084</f>
        <v>0</v>
      </c>
      <c r="DF69" s="642">
        <f>'ASWING STRUCT'!DF69*2.20462*3.28084</f>
        <v>0</v>
      </c>
      <c r="DG69" s="642">
        <f>'ASWING STRUCT'!DG69*2.20462*3.28084</f>
        <v>0</v>
      </c>
      <c r="DH69" s="642">
        <f>'ASWING STRUCT'!DH69*2.20462/3.28084</f>
        <v>0</v>
      </c>
      <c r="DI69" s="642">
        <f>'ASWING STRUCT'!DI69*3.28084</f>
        <v>0</v>
      </c>
      <c r="DJ69" s="642">
        <f>'ASWING STRUCT'!DJ69*3.28084</f>
        <v>0</v>
      </c>
      <c r="DK69" s="642">
        <f>'ASWING STRUCT'!DK69*3.28084</f>
        <v>0.12400209159378711</v>
      </c>
      <c r="DL69" s="642">
        <f>'ASWING STRUCT'!DL69*3.28084</f>
        <v>0</v>
      </c>
      <c r="DM69" s="642">
        <f>'ASWING STRUCT'!DM69*3.28084</f>
        <v>0</v>
      </c>
      <c r="DN69" s="642">
        <f>'ASWING STRUCT'!DN69*3.28084</f>
        <v>0</v>
      </c>
      <c r="DO69" s="642">
        <f>'ASWING STRUCT'!DO69</f>
        <v>2E-3</v>
      </c>
      <c r="DP69" s="642">
        <f>'ASWING STRUCT'!DP69</f>
        <v>2E-3</v>
      </c>
      <c r="DQ69" s="642">
        <f>'ASWING STRUCT'!DQ69*3.28084</f>
        <v>0</v>
      </c>
      <c r="DR69" s="642">
        <f>'ASWING STRUCT'!DR69*3.28084</f>
        <v>0.112204728</v>
      </c>
      <c r="DS69" s="642">
        <f>'ASWING STRUCT'!DS69*3.28084^3</f>
        <v>4.0551530148498298E-4</v>
      </c>
      <c r="DT69" s="642">
        <f>'ASWING STRUCT'!DT69*3.28084</f>
        <v>0</v>
      </c>
      <c r="DU69" s="642">
        <f>'ASWING STRUCT'!DU69</f>
        <v>5.4999999999999997E-3</v>
      </c>
      <c r="DV69" s="642">
        <f>'ASWING STRUCT'!DV69</f>
        <v>5.4999999999999997E-3</v>
      </c>
      <c r="DW69" s="642">
        <f>'ASWING STRUCT'!DW69*3.28084</f>
        <v>1.2467192</v>
      </c>
      <c r="DX69" s="642">
        <f>'ASWING STRUCT'!DX69</f>
        <v>0.25</v>
      </c>
      <c r="DY69" s="642">
        <f>'ASWING STRUCT'!DY69</f>
        <v>5.9</v>
      </c>
      <c r="DZ69" s="642">
        <f>'ASWING STRUCT'!DZ69</f>
        <v>-0.15</v>
      </c>
      <c r="EA69" s="642">
        <f>'ASWING STRUCT'!EA69</f>
        <v>2.25</v>
      </c>
      <c r="EB69" s="642">
        <f>'ASWING STRUCT'!EB69</f>
        <v>-1.65</v>
      </c>
      <c r="EC69" s="641">
        <f>'ASWING STRUCT'!EC69</f>
        <v>5.9690260418206069</v>
      </c>
    </row>
    <row r="70" spans="1:133" x14ac:dyDescent="0.25">
      <c r="A70" t="s">
        <v>908</v>
      </c>
      <c r="B70" s="664">
        <v>1.990928</v>
      </c>
      <c r="C70" s="665">
        <v>-1.46E-2</v>
      </c>
      <c r="D70" s="665">
        <v>-1.629</v>
      </c>
      <c r="E70" s="670">
        <f>'ASWING STRUCT'!E70* 3.28084</f>
        <v>26.494221964912281</v>
      </c>
      <c r="F70" s="670">
        <f>'ASWING STRUCT'!F70* 3.28084</f>
        <v>7.8488995215310997E-2</v>
      </c>
      <c r="G70" s="670">
        <f>'ASWING STRUCT'!G70* 3.28084</f>
        <v>10.166941180223287</v>
      </c>
      <c r="H70" s="671" t="e">
        <f>'ASWING STRUCT'!#REF!*2.20462</f>
        <v>#REF!</v>
      </c>
      <c r="I70" s="668">
        <v>1</v>
      </c>
      <c r="J70" s="2">
        <v>0</v>
      </c>
      <c r="K70" s="620">
        <v>5</v>
      </c>
      <c r="L70" t="s">
        <v>943</v>
      </c>
      <c r="O70" s="576"/>
      <c r="P70" s="580"/>
      <c r="AU70" s="594"/>
      <c r="AV70" s="574">
        <f ca="1">100*(AX70-$AX$50)/(MAX($AX$50:INDEX(($AX$50:$AX$150),$F$35+1,1))-MIN($AX$50:INDEX(($AX$50:$AX$150),$F$35+1,1)))</f>
        <v>95</v>
      </c>
      <c r="AW70" s="660">
        <f ca="1">OFFSET('Trapezoidal Wing Summary'!C$45,((ROW('Trapezoidal Wing Summary'!$A65)-ROW('Trapezoidal Wing Summary'!$A$45))*100/$F$35),0)+$F$15</f>
        <v>24.298388408781996</v>
      </c>
      <c r="AX70" s="660">
        <f ca="1">OFFSET('Trapezoidal Wing Summary'!D$45,((ROW('Trapezoidal Wing Summary'!$A65)-ROW('Trapezoidal Wing Summary'!$A$45))*100/$F$35),0)+$F$16</f>
        <v>22.865151650319998</v>
      </c>
      <c r="AY70" s="660">
        <f ca="1">OFFSET('Trapezoidal Wing Summary'!E$45,((ROW('Trapezoidal Wing Summary'!$A65)-ROW('Trapezoidal Wing Summary'!$A$45))*100/$F$35),0)+$F$17</f>
        <v>8.1686780829199996</v>
      </c>
      <c r="AZ70" s="41">
        <f ca="1">OFFSET('Trapezoidal Wing Summary'!F$45,((ROW('Trapezoidal Wing Summary'!$A65)-ROW('Trapezoidal Wing Summary'!$A$45))*100/$F$35),0)</f>
        <v>0</v>
      </c>
      <c r="BA70" s="41">
        <f ca="1">OFFSET('Trapezoidal Wing Summary'!G$45,((ROW('Trapezoidal Wing Summary'!$A65)-ROW('Trapezoidal Wing Summary'!$A$45))*100/$F$35),0)</f>
        <v>51702.391191267212</v>
      </c>
      <c r="BB70" s="41">
        <f ca="1">OFFSET('Trapezoidal Wing Summary'!H$45,((ROW('Trapezoidal Wing Summary'!$A65)-ROW('Trapezoidal Wing Summary'!$A$45))*100/$F$35),0)</f>
        <v>47611.733896629485</v>
      </c>
      <c r="BC70" s="41">
        <f ca="1">OFFSET('Trapezoidal Wing Summary'!I$45,((ROW('Trapezoidal Wing Summary'!$A65)-ROW('Trapezoidal Wing Summary'!$A$45))*100/$F$35),0)</f>
        <v>0</v>
      </c>
      <c r="BD70" s="41">
        <f ca="1">OFFSET('Trapezoidal Wing Summary'!J$45,((ROW('Trapezoidal Wing Summary'!$A65)-ROW('Trapezoidal Wing Summary'!$A$45))*100/$F$35),0)</f>
        <v>0</v>
      </c>
      <c r="BE70" s="41">
        <f ca="1">OFFSET('Trapezoidal Wing Summary'!K$45,((ROW('Trapezoidal Wing Summary'!$A65)-ROW('Trapezoidal Wing Summary'!$A$45))*100/$F$35),0)</f>
        <v>0</v>
      </c>
      <c r="BF70" s="41">
        <f ca="1">OFFSET('Trapezoidal Wing Summary'!L$45,((ROW('Trapezoidal Wing Summary'!$A65)-ROW('Trapezoidal Wing Summary'!$A$45))*100/$F$35),0)</f>
        <v>15653104.623062696</v>
      </c>
      <c r="BG70" s="41">
        <f ca="1">OFFSET('Trapezoidal Wing Summary'!M$45,((ROW('Trapezoidal Wing Summary'!$A65)-ROW('Trapezoidal Wing Summary'!$A$45))*100/$F$35),0)</f>
        <v>0</v>
      </c>
      <c r="BH70" s="41">
        <f ca="1">OFFSET('Trapezoidal Wing Summary'!N$45,((ROW('Trapezoidal Wing Summary'!$A65)-ROW('Trapezoidal Wing Summary'!$A$45))*100/$F$35),0)</f>
        <v>0</v>
      </c>
      <c r="BI70" s="41">
        <f ca="1">OFFSET('Trapezoidal Wing Summary'!O$45,((ROW('Trapezoidal Wing Summary'!$A65)-ROW('Trapezoidal Wing Summary'!$A$45))*100/$F$35),0)</f>
        <v>0</v>
      </c>
      <c r="BJ70" s="41">
        <f ca="1">OFFSET('Trapezoidal Wing Summary'!P$45,((ROW('Trapezoidal Wing Summary'!$A65)-ROW('Trapezoidal Wing Summary'!$A$45))*100/$F$35),0)</f>
        <v>0</v>
      </c>
      <c r="BK70" s="41">
        <f ca="1">OFFSET('Trapezoidal Wing Summary'!Q$45,((ROW('Trapezoidal Wing Summary'!$A65)-ROW('Trapezoidal Wing Summary'!$A$45))*100/$F$35),0)</f>
        <v>0</v>
      </c>
      <c r="BL70" s="41">
        <f ca="1">OFFSET('Trapezoidal Wing Summary'!R$45,((ROW('Trapezoidal Wing Summary'!$A65)-ROW('Trapezoidal Wing Summary'!$A$45))*100/$F$35),0)</f>
        <v>6.0632166521502882</v>
      </c>
      <c r="BM70" s="41">
        <f ca="1">OFFSET('Trapezoidal Wing Summary'!S$45,((ROW('Trapezoidal Wing Summary'!$A65)-ROW('Trapezoidal Wing Summary'!$A$45))*100/$F$35),0)</f>
        <v>0.78128103590193321</v>
      </c>
      <c r="BN70" s="41">
        <f ca="1">OFFSET('Trapezoidal Wing Summary'!T$45,((ROW('Trapezoidal Wing Summary'!$A65)-ROW('Trapezoidal Wing Summary'!$A$45))*100/$F$35),0)</f>
        <v>0</v>
      </c>
      <c r="BO70" s="41">
        <f ca="1">OFFSET('Trapezoidal Wing Summary'!U$45,((ROW('Trapezoidal Wing Summary'!$A65)-ROW('Trapezoidal Wing Summary'!$A$45))*100/$F$35),0)</f>
        <v>0</v>
      </c>
      <c r="BP70" s="41">
        <f ca="1">OFFSET('Trapezoidal Wing Summary'!V$45,((ROW('Trapezoidal Wing Summary'!$A65)-ROW('Trapezoidal Wing Summary'!$A$45))*100/$F$35),0)</f>
        <v>0</v>
      </c>
      <c r="BQ70" s="41">
        <f ca="1">OFFSET('Trapezoidal Wing Summary'!W$45,((ROW('Trapezoidal Wing Summary'!$A65)-ROW('Trapezoidal Wing Summary'!$A$45))*100/$F$35),0)</f>
        <v>0</v>
      </c>
      <c r="BR70" s="41">
        <f ca="1">OFFSET('Trapezoidal Wing Summary'!X$45,((ROW('Trapezoidal Wing Summary'!$A65)-ROW('Trapezoidal Wing Summary'!$A$45))*100/$F$35),0)</f>
        <v>0</v>
      </c>
      <c r="BS70" s="41">
        <f ca="1">OFFSET('Trapezoidal Wing Summary'!Y$45,((ROW('Trapezoidal Wing Summary'!$A65)-ROW('Trapezoidal Wing Summary'!$A$45))*100/$F$35),0)</f>
        <v>0</v>
      </c>
      <c r="BT70" s="41">
        <f ca="1">OFFSET('Trapezoidal Wing Summary'!Z$45,((ROW('Trapezoidal Wing Summary'!$A65)-ROW('Trapezoidal Wing Summary'!$A$45))*100/$F$35),0)</f>
        <v>0.30254094084459648</v>
      </c>
      <c r="BU70" s="41">
        <f ca="1">OFFSET('Trapezoidal Wing Summary'!AA$45,((ROW('Trapezoidal Wing Summary'!$A65)-ROW('Trapezoidal Wing Summary'!$A$45))*100/$F$35),0)</f>
        <v>0</v>
      </c>
      <c r="BV70" s="41">
        <f ca="1">OFFSET('Trapezoidal Wing Summary'!AB$45,((ROW('Trapezoidal Wing Summary'!$A65)-ROW('Trapezoidal Wing Summary'!$A$45))*100/$F$35),0)</f>
        <v>0</v>
      </c>
      <c r="BW70" s="41">
        <f ca="1">OFFSET('Trapezoidal Wing Summary'!AC$45,((ROW('Trapezoidal Wing Summary'!$A65)-ROW('Trapezoidal Wing Summary'!$A$45))*100/$F$35),0)</f>
        <v>0</v>
      </c>
      <c r="BX70" s="41">
        <f ca="1">OFFSET('Trapezoidal Wing Summary'!AD$45,((ROW('Trapezoidal Wing Summary'!$A65)-ROW('Trapezoidal Wing Summary'!$A$45))*100/$F$35),0)</f>
        <v>2E-3</v>
      </c>
      <c r="BY70" s="41">
        <f ca="1">OFFSET('Trapezoidal Wing Summary'!AE$45,((ROW('Trapezoidal Wing Summary'!$A65)-ROW('Trapezoidal Wing Summary'!$A$45))*100/$F$35),0)</f>
        <v>2E-3</v>
      </c>
      <c r="BZ70" s="41">
        <f ca="1">OFFSET('Trapezoidal Wing Summary'!AF$45,((ROW('Trapezoidal Wing Summary'!$A65)-ROW('Trapezoidal Wing Summary'!$A$45))*100/$F$35),0)</f>
        <v>0</v>
      </c>
      <c r="CA70" s="41">
        <f ca="1">OFFSET('Trapezoidal Wing Summary'!AG$45,((ROW('Trapezoidal Wing Summary'!$A65)-ROW('Trapezoidal Wing Summary'!$A$45))*100/$F$35),0)</f>
        <v>0.30549951765</v>
      </c>
      <c r="CB70" s="41">
        <f ca="1">OFFSET('Trapezoidal Wing Summary'!AH$45,((ROW('Trapezoidal Wing Summary'!$A65)-ROW('Trapezoidal Wing Summary'!$A$45))*100/$F$35),0)</f>
        <v>3.0061177604297959E-3</v>
      </c>
      <c r="CC70" s="41">
        <f ca="1">OFFSET('Trapezoidal Wing Summary'!AI$45,((ROW('Trapezoidal Wing Summary'!$A65)-ROW('Trapezoidal Wing Summary'!$A$45))*100/$F$35),0)</f>
        <v>0</v>
      </c>
      <c r="CD70" s="41">
        <f>'REF - ASWING AERO-Imperial'!$R$5</f>
        <v>5.4999999999999997E-3</v>
      </c>
      <c r="CE70" s="41">
        <f>'REF - ASWING AERO-Imperial'!$R$6</f>
        <v>5.4999999999999997E-3</v>
      </c>
      <c r="CF70" s="41">
        <f ca="1">OFFSET('Trapezoidal Wing Summary'!AL$45,((ROW('Trapezoidal Wing Summary'!$A65)-ROW('Trapezoidal Wing Summary'!$A$45))*100/$F$35),0)</f>
        <v>3.3944390850000001</v>
      </c>
      <c r="CG70" s="41">
        <f ca="1">OFFSET('Trapezoidal Wing Summary'!AM$45,((ROW('Trapezoidal Wing Summary'!$A65)-ROW('Trapezoidal Wing Summary'!$A$45))*100/$F$35),0)</f>
        <v>0.25</v>
      </c>
      <c r="CH70" s="41">
        <f ca="1">OFFSET('Trapezoidal Wing Summary'!AN$45,((ROW('Trapezoidal Wing Summary'!$A65)-ROW('Trapezoidal Wing Summary'!$A$45))*100/$F$35),0)</f>
        <v>2.85</v>
      </c>
      <c r="CI70" s="41">
        <f ca="1">OFFSET('Trapezoidal Wing Summary'!AO$45,((ROW('Trapezoidal Wing Summary'!$A65)-ROW('Trapezoidal Wing Summary'!$A$45))*100/$F$35),0)</f>
        <v>-0.15</v>
      </c>
      <c r="CJ70" s="41">
        <f ca="1">OFFSET('Trapezoidal Wing Summary'!AP$45,((ROW('Trapezoidal Wing Summary'!$A65)-ROW('Trapezoidal Wing Summary'!$A$45))*100/$F$35),0)</f>
        <v>1.85</v>
      </c>
      <c r="CK70" s="41">
        <f ca="1">OFFSET('Trapezoidal Wing Summary'!AQ$45,((ROW('Trapezoidal Wing Summary'!$A65)-ROW('Trapezoidal Wing Summary'!$A$45))*100/$F$35),0)</f>
        <v>-1.55</v>
      </c>
      <c r="CL70" s="41">
        <f ca="1">OFFSET('Trapezoidal Wing Summary'!AR$45,((ROW('Trapezoidal Wing Summary'!$A65)-ROW('Trapezoidal Wing Summary'!$A$45))*100/$F$35),0)</f>
        <v>5.9690260418206069</v>
      </c>
      <c r="CM70" s="645">
        <f>'ASWING STRUCT'!CM70</f>
        <v>95</v>
      </c>
      <c r="CN70" s="642">
        <f>'ASWING STRUCT'!CN70*3.28084</f>
        <v>10.643417007256</v>
      </c>
      <c r="CO70" s="642">
        <f>'ASWING STRUCT'!CO70*3.28084</f>
        <v>9.3503939999999997</v>
      </c>
      <c r="CP70" s="642">
        <f>'ASWING STRUCT'!CP70*3.28084</f>
        <v>12.850247130368</v>
      </c>
      <c r="CQ70" s="642">
        <f>'ASWING STRUCT'!CQ70</f>
        <v>0</v>
      </c>
      <c r="CR70" s="692">
        <f>'ASWING STRUCT'!CR70*0.224809*3.28084^2</f>
        <v>829.6136459768876</v>
      </c>
      <c r="CS70" s="692">
        <f>'ASWING STRUCT'!CS70*0.224809*3.28084^2</f>
        <v>782.36949481814463</v>
      </c>
      <c r="CT70" s="692">
        <f>'ASWING STRUCT'!CT70*0.224809*3.28084^2</f>
        <v>0</v>
      </c>
      <c r="CU70" s="692">
        <f>'ASWING STRUCT'!CU70*0.224809*3.28084^2</f>
        <v>0</v>
      </c>
      <c r="CV70" s="692">
        <f>'ASWING STRUCT'!CV70*0.224809*3.28084^2</f>
        <v>0</v>
      </c>
      <c r="CW70" s="692">
        <f>'ASWING STRUCT'!CW70*0.224809*3.28084^2</f>
        <v>687274.33927275392</v>
      </c>
      <c r="CX70" s="642">
        <f>'ASWING STRUCT'!CX70</f>
        <v>0</v>
      </c>
      <c r="CY70" s="642">
        <f>'ASWING STRUCT'!CY70*0.224809</f>
        <v>0</v>
      </c>
      <c r="CZ70" s="642">
        <f>'ASWING STRUCT'!CZ70*0.224809</f>
        <v>0</v>
      </c>
      <c r="DA70" s="642">
        <f>'ASWING STRUCT'!DA70*2.20462*3.28084</f>
        <v>0</v>
      </c>
      <c r="DB70" s="642">
        <f>'ASWING STRUCT'!DB70*2.20462*3.28084</f>
        <v>0</v>
      </c>
      <c r="DC70" s="642">
        <f>'ASWING STRUCT'!DC70*2.20462/3.28084</f>
        <v>1.5543067693150183</v>
      </c>
      <c r="DD70" s="642">
        <f>'ASWING STRUCT'!DD70*3.28084</f>
        <v>0.27594041034532102</v>
      </c>
      <c r="DE70" s="642">
        <f>'ASWING STRUCT'!DE70*3.28084</f>
        <v>0</v>
      </c>
      <c r="DF70" s="642">
        <f>'ASWING STRUCT'!DF70*2.20462*3.28084</f>
        <v>0</v>
      </c>
      <c r="DG70" s="642">
        <f>'ASWING STRUCT'!DG70*2.20462*3.28084</f>
        <v>0</v>
      </c>
      <c r="DH70" s="642">
        <f>'ASWING STRUCT'!DH70*2.20462/3.28084</f>
        <v>0</v>
      </c>
      <c r="DI70" s="642">
        <f>'ASWING STRUCT'!DI70*3.28084</f>
        <v>0</v>
      </c>
      <c r="DJ70" s="642">
        <f>'ASWING STRUCT'!DJ70*3.28084</f>
        <v>0</v>
      </c>
      <c r="DK70" s="642">
        <f>'ASWING STRUCT'!DK70*3.28084</f>
        <v>0.12058521875716849</v>
      </c>
      <c r="DL70" s="642">
        <f>'ASWING STRUCT'!DL70*3.28084</f>
        <v>0</v>
      </c>
      <c r="DM70" s="642">
        <f>'ASWING STRUCT'!DM70*3.28084</f>
        <v>0</v>
      </c>
      <c r="DN70" s="642">
        <f>'ASWING STRUCT'!DN70*3.28084</f>
        <v>0</v>
      </c>
      <c r="DO70" s="642">
        <f>'ASWING STRUCT'!DO70</f>
        <v>2E-3</v>
      </c>
      <c r="DP70" s="642">
        <f>'ASWING STRUCT'!DP70</f>
        <v>2E-3</v>
      </c>
      <c r="DQ70" s="642">
        <f>'ASWING STRUCT'!DQ70*3.28084</f>
        <v>0</v>
      </c>
      <c r="DR70" s="642">
        <f>'ASWING STRUCT'!DR70*3.28084</f>
        <v>0.10777559399999999</v>
      </c>
      <c r="DS70" s="642">
        <f>'ASWING STRUCT'!DS70*3.28084^3</f>
        <v>3.7413279806327465E-4</v>
      </c>
      <c r="DT70" s="642">
        <f>'ASWING STRUCT'!DT70*3.28084</f>
        <v>0</v>
      </c>
      <c r="DU70" s="642">
        <f>'ASWING STRUCT'!DU70</f>
        <v>5.4999999999999997E-3</v>
      </c>
      <c r="DV70" s="642">
        <f>'ASWING STRUCT'!DV70</f>
        <v>5.4999999999999997E-3</v>
      </c>
      <c r="DW70" s="642">
        <f>'ASWING STRUCT'!DW70*3.28084</f>
        <v>1.1975065999999999</v>
      </c>
      <c r="DX70" s="642">
        <f>'ASWING STRUCT'!DX70</f>
        <v>0.25</v>
      </c>
      <c r="DY70" s="642">
        <f>'ASWING STRUCT'!DY70</f>
        <v>5.9</v>
      </c>
      <c r="DZ70" s="642">
        <f>'ASWING STRUCT'!DZ70</f>
        <v>-0.15</v>
      </c>
      <c r="EA70" s="642">
        <f>'ASWING STRUCT'!EA70</f>
        <v>2.25</v>
      </c>
      <c r="EB70" s="642">
        <f>'ASWING STRUCT'!EB70</f>
        <v>-1.65</v>
      </c>
      <c r="EC70" s="641">
        <f>'ASWING STRUCT'!EC70</f>
        <v>5.9690260418206069</v>
      </c>
    </row>
    <row r="71" spans="1:133" x14ac:dyDescent="0.25">
      <c r="A71" t="s">
        <v>965</v>
      </c>
      <c r="B71" s="665">
        <v>1.2569999999999999</v>
      </c>
      <c r="C71" s="665">
        <v>0</v>
      </c>
      <c r="D71" s="665">
        <v>-1.1719999999999999</v>
      </c>
      <c r="E71" s="670">
        <f>'ASWING STRUCT'!E71* 3.28084</f>
        <v>22.39183258277431</v>
      </c>
      <c r="F71" s="670">
        <f>'ASWING STRUCT'!F71* 3.28084</f>
        <v>-0.48282557241142499</v>
      </c>
      <c r="G71" s="670">
        <f>'ASWING STRUCT'!G71* 3.28084</f>
        <v>8.4927690416845518</v>
      </c>
      <c r="H71" s="671">
        <f>'ASWING STRUCT'!H70*2.20462</f>
        <v>276.45934799999998</v>
      </c>
      <c r="I71" s="668">
        <v>1</v>
      </c>
      <c r="J71" s="2">
        <v>0</v>
      </c>
      <c r="K71" s="620">
        <v>6</v>
      </c>
      <c r="L71" t="s">
        <v>957</v>
      </c>
      <c r="P71" s="580"/>
      <c r="AU71" s="594"/>
      <c r="AV71" s="574">
        <f ca="1">100*(AX71-$AX$50)/(MAX($AX$50:INDEX(($AX$50:$AX$150),$F$35+1,1))-MIN($AX$50:INDEX(($AX$50:$AX$150),$F$35+1,1)))</f>
        <v>100</v>
      </c>
      <c r="AW71" s="660">
        <f ca="1">OFFSET('Trapezoidal Wing Summary'!C$45,((ROW('Trapezoidal Wing Summary'!$A66)-ROW('Trapezoidal Wing Summary'!$A$45))*100/$F$35),0)+$F$15</f>
        <v>24.320636605031996</v>
      </c>
      <c r="AX71" s="660">
        <f ca="1">OFFSET('Trapezoidal Wing Summary'!D$45,((ROW('Trapezoidal Wing Summary'!$A66)-ROW('Trapezoidal Wing Summary'!$A$45))*100/$F$35),0)+$F$16</f>
        <v>24.069219930319999</v>
      </c>
      <c r="AY71" s="660">
        <f ca="1">OFFSET('Trapezoidal Wing Summary'!E$45,((ROW('Trapezoidal Wing Summary'!$A66)-ROW('Trapezoidal Wing Summary'!$A$45))*100/$F$35),0)+$F$17</f>
        <v>8.1686780829199996</v>
      </c>
      <c r="AZ71" s="41">
        <f ca="1">OFFSET('Trapezoidal Wing Summary'!F$45,((ROW('Trapezoidal Wing Summary'!$A66)-ROW('Trapezoidal Wing Summary'!$A$45))*100/$F$35),0)</f>
        <v>0</v>
      </c>
      <c r="BA71" s="41">
        <f ca="1">OFFSET('Trapezoidal Wing Summary'!G$45,((ROW('Trapezoidal Wing Summary'!$A66)-ROW('Trapezoidal Wing Summary'!$A$45))*100/$F$35),0)</f>
        <v>48201.648035672712</v>
      </c>
      <c r="BB71" s="41">
        <f ca="1">OFFSET('Trapezoidal Wing Summary'!H$45,((ROW('Trapezoidal Wing Summary'!$A66)-ROW('Trapezoidal Wing Summary'!$A$45))*100/$F$35),0)</f>
        <v>45147.964081585575</v>
      </c>
      <c r="BC71" s="41">
        <f ca="1">OFFSET('Trapezoidal Wing Summary'!I$45,((ROW('Trapezoidal Wing Summary'!$A66)-ROW('Trapezoidal Wing Summary'!$A$45))*100/$F$35),0)</f>
        <v>0</v>
      </c>
      <c r="BD71" s="41">
        <f ca="1">OFFSET('Trapezoidal Wing Summary'!J$45,((ROW('Trapezoidal Wing Summary'!$A66)-ROW('Trapezoidal Wing Summary'!$A$45))*100/$F$35),0)</f>
        <v>0</v>
      </c>
      <c r="BE71" s="41">
        <f ca="1">OFFSET('Trapezoidal Wing Summary'!K$45,((ROW('Trapezoidal Wing Summary'!$A66)-ROW('Trapezoidal Wing Summary'!$A$45))*100/$F$35),0)</f>
        <v>0</v>
      </c>
      <c r="BF71" s="41">
        <f ca="1">OFFSET('Trapezoidal Wing Summary'!L$45,((ROW('Trapezoidal Wing Summary'!$A66)-ROW('Trapezoidal Wing Summary'!$A$45))*100/$F$35),0)</f>
        <v>14453956.649155017</v>
      </c>
      <c r="BG71" s="41">
        <f ca="1">OFFSET('Trapezoidal Wing Summary'!M$45,((ROW('Trapezoidal Wing Summary'!$A66)-ROW('Trapezoidal Wing Summary'!$A$45))*100/$F$35),0)</f>
        <v>0</v>
      </c>
      <c r="BH71" s="41">
        <f ca="1">OFFSET('Trapezoidal Wing Summary'!N$45,((ROW('Trapezoidal Wing Summary'!$A66)-ROW('Trapezoidal Wing Summary'!$A$45))*100/$F$35),0)</f>
        <v>0</v>
      </c>
      <c r="BI71" s="41">
        <f ca="1">OFFSET('Trapezoidal Wing Summary'!O$45,((ROW('Trapezoidal Wing Summary'!$A66)-ROW('Trapezoidal Wing Summary'!$A$45))*100/$F$35),0)</f>
        <v>0</v>
      </c>
      <c r="BJ71" s="41">
        <f ca="1">OFFSET('Trapezoidal Wing Summary'!P$45,((ROW('Trapezoidal Wing Summary'!$A66)-ROW('Trapezoidal Wing Summary'!$A$45))*100/$F$35),0)</f>
        <v>0</v>
      </c>
      <c r="BK71" s="41">
        <f ca="1">OFFSET('Trapezoidal Wing Summary'!Q$45,((ROW('Trapezoidal Wing Summary'!$A66)-ROW('Trapezoidal Wing Summary'!$A$45))*100/$F$35),0)</f>
        <v>0</v>
      </c>
      <c r="BL71" s="41">
        <f ca="1">OFFSET('Trapezoidal Wing Summary'!R$45,((ROW('Trapezoidal Wing Summary'!$A66)-ROW('Trapezoidal Wing Summary'!$A$45))*100/$F$35),0)</f>
        <v>5.9059059529860969</v>
      </c>
      <c r="BM71" s="41">
        <f ca="1">OFFSET('Trapezoidal Wing Summary'!S$45,((ROW('Trapezoidal Wing Summary'!$A66)-ROW('Trapezoidal Wing Summary'!$A$45))*100/$F$35),0)</f>
        <v>0.76052442238417506</v>
      </c>
      <c r="BN71" s="41">
        <f ca="1">OFFSET('Trapezoidal Wing Summary'!T$45,((ROW('Trapezoidal Wing Summary'!$A66)-ROW('Trapezoidal Wing Summary'!$A$45))*100/$F$35),0)</f>
        <v>0</v>
      </c>
      <c r="BO71" s="41">
        <f ca="1">OFFSET('Trapezoidal Wing Summary'!U$45,((ROW('Trapezoidal Wing Summary'!$A66)-ROW('Trapezoidal Wing Summary'!$A$45))*100/$F$35),0)</f>
        <v>0</v>
      </c>
      <c r="BP71" s="41">
        <f ca="1">OFFSET('Trapezoidal Wing Summary'!V$45,((ROW('Trapezoidal Wing Summary'!$A66)-ROW('Trapezoidal Wing Summary'!$A$45))*100/$F$35),0)</f>
        <v>0</v>
      </c>
      <c r="BQ71" s="41">
        <f ca="1">OFFSET('Trapezoidal Wing Summary'!W$45,((ROW('Trapezoidal Wing Summary'!$A66)-ROW('Trapezoidal Wing Summary'!$A$45))*100/$F$35),0)</f>
        <v>0</v>
      </c>
      <c r="BR71" s="41">
        <f ca="1">OFFSET('Trapezoidal Wing Summary'!X$45,((ROW('Trapezoidal Wing Summary'!$A66)-ROW('Trapezoidal Wing Summary'!$A$45))*100/$F$35),0)</f>
        <v>0</v>
      </c>
      <c r="BS71" s="41">
        <f ca="1">OFFSET('Trapezoidal Wing Summary'!Y$45,((ROW('Trapezoidal Wing Summary'!$A66)-ROW('Trapezoidal Wing Summary'!$A$45))*100/$F$35),0)</f>
        <v>0</v>
      </c>
      <c r="BT71" s="41">
        <f ca="1">OFFSET('Trapezoidal Wing Summary'!Z$45,((ROW('Trapezoidal Wing Summary'!$A66)-ROW('Trapezoidal Wing Summary'!$A$45))*100/$F$35),0)</f>
        <v>0.29457177670887569</v>
      </c>
      <c r="BU71" s="41">
        <f ca="1">OFFSET('Trapezoidal Wing Summary'!AA$45,((ROW('Trapezoidal Wing Summary'!$A66)-ROW('Trapezoidal Wing Summary'!$A$45))*100/$F$35),0)</f>
        <v>0</v>
      </c>
      <c r="BV71" s="41">
        <f ca="1">OFFSET('Trapezoidal Wing Summary'!AB$45,((ROW('Trapezoidal Wing Summary'!$A66)-ROW('Trapezoidal Wing Summary'!$A$45))*100/$F$35),0)</f>
        <v>0</v>
      </c>
      <c r="BW71" s="41">
        <f ca="1">OFFSET('Trapezoidal Wing Summary'!AC$45,((ROW('Trapezoidal Wing Summary'!$A66)-ROW('Trapezoidal Wing Summary'!$A$45))*100/$F$35),0)</f>
        <v>0</v>
      </c>
      <c r="BX71" s="41">
        <f ca="1">OFFSET('Trapezoidal Wing Summary'!AD$45,((ROW('Trapezoidal Wing Summary'!$A66)-ROW('Trapezoidal Wing Summary'!$A$45))*100/$F$35),0)</f>
        <v>2E-3</v>
      </c>
      <c r="BY71" s="41">
        <f ca="1">OFFSET('Trapezoidal Wing Summary'!AE$45,((ROW('Trapezoidal Wing Summary'!$A66)-ROW('Trapezoidal Wing Summary'!$A$45))*100/$F$35),0)</f>
        <v>2E-3</v>
      </c>
      <c r="BZ71" s="41">
        <f ca="1">OFFSET('Trapezoidal Wing Summary'!AF$45,((ROW('Trapezoidal Wing Summary'!$A66)-ROW('Trapezoidal Wing Summary'!$A$45))*100/$F$35),0)</f>
        <v>0</v>
      </c>
      <c r="CA71" s="41">
        <f ca="1">OFFSET('Trapezoidal Wing Summary'!AG$45,((ROW('Trapezoidal Wing Summary'!$A66)-ROW('Trapezoidal Wing Summary'!$A$45))*100/$F$35),0)</f>
        <v>0.29749016700000003</v>
      </c>
      <c r="CB71" s="41">
        <f ca="1">OFFSET('Trapezoidal Wing Summary'!AH$45,((ROW('Trapezoidal Wing Summary'!$A66)-ROW('Trapezoidal Wing Summary'!$A$45))*100/$F$35),0)</f>
        <v>2.8505598424028149E-3</v>
      </c>
      <c r="CC71" s="41">
        <f ca="1">OFFSET('Trapezoidal Wing Summary'!AI$45,((ROW('Trapezoidal Wing Summary'!$A66)-ROW('Trapezoidal Wing Summary'!$A$45))*100/$F$35),0)</f>
        <v>0</v>
      </c>
      <c r="CD71" s="41">
        <f>'REF - ASWING AERO-Imperial'!$R$5</f>
        <v>5.4999999999999997E-3</v>
      </c>
      <c r="CE71" s="41">
        <f>'REF - ASWING AERO-Imperial'!$R$6</f>
        <v>5.4999999999999997E-3</v>
      </c>
      <c r="CF71" s="41">
        <f ca="1">OFFSET('Trapezoidal Wing Summary'!AL$45,((ROW('Trapezoidal Wing Summary'!$A66)-ROW('Trapezoidal Wing Summary'!$A$45))*100/$F$35),0)</f>
        <v>3.3054463000000003</v>
      </c>
      <c r="CG71" s="41">
        <f ca="1">OFFSET('Trapezoidal Wing Summary'!AM$45,((ROW('Trapezoidal Wing Summary'!$A66)-ROW('Trapezoidal Wing Summary'!$A$45))*100/$F$35),0)</f>
        <v>0.25</v>
      </c>
      <c r="CH71" s="41">
        <f ca="1">OFFSET('Trapezoidal Wing Summary'!AN$45,((ROW('Trapezoidal Wing Summary'!$A66)-ROW('Trapezoidal Wing Summary'!$A$45))*100/$F$35),0)</f>
        <v>2.85</v>
      </c>
      <c r="CI71" s="41">
        <f ca="1">OFFSET('Trapezoidal Wing Summary'!AO$45,((ROW('Trapezoidal Wing Summary'!$A66)-ROW('Trapezoidal Wing Summary'!$A$45))*100/$F$35),0)</f>
        <v>-0.15</v>
      </c>
      <c r="CJ71" s="41">
        <f ca="1">OFFSET('Trapezoidal Wing Summary'!AP$45,((ROW('Trapezoidal Wing Summary'!$A66)-ROW('Trapezoidal Wing Summary'!$A$45))*100/$F$35),0)</f>
        <v>1.85</v>
      </c>
      <c r="CK71" s="41">
        <f ca="1">OFFSET('Trapezoidal Wing Summary'!AQ$45,((ROW('Trapezoidal Wing Summary'!$A66)-ROW('Trapezoidal Wing Summary'!$A$45))*100/$F$35),0)</f>
        <v>-1.55</v>
      </c>
      <c r="CL71" s="41">
        <f ca="1">OFFSET('Trapezoidal Wing Summary'!AR$45,((ROW('Trapezoidal Wing Summary'!$A66)-ROW('Trapezoidal Wing Summary'!$A$45))*100/$F$35),0)</f>
        <v>5.9690260418206069</v>
      </c>
      <c r="CM71" s="645">
        <f>'ASWING STRUCT'!CM71</f>
        <v>100</v>
      </c>
      <c r="CN71" s="642">
        <f>'ASWING STRUCT'!CN71*3.28084</f>
        <v>10.655720157255999</v>
      </c>
      <c r="CO71" s="642">
        <f>'ASWING STRUCT'!CO71*3.28084</f>
        <v>9.8425200000000004</v>
      </c>
      <c r="CP71" s="642">
        <f>'ASWING STRUCT'!CP71*3.28084</f>
        <v>12.850247130368</v>
      </c>
      <c r="CQ71" s="642">
        <f>'ASWING STRUCT'!CQ71</f>
        <v>0</v>
      </c>
      <c r="CR71" s="692">
        <f>'ASWING STRUCT'!CR71*0.224809*3.28084^2</f>
        <v>741.40859655699785</v>
      </c>
      <c r="CS71" s="692">
        <f>'ASWING STRUCT'!CS71*0.224809*3.28084^2</f>
        <v>719.38647487500634</v>
      </c>
      <c r="CT71" s="692">
        <f>'ASWING STRUCT'!CT71*0.224809*3.28084^2</f>
        <v>0</v>
      </c>
      <c r="CU71" s="692">
        <f>'ASWING STRUCT'!CU71*0.224809*3.28084^2</f>
        <v>0</v>
      </c>
      <c r="CV71" s="692">
        <f>'ASWING STRUCT'!CV71*0.224809*3.28084^2</f>
        <v>0</v>
      </c>
      <c r="CW71" s="692">
        <f>'ASWING STRUCT'!CW71*0.224809*3.28084^2</f>
        <v>605976.34131812898</v>
      </c>
      <c r="CX71" s="642">
        <f>'ASWING STRUCT'!CX71</f>
        <v>0</v>
      </c>
      <c r="CY71" s="642">
        <f>'ASWING STRUCT'!CY71*0.224809</f>
        <v>0</v>
      </c>
      <c r="CZ71" s="642">
        <f>'ASWING STRUCT'!CZ71*0.224809</f>
        <v>0</v>
      </c>
      <c r="DA71" s="642">
        <f>'ASWING STRUCT'!DA71*2.20462*3.28084</f>
        <v>0</v>
      </c>
      <c r="DB71" s="642">
        <f>'ASWING STRUCT'!DB71*2.20462*3.28084</f>
        <v>0</v>
      </c>
      <c r="DC71" s="642">
        <f>'ASWING STRUCT'!DC71*2.20462/3.28084</f>
        <v>1.4909477562944149</v>
      </c>
      <c r="DD71" s="642">
        <f>'ASWING STRUCT'!DD71*3.28084</f>
        <v>0.26445442965888227</v>
      </c>
      <c r="DE71" s="642">
        <f>'ASWING STRUCT'!DE71*3.28084</f>
        <v>0</v>
      </c>
      <c r="DF71" s="642">
        <f>'ASWING STRUCT'!DF71*2.20462*3.28084</f>
        <v>0</v>
      </c>
      <c r="DG71" s="642">
        <f>'ASWING STRUCT'!DG71*2.20462*3.28084</f>
        <v>0</v>
      </c>
      <c r="DH71" s="642">
        <f>'ASWING STRUCT'!DH71*2.20462/3.28084</f>
        <v>0</v>
      </c>
      <c r="DI71" s="642">
        <f>'ASWING STRUCT'!DI71*3.28084</f>
        <v>0</v>
      </c>
      <c r="DJ71" s="642">
        <f>'ASWING STRUCT'!DJ71*3.28084</f>
        <v>0</v>
      </c>
      <c r="DK71" s="642">
        <f>'ASWING STRUCT'!DK71*3.28084</f>
        <v>0.1171958942452539</v>
      </c>
      <c r="DL71" s="642">
        <f>'ASWING STRUCT'!DL71*3.28084</f>
        <v>0</v>
      </c>
      <c r="DM71" s="642">
        <f>'ASWING STRUCT'!DM71*3.28084</f>
        <v>0</v>
      </c>
      <c r="DN71" s="642">
        <f>'ASWING STRUCT'!DN71*3.28084</f>
        <v>0</v>
      </c>
      <c r="DO71" s="642">
        <f>'ASWING STRUCT'!DO71</f>
        <v>2E-3</v>
      </c>
      <c r="DP71" s="642">
        <f>'ASWING STRUCT'!DP71</f>
        <v>2E-3</v>
      </c>
      <c r="DQ71" s="642">
        <f>'ASWING STRUCT'!DQ71*3.28084</f>
        <v>0</v>
      </c>
      <c r="DR71" s="642">
        <f>'ASWING STRUCT'!DR71*3.28084</f>
        <v>0.10334645999999997</v>
      </c>
      <c r="DS71" s="642">
        <f>'ASWING STRUCT'!DS71*3.28084^3</f>
        <v>3.4401401961156797E-4</v>
      </c>
      <c r="DT71" s="642">
        <f>'ASWING STRUCT'!DT71*3.28084</f>
        <v>0</v>
      </c>
      <c r="DU71" s="642">
        <f>'ASWING STRUCT'!DU71</f>
        <v>5.4999999999999997E-3</v>
      </c>
      <c r="DV71" s="642">
        <f>'ASWING STRUCT'!DV71</f>
        <v>5.4999999999999997E-3</v>
      </c>
      <c r="DW71" s="642">
        <f>'ASWING STRUCT'!DW71*3.28084</f>
        <v>1.1482939999999999</v>
      </c>
      <c r="DX71" s="642">
        <f>'ASWING STRUCT'!DX71</f>
        <v>0.25</v>
      </c>
      <c r="DY71" s="642">
        <f>'ASWING STRUCT'!DY71</f>
        <v>5.9</v>
      </c>
      <c r="DZ71" s="642">
        <f>'ASWING STRUCT'!DZ71</f>
        <v>-0.15</v>
      </c>
      <c r="EA71" s="642">
        <f>'ASWING STRUCT'!EA71</f>
        <v>2.25</v>
      </c>
      <c r="EB71" s="642">
        <f>'ASWING STRUCT'!EB71</f>
        <v>-1.65</v>
      </c>
      <c r="EC71" s="641">
        <f>'ASWING STRUCT'!EC71</f>
        <v>5.9690260418206069</v>
      </c>
    </row>
    <row r="72" spans="1:133" ht="15.75" customHeight="1" x14ac:dyDescent="0.25">
      <c r="A72" t="s">
        <v>909</v>
      </c>
      <c r="B72" s="665">
        <v>1.29731</v>
      </c>
      <c r="C72" s="665">
        <v>0</v>
      </c>
      <c r="D72" s="665">
        <v>-1.28</v>
      </c>
      <c r="E72" s="670">
        <f>'ASWING STRUCT'!E72* 3.28084</f>
        <v>21.528617375231057</v>
      </c>
      <c r="F72" s="670">
        <f>'ASWING STRUCT'!F72* 3.28084</f>
        <v>0.16010014048059151</v>
      </c>
      <c r="G72" s="670">
        <f>'ASWING STRUCT'!G72* 3.28084</f>
        <v>8.1408495674676544</v>
      </c>
      <c r="H72" s="671">
        <f>'ASWING STRUCT'!H72*2.20462</f>
        <v>119.26994199999997</v>
      </c>
      <c r="I72" s="668">
        <v>1</v>
      </c>
      <c r="J72" s="2">
        <v>0</v>
      </c>
      <c r="K72" s="620">
        <v>7</v>
      </c>
      <c r="L72" t="s">
        <v>958</v>
      </c>
      <c r="P72" s="580"/>
      <c r="AU72" s="594"/>
      <c r="AW72" s="207"/>
      <c r="AX72" s="207"/>
      <c r="BT72"/>
      <c r="CI72"/>
    </row>
    <row r="73" spans="1:133" x14ac:dyDescent="0.25">
      <c r="A73" t="s">
        <v>966</v>
      </c>
      <c r="B73" s="665">
        <v>2.2802699999999998</v>
      </c>
      <c r="C73" s="665">
        <v>0</v>
      </c>
      <c r="D73" s="665">
        <v>-0.22600000000000001</v>
      </c>
      <c r="E73" s="670">
        <f>'ASWING STRUCT'!E73* 3.28084</f>
        <v>25.389289879556248</v>
      </c>
      <c r="F73" s="670">
        <f>'ASWING STRUCT'!F73* 3.28084</f>
        <v>-2.6152531207231291E-2</v>
      </c>
      <c r="G73" s="670">
        <f>'ASWING STRUCT'!G73* 3.28084</f>
        <v>8.5674348669700908</v>
      </c>
      <c r="H73" s="671">
        <f>'ASWING STRUCT'!H73*2.20462</f>
        <v>124.68052040399999</v>
      </c>
      <c r="I73" s="668">
        <v>1</v>
      </c>
      <c r="J73" s="2">
        <v>0</v>
      </c>
      <c r="K73" s="620">
        <v>8</v>
      </c>
      <c r="L73" t="s">
        <v>959</v>
      </c>
      <c r="P73" s="580"/>
      <c r="AU73" s="594"/>
      <c r="AW73" s="207"/>
      <c r="AX73" s="207"/>
      <c r="BT73"/>
      <c r="CI73"/>
    </row>
    <row r="74" spans="1:133" x14ac:dyDescent="0.25">
      <c r="A74" t="s">
        <v>967</v>
      </c>
      <c r="B74" s="665">
        <v>2.4152300000000002</v>
      </c>
      <c r="C74" s="665">
        <v>0</v>
      </c>
      <c r="D74" s="665">
        <v>1.5</v>
      </c>
      <c r="E74" s="670">
        <f>'ASWING STRUCT'!E74* 3.28084</f>
        <v>26.789023552941174</v>
      </c>
      <c r="F74" s="670">
        <f>'ASWING STRUCT'!F74* 3.28084</f>
        <v>-0.43422882352941178</v>
      </c>
      <c r="G74" s="670">
        <f>'ASWING STRUCT'!G74* 3.28084</f>
        <v>10.879844411764704</v>
      </c>
      <c r="H74" s="671">
        <f>'ASWING STRUCT'!H74*2.20462</f>
        <v>149.91415999999998</v>
      </c>
      <c r="I74" s="668">
        <v>1</v>
      </c>
      <c r="J74" s="2">
        <v>0</v>
      </c>
      <c r="K74" s="620">
        <v>9</v>
      </c>
      <c r="L74" t="s">
        <v>960</v>
      </c>
      <c r="P74" s="580"/>
      <c r="AU74" s="594"/>
      <c r="AW74" s="207"/>
      <c r="AX74" s="207"/>
      <c r="BT74"/>
      <c r="CI74"/>
    </row>
    <row r="75" spans="1:133" x14ac:dyDescent="0.25">
      <c r="A75" t="s">
        <v>968</v>
      </c>
      <c r="B75" s="665">
        <v>1.4825280000000001</v>
      </c>
      <c r="C75" s="665">
        <v>7.6999999999999999E-2</v>
      </c>
      <c r="D75" s="665">
        <v>-1.678736</v>
      </c>
      <c r="E75" s="670">
        <f>'ASWING STRUCT'!E75* 3.28084</f>
        <v>26.24672</v>
      </c>
      <c r="F75" s="670">
        <f>'ASWING STRUCT'!F75* 3.28084</f>
        <v>0</v>
      </c>
      <c r="G75" s="670">
        <f>'ASWING STRUCT'!G75* 3.28084</f>
        <v>9.2076561558441572</v>
      </c>
      <c r="H75" s="671">
        <f>'ASWING STRUCT'!H75*2.20462</f>
        <v>848.77869999999996</v>
      </c>
      <c r="I75" s="668">
        <v>1</v>
      </c>
      <c r="J75" s="2">
        <v>0</v>
      </c>
      <c r="K75" s="620">
        <v>10</v>
      </c>
      <c r="L75" t="s">
        <v>961</v>
      </c>
      <c r="P75" s="580"/>
      <c r="AU75" s="594"/>
      <c r="AW75" s="207"/>
      <c r="AX75" s="207"/>
      <c r="BT75"/>
      <c r="CI75"/>
    </row>
    <row r="76" spans="1:133" ht="15" customHeight="1" x14ac:dyDescent="0.25">
      <c r="K76" s="575"/>
      <c r="P76" s="580"/>
      <c r="AU76" s="594"/>
      <c r="AW76" s="207"/>
      <c r="AX76" s="207"/>
      <c r="BT76"/>
      <c r="CI76"/>
    </row>
    <row r="77" spans="1:133" x14ac:dyDescent="0.25">
      <c r="P77" s="580"/>
      <c r="AU77" s="594"/>
      <c r="AW77" s="207"/>
      <c r="AX77" s="207"/>
      <c r="BT77"/>
      <c r="CI77"/>
    </row>
    <row r="78" spans="1:133" x14ac:dyDescent="0.25">
      <c r="P78" s="580"/>
      <c r="AU78" s="594"/>
      <c r="AW78" s="207"/>
      <c r="AX78" s="207"/>
      <c r="BT78"/>
      <c r="CI78"/>
    </row>
    <row r="79" spans="1:133" ht="30" x14ac:dyDescent="0.25">
      <c r="F79" s="136" t="s">
        <v>976</v>
      </c>
      <c r="H79" s="660" t="e">
        <f>SUM(H52:H77)</f>
        <v>#REF!</v>
      </c>
      <c r="I79" s="5"/>
      <c r="P79" s="580"/>
      <c r="AU79" s="594"/>
      <c r="AW79" s="207"/>
      <c r="AX79" s="207"/>
      <c r="BT79"/>
      <c r="CI79"/>
    </row>
    <row r="80" spans="1:133" ht="31.5" customHeight="1" x14ac:dyDescent="0.25">
      <c r="F80" s="136"/>
      <c r="P80" s="580"/>
      <c r="AU80" s="594"/>
      <c r="AW80" s="207"/>
      <c r="BT80"/>
      <c r="CI80"/>
    </row>
    <row r="81" spans="16:87" x14ac:dyDescent="0.25">
      <c r="P81" s="580"/>
      <c r="AU81" s="594"/>
      <c r="AW81" s="207"/>
      <c r="BT81"/>
      <c r="CI81"/>
    </row>
    <row r="82" spans="16:87" x14ac:dyDescent="0.25">
      <c r="P82" s="580"/>
      <c r="AU82" s="594"/>
      <c r="AW82" s="207"/>
      <c r="BT82"/>
      <c r="CI82"/>
    </row>
    <row r="83" spans="16:87" x14ac:dyDescent="0.25">
      <c r="P83" s="580"/>
      <c r="AU83" s="594"/>
      <c r="AW83" s="207"/>
      <c r="BT83"/>
      <c r="CI83"/>
    </row>
    <row r="84" spans="16:87" x14ac:dyDescent="0.25">
      <c r="P84" s="580"/>
      <c r="AU84" s="594"/>
      <c r="AW84" s="207"/>
      <c r="BT84"/>
      <c r="CI84"/>
    </row>
    <row r="85" spans="16:87" x14ac:dyDescent="0.25">
      <c r="P85" s="580"/>
      <c r="AU85" s="594"/>
      <c r="AW85" s="207"/>
      <c r="BT85"/>
      <c r="CI85"/>
    </row>
    <row r="86" spans="16:87" x14ac:dyDescent="0.25">
      <c r="P86" s="580"/>
      <c r="AU86" s="594"/>
      <c r="BT86"/>
      <c r="CI86"/>
    </row>
    <row r="87" spans="16:87" x14ac:dyDescent="0.25">
      <c r="P87" s="580"/>
      <c r="AU87" s="594"/>
      <c r="BT87"/>
      <c r="CI87"/>
    </row>
    <row r="88" spans="16:87" x14ac:dyDescent="0.25">
      <c r="P88" s="580"/>
      <c r="AU88" s="594"/>
      <c r="BT88"/>
      <c r="CI88"/>
    </row>
    <row r="89" spans="16:87" x14ac:dyDescent="0.25">
      <c r="P89" s="580"/>
      <c r="AU89" s="594"/>
      <c r="BT89"/>
      <c r="CI89"/>
    </row>
    <row r="90" spans="16:87" x14ac:dyDescent="0.25">
      <c r="P90" s="580"/>
      <c r="AU90" s="594"/>
      <c r="BT90"/>
      <c r="CI90"/>
    </row>
    <row r="91" spans="16:87" x14ac:dyDescent="0.25">
      <c r="P91" s="580"/>
      <c r="AU91" s="594"/>
      <c r="BT91"/>
      <c r="CI91"/>
    </row>
    <row r="92" spans="16:87" x14ac:dyDescent="0.25">
      <c r="P92" s="580"/>
      <c r="AU92" s="594"/>
      <c r="BT92"/>
      <c r="CI92"/>
    </row>
    <row r="93" spans="16:87" x14ac:dyDescent="0.25">
      <c r="P93" s="580"/>
      <c r="AU93" s="594"/>
      <c r="BT93"/>
      <c r="CI93"/>
    </row>
    <row r="94" spans="16:87" x14ac:dyDescent="0.25">
      <c r="P94" s="580"/>
      <c r="AU94" s="594"/>
      <c r="BT94"/>
      <c r="CI94"/>
    </row>
    <row r="95" spans="16:87" x14ac:dyDescent="0.25">
      <c r="P95" s="580"/>
      <c r="AU95" s="594"/>
      <c r="BT95"/>
      <c r="CI95"/>
    </row>
    <row r="96" spans="16:87" x14ac:dyDescent="0.25">
      <c r="P96" s="580"/>
      <c r="AU96" s="594"/>
      <c r="BT96"/>
      <c r="CI96"/>
    </row>
    <row r="97" spans="16:87" x14ac:dyDescent="0.25">
      <c r="P97" s="580"/>
      <c r="AU97" s="594"/>
      <c r="BT97"/>
      <c r="CI97"/>
    </row>
    <row r="98" spans="16:87" x14ac:dyDescent="0.25">
      <c r="P98" s="580"/>
      <c r="AU98" s="594"/>
      <c r="BT98"/>
      <c r="CI98"/>
    </row>
    <row r="99" spans="16:87" x14ac:dyDescent="0.25">
      <c r="P99" s="580"/>
      <c r="AU99" s="594"/>
      <c r="BT99"/>
      <c r="CI99"/>
    </row>
    <row r="100" spans="16:87" x14ac:dyDescent="0.25">
      <c r="P100" s="580"/>
      <c r="AU100" s="594"/>
      <c r="BT100"/>
      <c r="CI100"/>
    </row>
    <row r="120" spans="7:7" x14ac:dyDescent="0.25">
      <c r="G120" s="207"/>
    </row>
  </sheetData>
  <mergeCells count="2">
    <mergeCell ref="I49:I50"/>
    <mergeCell ref="A50:A51"/>
  </mergeCells>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AD50"/>
  <sheetViews>
    <sheetView topLeftCell="A17" workbookViewId="0">
      <selection activeCell="X31" sqref="X31"/>
    </sheetView>
  </sheetViews>
  <sheetFormatPr defaultRowHeight="15" x14ac:dyDescent="0.25"/>
  <cols>
    <col min="1" max="1" width="25.85546875" bestFit="1" customWidth="1"/>
    <col min="2" max="2" width="46.5703125" bestFit="1" customWidth="1"/>
    <col min="3" max="5" width="13.140625" bestFit="1" customWidth="1"/>
    <col min="6" max="6" width="13.140625" customWidth="1"/>
    <col min="7" max="7" width="9.140625" customWidth="1"/>
    <col min="8" max="9" width="8.7109375" customWidth="1"/>
    <col min="10" max="10" width="13.140625" bestFit="1" customWidth="1"/>
    <col min="11" max="12" width="13.140625" customWidth="1"/>
    <col min="13" max="15" width="8.7109375" customWidth="1"/>
    <col min="16" max="18" width="12.140625" customWidth="1"/>
    <col min="19" max="19" width="10.42578125" customWidth="1"/>
    <col min="20" max="20" width="9.85546875" customWidth="1"/>
    <col min="21" max="22" width="13.140625" bestFit="1" customWidth="1"/>
    <col min="23" max="23" width="13.140625" customWidth="1"/>
    <col min="24" max="25" width="14.140625" bestFit="1" customWidth="1"/>
    <col min="26" max="26" width="14.140625" customWidth="1"/>
    <col min="27" max="28" width="13.140625" bestFit="1" customWidth="1"/>
    <col min="29" max="29" width="13.140625" customWidth="1"/>
    <col min="30" max="30" width="8.7109375" customWidth="1"/>
  </cols>
  <sheetData>
    <row r="1" spans="1:5" x14ac:dyDescent="0.25">
      <c r="A1" t="s">
        <v>483</v>
      </c>
    </row>
    <row r="2" spans="1:5" ht="15.75" thickBot="1" x14ac:dyDescent="0.3"/>
    <row r="3" spans="1:5" x14ac:dyDescent="0.25">
      <c r="A3" s="23" t="s">
        <v>62</v>
      </c>
      <c r="B3" s="24" t="s">
        <v>32</v>
      </c>
      <c r="C3" s="24" t="s">
        <v>43</v>
      </c>
      <c r="D3" s="24" t="s">
        <v>5</v>
      </c>
      <c r="E3" s="369">
        <v>50000</v>
      </c>
    </row>
    <row r="4" spans="1:5" x14ac:dyDescent="0.25">
      <c r="A4" s="25" t="s">
        <v>493</v>
      </c>
      <c r="B4" s="2" t="s">
        <v>33</v>
      </c>
      <c r="C4" s="2" t="s">
        <v>44</v>
      </c>
      <c r="D4" s="2" t="s">
        <v>5</v>
      </c>
      <c r="E4" s="370">
        <v>50000</v>
      </c>
    </row>
    <row r="5" spans="1:5" x14ac:dyDescent="0.25">
      <c r="A5" s="25"/>
      <c r="B5" s="2" t="s">
        <v>31</v>
      </c>
      <c r="C5" s="2" t="s">
        <v>37</v>
      </c>
      <c r="D5" s="2" t="s">
        <v>5</v>
      </c>
      <c r="E5" s="370">
        <v>17000000</v>
      </c>
    </row>
    <row r="6" spans="1:5" x14ac:dyDescent="0.25">
      <c r="A6" s="25"/>
      <c r="B6" s="2" t="s">
        <v>454</v>
      </c>
      <c r="C6" s="2" t="s">
        <v>456</v>
      </c>
      <c r="D6" s="127" t="s">
        <v>4</v>
      </c>
      <c r="E6" s="371">
        <v>0.1</v>
      </c>
    </row>
    <row r="7" spans="1:5" ht="15.75" thickBot="1" x14ac:dyDescent="0.3">
      <c r="A7" s="26"/>
      <c r="B7" s="1" t="s">
        <v>30</v>
      </c>
      <c r="C7" s="1" t="s">
        <v>38</v>
      </c>
      <c r="D7" s="1" t="s">
        <v>39</v>
      </c>
      <c r="E7" s="368">
        <v>0.06</v>
      </c>
    </row>
    <row r="8" spans="1:5" x14ac:dyDescent="0.25">
      <c r="A8" s="23" t="s">
        <v>41</v>
      </c>
      <c r="B8" s="24" t="s">
        <v>42</v>
      </c>
      <c r="C8" s="24" t="s">
        <v>47</v>
      </c>
      <c r="D8" s="24" t="s">
        <v>5</v>
      </c>
      <c r="E8" s="369">
        <v>90000</v>
      </c>
    </row>
    <row r="9" spans="1:5" x14ac:dyDescent="0.25">
      <c r="A9" s="25" t="s">
        <v>40</v>
      </c>
      <c r="B9" s="2" t="s">
        <v>45</v>
      </c>
      <c r="C9" s="2" t="s">
        <v>48</v>
      </c>
      <c r="D9" s="2" t="s">
        <v>5</v>
      </c>
      <c r="E9" s="370">
        <v>3700000</v>
      </c>
    </row>
    <row r="10" spans="1:5" x14ac:dyDescent="0.25">
      <c r="A10" s="25" t="s">
        <v>106</v>
      </c>
      <c r="B10" s="2" t="s">
        <v>60</v>
      </c>
      <c r="C10" s="2" t="s">
        <v>46</v>
      </c>
      <c r="D10" s="2" t="s">
        <v>5</v>
      </c>
      <c r="E10" s="370">
        <v>2100000</v>
      </c>
    </row>
    <row r="11" spans="1:5" x14ac:dyDescent="0.25">
      <c r="A11" s="25"/>
      <c r="B11" s="2" t="s">
        <v>216</v>
      </c>
      <c r="C11" s="2" t="s">
        <v>215</v>
      </c>
      <c r="D11" s="127" t="s">
        <v>5</v>
      </c>
      <c r="E11" s="370">
        <v>7800000</v>
      </c>
    </row>
    <row r="12" spans="1:5" x14ac:dyDescent="0.25">
      <c r="A12" s="25"/>
      <c r="B12" s="2" t="s">
        <v>49</v>
      </c>
      <c r="C12" s="2" t="s">
        <v>51</v>
      </c>
      <c r="D12" s="2" t="s">
        <v>39</v>
      </c>
      <c r="E12" s="368">
        <v>0.06</v>
      </c>
    </row>
    <row r="13" spans="1:5" ht="15.75" thickBot="1" x14ac:dyDescent="0.3">
      <c r="A13" s="26"/>
      <c r="B13" s="1" t="s">
        <v>50</v>
      </c>
      <c r="C13" s="1" t="s">
        <v>52</v>
      </c>
      <c r="D13" s="1" t="s">
        <v>4</v>
      </c>
      <c r="E13" s="372">
        <v>8.0000000000000002E-3</v>
      </c>
    </row>
    <row r="14" spans="1:5" x14ac:dyDescent="0.25">
      <c r="A14" s="27" t="s">
        <v>61</v>
      </c>
      <c r="B14" s="3" t="s">
        <v>53</v>
      </c>
      <c r="C14" s="3" t="s">
        <v>54</v>
      </c>
      <c r="D14" s="3" t="s">
        <v>5</v>
      </c>
      <c r="E14" s="369">
        <v>8200</v>
      </c>
    </row>
    <row r="15" spans="1:5" x14ac:dyDescent="0.25">
      <c r="A15" s="143"/>
      <c r="B15" s="2" t="s">
        <v>203</v>
      </c>
      <c r="C15" s="2" t="s">
        <v>204</v>
      </c>
      <c r="D15" s="2" t="s">
        <v>5</v>
      </c>
      <c r="E15" s="370">
        <v>2600</v>
      </c>
    </row>
    <row r="16" spans="1:5" x14ac:dyDescent="0.25">
      <c r="A16" s="25" t="s">
        <v>105</v>
      </c>
      <c r="B16" s="2" t="s">
        <v>55</v>
      </c>
      <c r="C16" s="2" t="s">
        <v>57</v>
      </c>
      <c r="D16" s="2" t="s">
        <v>5</v>
      </c>
      <c r="E16" s="370">
        <v>120</v>
      </c>
    </row>
    <row r="17" spans="1:30" x14ac:dyDescent="0.25">
      <c r="A17" s="25"/>
      <c r="B17" s="2" t="s">
        <v>56</v>
      </c>
      <c r="C17" s="2" t="s">
        <v>57</v>
      </c>
      <c r="D17" s="2" t="s">
        <v>5</v>
      </c>
      <c r="E17" s="370">
        <v>100</v>
      </c>
    </row>
    <row r="18" spans="1:30" ht="15.75" thickBot="1" x14ac:dyDescent="0.3">
      <c r="A18" s="28"/>
      <c r="B18" s="29" t="s">
        <v>58</v>
      </c>
      <c r="C18" s="29" t="s">
        <v>59</v>
      </c>
      <c r="D18" s="29" t="s">
        <v>39</v>
      </c>
      <c r="E18" s="372">
        <v>2.3E-3</v>
      </c>
    </row>
    <row r="20" spans="1:30" x14ac:dyDescent="0.25">
      <c r="A20" s="31"/>
    </row>
    <row r="21" spans="1:30" x14ac:dyDescent="0.25">
      <c r="A21" s="5"/>
    </row>
    <row r="22" spans="1:30" x14ac:dyDescent="0.25">
      <c r="A22" s="204" t="s">
        <v>520</v>
      </c>
      <c r="B22" s="32" t="s">
        <v>64</v>
      </c>
      <c r="C22" s="32" t="s">
        <v>65</v>
      </c>
      <c r="D22" s="32" t="s">
        <v>66</v>
      </c>
      <c r="E22" s="32" t="s">
        <v>67</v>
      </c>
      <c r="F22" s="32" t="s">
        <v>68</v>
      </c>
      <c r="G22" s="32" t="s">
        <v>69</v>
      </c>
      <c r="H22" s="32" t="s">
        <v>70</v>
      </c>
      <c r="I22" s="32" t="s">
        <v>71</v>
      </c>
      <c r="J22" s="32" t="s">
        <v>72</v>
      </c>
      <c r="K22" s="32" t="s">
        <v>73</v>
      </c>
      <c r="L22" s="32" t="s">
        <v>74</v>
      </c>
      <c r="M22" s="32" t="s">
        <v>75</v>
      </c>
      <c r="N22" s="32" t="s">
        <v>76</v>
      </c>
      <c r="O22" s="32" t="s">
        <v>77</v>
      </c>
      <c r="P22" s="32" t="s">
        <v>78</v>
      </c>
      <c r="Q22" s="32" t="s">
        <v>79</v>
      </c>
      <c r="R22" s="32" t="s">
        <v>80</v>
      </c>
      <c r="S22" s="32" t="s">
        <v>81</v>
      </c>
      <c r="T22" s="32" t="s">
        <v>82</v>
      </c>
      <c r="U22" s="32" t="s">
        <v>83</v>
      </c>
      <c r="V22" s="32" t="s">
        <v>84</v>
      </c>
      <c r="W22" s="32" t="s">
        <v>85</v>
      </c>
      <c r="X22" s="32" t="s">
        <v>86</v>
      </c>
      <c r="Y22" s="32" t="s">
        <v>87</v>
      </c>
      <c r="Z22" s="32" t="s">
        <v>88</v>
      </c>
      <c r="AA22" s="32" t="s">
        <v>89</v>
      </c>
      <c r="AB22" s="32" t="s">
        <v>90</v>
      </c>
      <c r="AC22" s="32" t="s">
        <v>91</v>
      </c>
      <c r="AD22" s="32" t="s">
        <v>92</v>
      </c>
    </row>
    <row r="23" spans="1:30" ht="15.75" customHeight="1" x14ac:dyDescent="0.25">
      <c r="B23" s="33"/>
      <c r="C23" s="75"/>
      <c r="D23" s="75" t="s">
        <v>93</v>
      </c>
      <c r="E23" s="75" t="s">
        <v>93</v>
      </c>
      <c r="F23" s="75" t="s">
        <v>93</v>
      </c>
      <c r="G23" s="75" t="s">
        <v>94</v>
      </c>
      <c r="H23" s="75" t="s">
        <v>94</v>
      </c>
      <c r="I23" s="75" t="s">
        <v>94</v>
      </c>
      <c r="J23" s="75" t="s">
        <v>93</v>
      </c>
      <c r="K23" s="75" t="s">
        <v>93</v>
      </c>
      <c r="L23" s="75" t="s">
        <v>93</v>
      </c>
      <c r="M23" s="75" t="s">
        <v>95</v>
      </c>
      <c r="N23" s="75" t="s">
        <v>95</v>
      </c>
      <c r="O23" s="75" t="s">
        <v>95</v>
      </c>
      <c r="P23" s="75" t="s">
        <v>96</v>
      </c>
      <c r="Q23" s="75" t="s">
        <v>96</v>
      </c>
      <c r="R23" s="75" t="s">
        <v>96</v>
      </c>
      <c r="S23" s="75" t="s">
        <v>97</v>
      </c>
      <c r="T23" s="75" t="s">
        <v>98</v>
      </c>
      <c r="U23" s="75" t="s">
        <v>93</v>
      </c>
      <c r="V23" s="75" t="s">
        <v>93</v>
      </c>
      <c r="W23" s="75" t="s">
        <v>93</v>
      </c>
      <c r="X23" s="75" t="s">
        <v>93</v>
      </c>
      <c r="Y23" s="75" t="s">
        <v>93</v>
      </c>
      <c r="Z23" s="75" t="s">
        <v>93</v>
      </c>
      <c r="AA23" s="75" t="s">
        <v>93</v>
      </c>
      <c r="AB23" s="75" t="s">
        <v>93</v>
      </c>
      <c r="AC23" s="33" t="s">
        <v>93</v>
      </c>
      <c r="AD23" s="33" t="s">
        <v>99</v>
      </c>
    </row>
    <row r="24" spans="1:30" x14ac:dyDescent="0.25">
      <c r="B24" s="34" t="s">
        <v>492</v>
      </c>
      <c r="C24" s="76" t="s">
        <v>100</v>
      </c>
      <c r="D24" s="77">
        <v>119000000</v>
      </c>
      <c r="E24" s="77">
        <v>8410000</v>
      </c>
      <c r="F24" s="77">
        <v>8410000</v>
      </c>
      <c r="G24" s="78">
        <v>0.28999999999999998</v>
      </c>
      <c r="H24" s="78">
        <v>0.28999999999999998</v>
      </c>
      <c r="I24" s="78">
        <v>0.3</v>
      </c>
      <c r="J24" s="77">
        <v>4230000</v>
      </c>
      <c r="K24" s="77">
        <v>4230000</v>
      </c>
      <c r="L24" s="77">
        <v>2760000</v>
      </c>
      <c r="M24" s="77">
        <v>1.1800000000000001E-5</v>
      </c>
      <c r="N24" s="77">
        <v>1.1800000000000001E-5</v>
      </c>
      <c r="O24" s="77">
        <v>1.1800000000000001E-5</v>
      </c>
      <c r="P24" s="77">
        <v>45000</v>
      </c>
      <c r="Q24" s="77">
        <v>45000</v>
      </c>
      <c r="R24" s="77">
        <v>45000</v>
      </c>
      <c r="S24" s="77">
        <v>0</v>
      </c>
      <c r="T24" s="77">
        <v>1.61E-6</v>
      </c>
      <c r="U24" s="77">
        <v>2300000</v>
      </c>
      <c r="V24" s="77">
        <v>42800</v>
      </c>
      <c r="W24" s="77">
        <v>42800</v>
      </c>
      <c r="X24" s="77">
        <v>1330000</v>
      </c>
      <c r="Y24" s="77">
        <v>180000</v>
      </c>
      <c r="Z24" s="77">
        <v>180000</v>
      </c>
      <c r="AA24" s="77">
        <v>125000</v>
      </c>
      <c r="AB24" s="78">
        <v>86000</v>
      </c>
      <c r="AC24" s="35">
        <v>86000</v>
      </c>
      <c r="AD24" s="34" t="s">
        <v>101</v>
      </c>
    </row>
    <row r="25" spans="1:30" x14ac:dyDescent="0.25">
      <c r="B25" s="34" t="s">
        <v>102</v>
      </c>
      <c r="C25" s="76" t="s">
        <v>100</v>
      </c>
      <c r="D25" s="77">
        <v>54200000</v>
      </c>
      <c r="E25" s="77">
        <v>54200000</v>
      </c>
      <c r="F25" s="77">
        <v>8410000</v>
      </c>
      <c r="G25" s="78">
        <v>4.2000000000000003E-2</v>
      </c>
      <c r="H25" s="78">
        <v>0.3</v>
      </c>
      <c r="I25" s="78">
        <v>0.3</v>
      </c>
      <c r="J25" s="77">
        <v>4210000</v>
      </c>
      <c r="K25" s="77">
        <v>3450000</v>
      </c>
      <c r="L25" s="77">
        <v>3450000</v>
      </c>
      <c r="M25" s="77">
        <v>1.1800000000000001E-5</v>
      </c>
      <c r="N25" s="77">
        <v>1.1800000000000001E-5</v>
      </c>
      <c r="O25" s="77">
        <v>1.1800000000000001E-5</v>
      </c>
      <c r="P25" s="77">
        <v>45000</v>
      </c>
      <c r="Q25" s="77">
        <v>45000</v>
      </c>
      <c r="R25" s="77">
        <v>45000</v>
      </c>
      <c r="S25" s="77">
        <v>0</v>
      </c>
      <c r="T25" s="77">
        <v>1.5600000000000001E-6</v>
      </c>
      <c r="U25" s="77">
        <v>678000</v>
      </c>
      <c r="V25" s="77">
        <v>678000</v>
      </c>
      <c r="W25" s="77">
        <v>42800</v>
      </c>
      <c r="X25" s="77">
        <v>703000</v>
      </c>
      <c r="Y25" s="77">
        <v>703000</v>
      </c>
      <c r="Z25" s="77">
        <v>180000</v>
      </c>
      <c r="AA25" s="77">
        <v>125000</v>
      </c>
      <c r="AB25" s="78">
        <v>86000</v>
      </c>
      <c r="AC25" s="35">
        <v>86000</v>
      </c>
      <c r="AD25" s="34" t="s">
        <v>101</v>
      </c>
    </row>
    <row r="26" spans="1:30" ht="15.75" customHeight="1" x14ac:dyDescent="0.25">
      <c r="B26" s="36" t="s">
        <v>103</v>
      </c>
      <c r="C26" s="76" t="s">
        <v>104</v>
      </c>
      <c r="D26" s="79">
        <v>57000</v>
      </c>
      <c r="E26" s="79">
        <v>57000</v>
      </c>
      <c r="F26" s="79">
        <v>57000</v>
      </c>
      <c r="G26" s="76">
        <v>0.32</v>
      </c>
      <c r="H26" s="76">
        <v>0.32</v>
      </c>
      <c r="I26" s="76">
        <v>0.32</v>
      </c>
      <c r="J26" s="79">
        <v>18000</v>
      </c>
      <c r="K26" s="79">
        <v>18000</v>
      </c>
      <c r="L26" s="79">
        <v>18000</v>
      </c>
      <c r="M26" s="79">
        <v>1.1800000000000001E-5</v>
      </c>
      <c r="N26" s="79">
        <v>1.1800000000000001E-5</v>
      </c>
      <c r="O26" s="79">
        <v>1.1800000000000001E-5</v>
      </c>
      <c r="P26" s="79">
        <v>45000</v>
      </c>
      <c r="Q26" s="79">
        <v>45000</v>
      </c>
      <c r="R26" s="79">
        <v>45000</v>
      </c>
      <c r="S26" s="79">
        <v>0</v>
      </c>
      <c r="T26" s="79">
        <v>6.5E-8</v>
      </c>
      <c r="U26" s="79">
        <v>1500</v>
      </c>
      <c r="V26" s="79">
        <v>1500</v>
      </c>
      <c r="W26" s="79">
        <v>1500</v>
      </c>
      <c r="X26" s="79">
        <v>850</v>
      </c>
      <c r="Y26" s="79">
        <v>850</v>
      </c>
      <c r="Z26" s="79">
        <v>850</v>
      </c>
      <c r="AA26" s="79">
        <v>750</v>
      </c>
      <c r="AB26" s="79">
        <v>750</v>
      </c>
      <c r="AC26" s="37">
        <v>750</v>
      </c>
      <c r="AD26" s="36" t="s">
        <v>101</v>
      </c>
    </row>
    <row r="27" spans="1:30" ht="15.75" customHeight="1" x14ac:dyDescent="0.25">
      <c r="B27" s="39"/>
      <c r="C27" s="39"/>
      <c r="D27" s="40"/>
      <c r="E27" s="40"/>
      <c r="F27" s="40"/>
      <c r="G27" s="38"/>
      <c r="H27" s="38"/>
      <c r="I27" s="38"/>
      <c r="J27" s="40"/>
      <c r="K27" s="40"/>
      <c r="L27" s="40"/>
      <c r="M27" s="40"/>
      <c r="N27" s="40"/>
      <c r="O27" s="40"/>
      <c r="P27" s="40"/>
      <c r="Q27" s="40"/>
      <c r="R27" s="40"/>
      <c r="S27" s="40"/>
      <c r="T27" s="40"/>
      <c r="U27" s="40"/>
      <c r="V27" s="40"/>
      <c r="W27" s="40"/>
      <c r="X27" s="40"/>
      <c r="Y27" s="40"/>
      <c r="Z27" s="40"/>
      <c r="AA27" s="40"/>
      <c r="AB27" s="40"/>
      <c r="AC27" s="40"/>
      <c r="AD27" s="39"/>
    </row>
    <row r="28" spans="1:30" ht="15.75" thickBot="1" x14ac:dyDescent="0.3"/>
    <row r="29" spans="1:30" ht="15.75" thickBot="1" x14ac:dyDescent="0.3">
      <c r="B29" s="81" t="s">
        <v>64</v>
      </c>
      <c r="C29" s="95" t="s">
        <v>65</v>
      </c>
      <c r="D29" s="98" t="s">
        <v>66</v>
      </c>
      <c r="E29" s="99" t="s">
        <v>67</v>
      </c>
      <c r="F29" s="96" t="s">
        <v>68</v>
      </c>
      <c r="G29" s="88" t="s">
        <v>69</v>
      </c>
      <c r="H29" s="88" t="s">
        <v>70</v>
      </c>
      <c r="I29" s="100" t="s">
        <v>71</v>
      </c>
      <c r="J29" s="107" t="s">
        <v>72</v>
      </c>
      <c r="K29" s="96" t="s">
        <v>73</v>
      </c>
      <c r="L29" s="88" t="s">
        <v>74</v>
      </c>
      <c r="M29" s="89" t="s">
        <v>75</v>
      </c>
      <c r="N29" s="89" t="s">
        <v>76</v>
      </c>
      <c r="O29" s="89" t="s">
        <v>77</v>
      </c>
      <c r="P29" s="89" t="s">
        <v>78</v>
      </c>
      <c r="Q29" s="89" t="s">
        <v>79</v>
      </c>
      <c r="R29" s="89" t="s">
        <v>80</v>
      </c>
      <c r="S29" s="109" t="s">
        <v>81</v>
      </c>
      <c r="T29" s="107" t="s">
        <v>82</v>
      </c>
      <c r="U29" s="110" t="s">
        <v>83</v>
      </c>
      <c r="V29" s="89" t="s">
        <v>84</v>
      </c>
      <c r="W29" s="109" t="s">
        <v>85</v>
      </c>
      <c r="X29" s="87" t="s">
        <v>86</v>
      </c>
      <c r="Y29" s="89" t="s">
        <v>87</v>
      </c>
      <c r="Z29" s="89" t="s">
        <v>88</v>
      </c>
      <c r="AA29" s="90" t="s">
        <v>89</v>
      </c>
      <c r="AB29" s="115" t="s">
        <v>90</v>
      </c>
      <c r="AC29" s="83" t="s">
        <v>91</v>
      </c>
      <c r="AD29" s="32" t="s">
        <v>92</v>
      </c>
    </row>
    <row r="30" spans="1:30" ht="15.75" customHeight="1" x14ac:dyDescent="0.25">
      <c r="B30" s="44"/>
      <c r="C30" s="91"/>
      <c r="D30" s="47" t="s">
        <v>5</v>
      </c>
      <c r="E30" s="48" t="s">
        <v>5</v>
      </c>
      <c r="F30" s="97" t="s">
        <v>5</v>
      </c>
      <c r="G30" s="62" t="s">
        <v>14</v>
      </c>
      <c r="H30" s="63" t="s">
        <v>14</v>
      </c>
      <c r="I30" s="101" t="s">
        <v>14</v>
      </c>
      <c r="J30" s="108" t="s">
        <v>5</v>
      </c>
      <c r="K30" s="104" t="s">
        <v>5</v>
      </c>
      <c r="L30" s="60" t="s">
        <v>5</v>
      </c>
      <c r="M30" s="45"/>
      <c r="N30" s="33"/>
      <c r="O30" s="33"/>
      <c r="P30" s="33"/>
      <c r="Q30" s="33"/>
      <c r="R30" s="33"/>
      <c r="S30" s="44"/>
      <c r="T30" s="68" t="s">
        <v>39</v>
      </c>
      <c r="U30" s="111" t="s">
        <v>5</v>
      </c>
      <c r="V30" s="72" t="s">
        <v>5</v>
      </c>
      <c r="W30" s="112" t="s">
        <v>5</v>
      </c>
      <c r="X30" s="71" t="s">
        <v>5</v>
      </c>
      <c r="Y30" s="72" t="s">
        <v>5</v>
      </c>
      <c r="Z30" s="55" t="s">
        <v>5</v>
      </c>
      <c r="AA30" s="56" t="s">
        <v>5</v>
      </c>
      <c r="AB30" s="84" t="s">
        <v>5</v>
      </c>
      <c r="AC30" s="84" t="s">
        <v>5</v>
      </c>
      <c r="AD30" s="33"/>
    </row>
    <row r="31" spans="1:30" x14ac:dyDescent="0.25">
      <c r="B31" s="82" t="s">
        <v>492</v>
      </c>
      <c r="C31" s="91" t="s">
        <v>100</v>
      </c>
      <c r="D31" s="49">
        <f>D24*0.1450377</f>
        <v>17259486.300000001</v>
      </c>
      <c r="E31" s="51">
        <f t="shared" ref="E31:F31" si="0">E24*0.1450377</f>
        <v>1219767.057</v>
      </c>
      <c r="F31" s="85">
        <f t="shared" si="0"/>
        <v>1219767.057</v>
      </c>
      <c r="G31" s="64">
        <f>G24</f>
        <v>0.28999999999999998</v>
      </c>
      <c r="H31" s="61">
        <f t="shared" ref="H31:I31" si="1">H24</f>
        <v>0.28999999999999998</v>
      </c>
      <c r="I31" s="102">
        <f t="shared" si="1"/>
        <v>0.3</v>
      </c>
      <c r="J31" s="57">
        <f t="shared" ref="J31:L31" si="2">J24*0.1450377</f>
        <v>613509.47100000002</v>
      </c>
      <c r="K31" s="105">
        <f t="shared" si="2"/>
        <v>613509.47100000002</v>
      </c>
      <c r="L31" s="51">
        <f t="shared" si="2"/>
        <v>400304.05199999997</v>
      </c>
      <c r="M31" s="59"/>
      <c r="N31" s="43"/>
      <c r="O31" s="43"/>
      <c r="P31" s="43"/>
      <c r="Q31" s="43"/>
      <c r="R31" s="43"/>
      <c r="S31" s="67"/>
      <c r="T31" s="69">
        <f>T24*0.00003612729*1000^3</f>
        <v>5.8164936900000005E-2</v>
      </c>
      <c r="U31" s="105">
        <f>U24*0.1450377</f>
        <v>333586.70999999996</v>
      </c>
      <c r="V31" s="50">
        <f t="shared" ref="V31:W31" si="3">V24*0.1450377</f>
        <v>6207.6135599999998</v>
      </c>
      <c r="W31" s="113">
        <f t="shared" si="3"/>
        <v>6207.6135599999998</v>
      </c>
      <c r="X31" s="49">
        <f>X24*0.1450377</f>
        <v>192900.141</v>
      </c>
      <c r="Y31" s="50">
        <f t="shared" ref="Y31:Z31" si="4">Y24*0.1450377</f>
        <v>26106.786</v>
      </c>
      <c r="Z31" s="51">
        <f t="shared" si="4"/>
        <v>26106.786</v>
      </c>
      <c r="AA31" s="57">
        <f>AA24*0.1450377</f>
        <v>18129.712499999998</v>
      </c>
      <c r="AB31" s="85">
        <f t="shared" ref="AB31:AC31" si="5">AB24*0.1450377</f>
        <v>12473.242199999999</v>
      </c>
      <c r="AC31" s="85">
        <f t="shared" si="5"/>
        <v>12473.242199999999</v>
      </c>
      <c r="AD31" s="42"/>
    </row>
    <row r="32" spans="1:30" x14ac:dyDescent="0.25">
      <c r="B32" s="82" t="s">
        <v>102</v>
      </c>
      <c r="C32" s="91" t="s">
        <v>100</v>
      </c>
      <c r="D32" s="49">
        <f t="shared" ref="D32:F32" si="6">D25*0.1450377</f>
        <v>7861043.3399999999</v>
      </c>
      <c r="E32" s="51">
        <f t="shared" si="6"/>
        <v>7861043.3399999999</v>
      </c>
      <c r="F32" s="85">
        <f t="shared" si="6"/>
        <v>1219767.057</v>
      </c>
      <c r="G32" s="64">
        <f t="shared" ref="G32:I32" si="7">G25</f>
        <v>4.2000000000000003E-2</v>
      </c>
      <c r="H32" s="61">
        <f t="shared" si="7"/>
        <v>0.3</v>
      </c>
      <c r="I32" s="102">
        <f t="shared" si="7"/>
        <v>0.3</v>
      </c>
      <c r="J32" s="57">
        <f t="shared" ref="J32:L32" si="8">J25*0.1450377</f>
        <v>610608.71699999995</v>
      </c>
      <c r="K32" s="105">
        <f t="shared" si="8"/>
        <v>500380.06499999994</v>
      </c>
      <c r="L32" s="51">
        <f t="shared" si="8"/>
        <v>500380.06499999994</v>
      </c>
      <c r="M32" s="59"/>
      <c r="N32" s="43"/>
      <c r="O32" s="43"/>
      <c r="P32" s="43"/>
      <c r="Q32" s="43"/>
      <c r="R32" s="43"/>
      <c r="S32" s="67"/>
      <c r="T32" s="69">
        <f t="shared" ref="T32:T33" si="9">T25*0.00003612729*1000^3</f>
        <v>5.6358572400000001E-2</v>
      </c>
      <c r="U32" s="105">
        <f t="shared" ref="U32:AC32" si="10">U25*0.1450377</f>
        <v>98335.560599999997</v>
      </c>
      <c r="V32" s="50">
        <f t="shared" si="10"/>
        <v>98335.560599999997</v>
      </c>
      <c r="W32" s="113">
        <f t="shared" si="10"/>
        <v>6207.6135599999998</v>
      </c>
      <c r="X32" s="49">
        <f t="shared" si="10"/>
        <v>101961.50309999999</v>
      </c>
      <c r="Y32" s="50">
        <f t="shared" si="10"/>
        <v>101961.50309999999</v>
      </c>
      <c r="Z32" s="51">
        <f t="shared" si="10"/>
        <v>26106.786</v>
      </c>
      <c r="AA32" s="57">
        <f t="shared" si="10"/>
        <v>18129.712499999998</v>
      </c>
      <c r="AB32" s="85">
        <f t="shared" si="10"/>
        <v>12473.242199999999</v>
      </c>
      <c r="AC32" s="85">
        <f t="shared" si="10"/>
        <v>12473.242199999999</v>
      </c>
      <c r="AD32" s="42"/>
    </row>
    <row r="33" spans="1:30" ht="15.75" customHeight="1" thickBot="1" x14ac:dyDescent="0.3">
      <c r="B33" s="44" t="s">
        <v>103</v>
      </c>
      <c r="C33" s="92" t="s">
        <v>104</v>
      </c>
      <c r="D33" s="52">
        <f t="shared" ref="D33:F33" si="11">D26*0.1450377</f>
        <v>8267.1489000000001</v>
      </c>
      <c r="E33" s="54">
        <f t="shared" si="11"/>
        <v>8267.1489000000001</v>
      </c>
      <c r="F33" s="86">
        <f t="shared" si="11"/>
        <v>8267.1489000000001</v>
      </c>
      <c r="G33" s="65">
        <f t="shared" ref="G33:I33" si="12">G26</f>
        <v>0.32</v>
      </c>
      <c r="H33" s="66">
        <f t="shared" si="12"/>
        <v>0.32</v>
      </c>
      <c r="I33" s="103">
        <f t="shared" si="12"/>
        <v>0.32</v>
      </c>
      <c r="J33" s="58">
        <f t="shared" ref="J33:L33" si="13">J26*0.1450377</f>
        <v>2610.6785999999997</v>
      </c>
      <c r="K33" s="106">
        <f t="shared" si="13"/>
        <v>2610.6785999999997</v>
      </c>
      <c r="L33" s="54">
        <f t="shared" si="13"/>
        <v>2610.6785999999997</v>
      </c>
      <c r="M33" s="93"/>
      <c r="N33" s="46"/>
      <c r="O33" s="46"/>
      <c r="P33" s="46"/>
      <c r="Q33" s="46"/>
      <c r="R33" s="46"/>
      <c r="S33" s="94"/>
      <c r="T33" s="70">
        <f t="shared" si="9"/>
        <v>2.3482738500000002E-3</v>
      </c>
      <c r="U33" s="106">
        <f t="shared" ref="U33:AC33" si="14">U26*0.1450377</f>
        <v>217.55654999999999</v>
      </c>
      <c r="V33" s="53">
        <f t="shared" si="14"/>
        <v>217.55654999999999</v>
      </c>
      <c r="W33" s="114">
        <f t="shared" si="14"/>
        <v>217.55654999999999</v>
      </c>
      <c r="X33" s="52">
        <f t="shared" si="14"/>
        <v>123.282045</v>
      </c>
      <c r="Y33" s="53">
        <f t="shared" si="14"/>
        <v>123.282045</v>
      </c>
      <c r="Z33" s="54">
        <f t="shared" si="14"/>
        <v>123.282045</v>
      </c>
      <c r="AA33" s="58">
        <f t="shared" si="14"/>
        <v>108.77827499999999</v>
      </c>
      <c r="AB33" s="86">
        <f t="shared" si="14"/>
        <v>108.77827499999999</v>
      </c>
      <c r="AC33" s="86">
        <f t="shared" si="14"/>
        <v>108.77827499999999</v>
      </c>
      <c r="AD33" s="33"/>
    </row>
    <row r="36" spans="1:30" x14ac:dyDescent="0.25">
      <c r="A36" s="80" t="s">
        <v>107</v>
      </c>
    </row>
    <row r="37" spans="1:30" x14ac:dyDescent="0.25">
      <c r="B37" s="34" t="s">
        <v>102</v>
      </c>
    </row>
    <row r="38" spans="1:30" x14ac:dyDescent="0.25">
      <c r="B38" t="s">
        <v>108</v>
      </c>
    </row>
    <row r="39" spans="1:30" x14ac:dyDescent="0.25">
      <c r="B39" s="14" t="s">
        <v>66</v>
      </c>
      <c r="C39" s="116">
        <v>2126027.1171399769</v>
      </c>
      <c r="D39" s="2" t="s">
        <v>5</v>
      </c>
      <c r="E39" s="2"/>
    </row>
    <row r="40" spans="1:30" x14ac:dyDescent="0.25">
      <c r="B40" s="14" t="s">
        <v>67</v>
      </c>
      <c r="C40" s="116">
        <v>2126027.1171399769</v>
      </c>
      <c r="D40" s="2" t="s">
        <v>5</v>
      </c>
      <c r="E40" s="2"/>
    </row>
    <row r="41" spans="1:30" ht="12.95" customHeight="1" x14ac:dyDescent="0.25">
      <c r="B41" s="14" t="s">
        <v>72</v>
      </c>
      <c r="C41" s="116">
        <v>3772093.7332053748</v>
      </c>
      <c r="D41" s="2" t="s">
        <v>5</v>
      </c>
      <c r="E41" s="2"/>
    </row>
    <row r="42" spans="1:30" x14ac:dyDescent="0.25">
      <c r="B42" s="14" t="s">
        <v>109</v>
      </c>
      <c r="C42" s="117">
        <v>0.74090793166647295</v>
      </c>
      <c r="D42" s="2"/>
      <c r="E42" s="2"/>
    </row>
    <row r="43" spans="1:30" x14ac:dyDescent="0.25">
      <c r="B43" s="2" t="s">
        <v>110</v>
      </c>
      <c r="C43" s="116"/>
      <c r="D43" s="2"/>
      <c r="E43" s="14" t="s">
        <v>118</v>
      </c>
    </row>
    <row r="44" spans="1:30" x14ac:dyDescent="0.25">
      <c r="B44" s="14" t="s">
        <v>111</v>
      </c>
      <c r="C44" s="116">
        <v>290.12830539565363</v>
      </c>
      <c r="D44" s="2" t="s">
        <v>112</v>
      </c>
      <c r="E44" s="116">
        <v>36266.038174456706</v>
      </c>
      <c r="F44" t="s">
        <v>5</v>
      </c>
      <c r="G44" s="2" t="s">
        <v>5</v>
      </c>
    </row>
    <row r="45" spans="1:30" x14ac:dyDescent="0.25">
      <c r="B45" s="14" t="s">
        <v>113</v>
      </c>
      <c r="C45" s="116">
        <v>-290.12830598269579</v>
      </c>
      <c r="D45" s="2" t="s">
        <v>112</v>
      </c>
      <c r="E45" s="116">
        <v>-36266.038247836972</v>
      </c>
      <c r="F45" t="s">
        <v>5</v>
      </c>
      <c r="G45" s="2" t="s">
        <v>5</v>
      </c>
    </row>
    <row r="46" spans="1:30" x14ac:dyDescent="0.25">
      <c r="B46" s="14" t="s">
        <v>114</v>
      </c>
      <c r="C46" s="116">
        <v>290.12830539565363</v>
      </c>
      <c r="D46" s="2" t="s">
        <v>112</v>
      </c>
      <c r="E46" s="116">
        <v>36266.038174456706</v>
      </c>
      <c r="F46" t="s">
        <v>5</v>
      </c>
      <c r="G46" s="2" t="s">
        <v>5</v>
      </c>
    </row>
    <row r="47" spans="1:30" x14ac:dyDescent="0.25">
      <c r="B47" s="14" t="s">
        <v>115</v>
      </c>
      <c r="C47" s="116">
        <v>-290.12830598269579</v>
      </c>
      <c r="D47" s="2" t="s">
        <v>112</v>
      </c>
      <c r="E47" s="116">
        <v>-36266.038247836972</v>
      </c>
      <c r="F47" t="s">
        <v>5</v>
      </c>
      <c r="G47" s="2" t="s">
        <v>5</v>
      </c>
    </row>
    <row r="48" spans="1:30" x14ac:dyDescent="0.25">
      <c r="B48" s="14" t="s">
        <v>116</v>
      </c>
      <c r="C48" s="116">
        <v>787.07974461249762</v>
      </c>
      <c r="D48" s="2" t="s">
        <v>112</v>
      </c>
      <c r="E48" s="116">
        <v>98384.968076562203</v>
      </c>
      <c r="F48" t="s">
        <v>5</v>
      </c>
      <c r="G48" s="2" t="s">
        <v>5</v>
      </c>
    </row>
    <row r="49" spans="2:5" x14ac:dyDescent="0.25">
      <c r="B49" s="14" t="s">
        <v>117</v>
      </c>
      <c r="C49" s="117">
        <v>8.9999999999999993E-3</v>
      </c>
      <c r="D49" s="2" t="s">
        <v>4</v>
      </c>
      <c r="E49" s="2"/>
    </row>
    <row r="50" spans="2:5" x14ac:dyDescent="0.25">
      <c r="C50" s="11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5"/>
  <dimension ref="A1:Q98"/>
  <sheetViews>
    <sheetView zoomScale="130" zoomScaleNormal="130" workbookViewId="0">
      <selection activeCell="U45" sqref="U45"/>
    </sheetView>
  </sheetViews>
  <sheetFormatPr defaultRowHeight="15" x14ac:dyDescent="0.25"/>
  <cols>
    <col min="2" max="2" width="9.140625" bestFit="1" customWidth="1"/>
    <col min="16" max="16" width="10" customWidth="1"/>
    <col min="17" max="17" width="10.140625" customWidth="1"/>
  </cols>
  <sheetData>
    <row r="1" spans="1:17" x14ac:dyDescent="0.25">
      <c r="A1" s="4" t="s">
        <v>222</v>
      </c>
    </row>
    <row r="2" spans="1:17" x14ac:dyDescent="0.25">
      <c r="A2" t="s">
        <v>223</v>
      </c>
    </row>
    <row r="4" spans="1:17" x14ac:dyDescent="0.25">
      <c r="Q4" s="2"/>
    </row>
    <row r="5" spans="1:17" x14ac:dyDescent="0.25">
      <c r="Q5" s="116"/>
    </row>
    <row r="6" spans="1:17" x14ac:dyDescent="0.25">
      <c r="Q6" s="2"/>
    </row>
    <row r="7" spans="1:17" x14ac:dyDescent="0.25">
      <c r="Q7" s="2"/>
    </row>
    <row r="8" spans="1:17" x14ac:dyDescent="0.25">
      <c r="O8" s="4" t="s">
        <v>232</v>
      </c>
      <c r="Q8" s="2"/>
    </row>
    <row r="9" spans="1:17" x14ac:dyDescent="0.25">
      <c r="O9" t="s">
        <v>224</v>
      </c>
      <c r="P9" t="s">
        <v>235</v>
      </c>
      <c r="Q9" s="41" t="s">
        <v>234</v>
      </c>
    </row>
    <row r="10" spans="1:17" x14ac:dyDescent="0.25">
      <c r="O10" s="2">
        <v>0</v>
      </c>
      <c r="P10" s="2">
        <v>5.3</v>
      </c>
      <c r="Q10" s="11">
        <f>-50.995*O10^3+45.565*O10^2-18.064*O10+5.2989</f>
        <v>5.2988999999999997</v>
      </c>
    </row>
    <row r="11" spans="1:17" x14ac:dyDescent="0.25">
      <c r="O11" s="2">
        <v>0.05</v>
      </c>
      <c r="P11" s="2">
        <v>4.5</v>
      </c>
      <c r="Q11" s="11">
        <f t="shared" ref="Q11:Q14" si="0">-50.995*O11^3+45.565*O11^2-18.064*O11+5.2989</f>
        <v>4.5032381249999993</v>
      </c>
    </row>
    <row r="12" spans="1:17" x14ac:dyDescent="0.25">
      <c r="O12" s="2">
        <v>0.1</v>
      </c>
      <c r="P12" s="2">
        <v>3.9</v>
      </c>
      <c r="Q12" s="11">
        <f t="shared" si="0"/>
        <v>3.8971549999999997</v>
      </c>
    </row>
    <row r="13" spans="1:17" x14ac:dyDescent="0.25">
      <c r="O13" s="2">
        <v>0.2</v>
      </c>
      <c r="P13" s="2">
        <v>3.1</v>
      </c>
      <c r="Q13" s="11">
        <f t="shared" si="0"/>
        <v>3.1007400000000001</v>
      </c>
    </row>
    <row r="14" spans="1:17" x14ac:dyDescent="0.25">
      <c r="O14" s="2">
        <v>0.4</v>
      </c>
      <c r="P14" s="2">
        <v>2.1</v>
      </c>
      <c r="Q14" s="11">
        <f t="shared" si="0"/>
        <v>2.1000199999999998</v>
      </c>
    </row>
    <row r="27" spans="17:17" x14ac:dyDescent="0.25">
      <c r="Q27" s="2"/>
    </row>
    <row r="28" spans="17:17" x14ac:dyDescent="0.25">
      <c r="Q28" s="116"/>
    </row>
    <row r="29" spans="17:17" x14ac:dyDescent="0.25">
      <c r="Q29" s="2"/>
    </row>
    <row r="43" spans="1:12" x14ac:dyDescent="0.25">
      <c r="A43" t="s">
        <v>4</v>
      </c>
      <c r="B43" t="s">
        <v>5</v>
      </c>
      <c r="C43" t="s">
        <v>4</v>
      </c>
      <c r="D43" t="s">
        <v>4</v>
      </c>
      <c r="E43" t="s">
        <v>5</v>
      </c>
      <c r="G43" t="s">
        <v>233</v>
      </c>
      <c r="I43" t="s">
        <v>5</v>
      </c>
    </row>
    <row r="44" spans="1:12" x14ac:dyDescent="0.25">
      <c r="A44" t="s">
        <v>225</v>
      </c>
      <c r="B44" t="s">
        <v>226</v>
      </c>
      <c r="C44" t="s">
        <v>227</v>
      </c>
      <c r="D44" t="s">
        <v>138</v>
      </c>
      <c r="E44" t="s">
        <v>228</v>
      </c>
      <c r="F44" t="s">
        <v>224</v>
      </c>
      <c r="G44" t="s">
        <v>229</v>
      </c>
      <c r="H44" t="s">
        <v>230</v>
      </c>
      <c r="I44" t="s">
        <v>231</v>
      </c>
      <c r="K44" t="s">
        <v>236</v>
      </c>
      <c r="L44" t="s">
        <v>237</v>
      </c>
    </row>
    <row r="45" spans="1:12" x14ac:dyDescent="0.25">
      <c r="A45" s="2">
        <v>0.125</v>
      </c>
      <c r="B45" s="116">
        <v>2100000</v>
      </c>
      <c r="C45" s="2">
        <v>3.2000000000000001E-2</v>
      </c>
      <c r="D45" s="2">
        <v>20</v>
      </c>
      <c r="E45" s="2">
        <v>2600</v>
      </c>
      <c r="F45" s="41">
        <f>(PI()^2)*A45*B45*C45/(2*E45*D45^2)</f>
        <v>3.98580177736301E-2</v>
      </c>
      <c r="G45">
        <v>0</v>
      </c>
      <c r="H45" s="207">
        <f>IF((-50.995*F45^3+45.565*F45^2-18.064*F45+5.2989)&gt;2,(-50.995*F45^3+45.565*F45^2-18.064*F45+5.2989),2)</f>
        <v>4.6480630824949634</v>
      </c>
      <c r="I45">
        <f>(PI()^2)*H45*(A45^2)*B45/(4*D45^2)</f>
        <v>940.78654391230316</v>
      </c>
      <c r="K45" s="207">
        <f>AVERAGE($H$45:$H$60)</f>
        <v>2.7181577078629022</v>
      </c>
      <c r="L45" s="209">
        <f>K45/H45-1</f>
        <v>-0.41520636453929893</v>
      </c>
    </row>
    <row r="46" spans="1:12" x14ac:dyDescent="0.25">
      <c r="A46" s="2">
        <v>0.25</v>
      </c>
      <c r="B46" s="116">
        <v>2100000</v>
      </c>
      <c r="C46" s="2">
        <v>3.2000000000000001E-2</v>
      </c>
      <c r="D46" s="2">
        <v>20</v>
      </c>
      <c r="E46" s="2">
        <v>2600</v>
      </c>
      <c r="F46" s="41">
        <f t="shared" ref="F46:F52" si="1">(PI()^2)*A46*B46*C46/(2*E46*D46^2)</f>
        <v>7.97160355472602E-2</v>
      </c>
      <c r="G46">
        <v>0</v>
      </c>
      <c r="H46" s="207">
        <f t="shared" ref="H46:H60" si="2">IF((-50.995*F46^3+45.565*F46^2-18.064*F46+5.2989)&gt;2,(-50.995*F46^3+45.565*F46^2-18.064*F46+5.2989),2)</f>
        <v>4.1226265986123858</v>
      </c>
      <c r="I46">
        <f t="shared" ref="I46:I52" si="3">(PI()^2)*H46*(A46^2)*B46/(4*D46^2)</f>
        <v>3337.7443986561325</v>
      </c>
      <c r="K46" s="207">
        <f t="shared" ref="K46:K60" si="4">AVERAGE($H$45:$H$60)</f>
        <v>2.7181577078629022</v>
      </c>
      <c r="L46" s="209">
        <f t="shared" ref="L46:L60" si="5">K46/H46-1</f>
        <v>-0.3406733200678923</v>
      </c>
    </row>
    <row r="47" spans="1:12" x14ac:dyDescent="0.25">
      <c r="A47" s="2">
        <v>0.375</v>
      </c>
      <c r="B47" s="116">
        <v>2100000</v>
      </c>
      <c r="C47" s="2">
        <v>3.2000000000000001E-2</v>
      </c>
      <c r="D47" s="2">
        <v>20</v>
      </c>
      <c r="E47" s="2">
        <v>2600</v>
      </c>
      <c r="F47" s="41">
        <f t="shared" si="1"/>
        <v>0.1195740533208903</v>
      </c>
      <c r="G47">
        <v>0</v>
      </c>
      <c r="H47" s="207">
        <f t="shared" si="2"/>
        <v>3.7032162521125036</v>
      </c>
      <c r="I47">
        <f t="shared" si="3"/>
        <v>6745.9119242057159</v>
      </c>
      <c r="K47" s="207">
        <f t="shared" si="4"/>
        <v>2.7181577078629022</v>
      </c>
      <c r="L47" s="209">
        <f t="shared" si="5"/>
        <v>-0.26600081582804502</v>
      </c>
    </row>
    <row r="48" spans="1:12" x14ac:dyDescent="0.25">
      <c r="A48" s="2">
        <v>0.5</v>
      </c>
      <c r="B48" s="116">
        <v>2100000</v>
      </c>
      <c r="C48" s="2">
        <v>3.2000000000000001E-2</v>
      </c>
      <c r="D48" s="2">
        <v>20</v>
      </c>
      <c r="E48" s="2">
        <v>2600</v>
      </c>
      <c r="F48" s="41">
        <f t="shared" si="1"/>
        <v>0.1594320710945204</v>
      </c>
      <c r="G48">
        <v>0</v>
      </c>
      <c r="H48" s="207">
        <f t="shared" si="2"/>
        <v>3.3704577467555508</v>
      </c>
      <c r="I48">
        <f t="shared" si="3"/>
        <v>10915.105888005473</v>
      </c>
      <c r="K48" s="207">
        <f t="shared" si="4"/>
        <v>2.7181577078629022</v>
      </c>
      <c r="L48" s="209">
        <f t="shared" si="5"/>
        <v>-0.19353455462260627</v>
      </c>
    </row>
    <row r="49" spans="1:12" x14ac:dyDescent="0.25">
      <c r="A49" s="2">
        <v>0.625</v>
      </c>
      <c r="B49" s="116">
        <v>2100000</v>
      </c>
      <c r="C49" s="2">
        <v>3.2000000000000001E-2</v>
      </c>
      <c r="D49" s="2">
        <v>20</v>
      </c>
      <c r="E49" s="2">
        <v>2600</v>
      </c>
      <c r="F49" s="41">
        <f t="shared" si="1"/>
        <v>0.19929008886815053</v>
      </c>
      <c r="G49">
        <v>0</v>
      </c>
      <c r="H49" s="207">
        <f t="shared" si="2"/>
        <v>3.1049767863017634</v>
      </c>
      <c r="I49">
        <f t="shared" si="3"/>
        <v>15711.492765201361</v>
      </c>
      <c r="K49" s="207">
        <f t="shared" si="4"/>
        <v>2.7181577078629022</v>
      </c>
      <c r="L49" s="209">
        <f t="shared" si="5"/>
        <v>-0.12458034473732371</v>
      </c>
    </row>
    <row r="50" spans="1:12" x14ac:dyDescent="0.25">
      <c r="A50" s="2">
        <v>0.75</v>
      </c>
      <c r="B50" s="116">
        <v>2100000</v>
      </c>
      <c r="C50" s="2">
        <v>3.2000000000000001E-2</v>
      </c>
      <c r="D50" s="2">
        <v>20</v>
      </c>
      <c r="E50" s="2">
        <v>2600</v>
      </c>
      <c r="F50" s="41">
        <f t="shared" si="1"/>
        <v>0.2391481066417806</v>
      </c>
      <c r="G50">
        <v>0</v>
      </c>
      <c r="H50" s="207">
        <f t="shared" si="2"/>
        <v>2.8873990745113769</v>
      </c>
      <c r="I50">
        <f t="shared" si="3"/>
        <v>21039.160038872178</v>
      </c>
      <c r="K50" s="207">
        <f t="shared" si="4"/>
        <v>2.7181577078629022</v>
      </c>
      <c r="L50" s="209">
        <f t="shared" si="5"/>
        <v>-5.8613777410424173E-2</v>
      </c>
    </row>
    <row r="51" spans="1:12" x14ac:dyDescent="0.25">
      <c r="A51" s="2">
        <v>0.875</v>
      </c>
      <c r="B51" s="116">
        <v>2100000</v>
      </c>
      <c r="C51" s="2">
        <v>3.2000000000000001E-2</v>
      </c>
      <c r="D51" s="2">
        <v>20</v>
      </c>
      <c r="E51" s="2">
        <v>2600</v>
      </c>
      <c r="F51" s="41">
        <f t="shared" si="1"/>
        <v>0.27900612441541073</v>
      </c>
      <c r="G51">
        <v>0</v>
      </c>
      <c r="H51" s="207">
        <f t="shared" si="2"/>
        <v>2.6983503151446264</v>
      </c>
      <c r="I51">
        <f t="shared" si="3"/>
        <v>26761.687500260934</v>
      </c>
      <c r="K51" s="207">
        <f t="shared" si="4"/>
        <v>2.7181577078629022</v>
      </c>
      <c r="L51" s="209">
        <f t="shared" si="5"/>
        <v>7.3405564159352288E-3</v>
      </c>
    </row>
    <row r="52" spans="1:12" x14ac:dyDescent="0.25">
      <c r="A52" s="2">
        <v>1</v>
      </c>
      <c r="B52" s="116">
        <v>2100000</v>
      </c>
      <c r="C52" s="2">
        <v>3.2000000000000001E-2</v>
      </c>
      <c r="D52" s="2">
        <v>20</v>
      </c>
      <c r="E52" s="2">
        <v>2600</v>
      </c>
      <c r="F52" s="41">
        <f t="shared" si="1"/>
        <v>0.3188641421890408</v>
      </c>
      <c r="G52">
        <v>0</v>
      </c>
      <c r="H52" s="207">
        <f t="shared" si="2"/>
        <v>2.5184562119617464</v>
      </c>
      <c r="I52">
        <f t="shared" si="3"/>
        <v>32623.718549006138</v>
      </c>
      <c r="K52" s="207">
        <f t="shared" si="4"/>
        <v>2.7181577078629022</v>
      </c>
      <c r="L52" s="209">
        <f t="shared" si="5"/>
        <v>7.9295202732788006E-2</v>
      </c>
    </row>
    <row r="53" spans="1:12" x14ac:dyDescent="0.25">
      <c r="A53" s="2">
        <v>1.125</v>
      </c>
      <c r="B53" s="116">
        <v>2100000</v>
      </c>
      <c r="C53" s="2">
        <v>3.2000000000000001E-2</v>
      </c>
      <c r="D53" s="2">
        <v>20</v>
      </c>
      <c r="E53" s="2">
        <v>2600</v>
      </c>
      <c r="F53" s="41">
        <f t="shared" ref="F53:F60" si="6">(PI()^2)*A53*B53*C53/(2*E53*D53^2)</f>
        <v>0.35872215996267093</v>
      </c>
      <c r="G53">
        <v>0</v>
      </c>
      <c r="H53" s="207">
        <f t="shared" si="2"/>
        <v>2.3283424687229748</v>
      </c>
      <c r="I53">
        <f t="shared" ref="I53:I60" si="7">(PI()^2)*H53*(A53^2)*B53/(4*D53^2)</f>
        <v>38172.531493373193</v>
      </c>
      <c r="K53" s="207">
        <f t="shared" si="4"/>
        <v>2.7181577078629022</v>
      </c>
      <c r="L53" s="209">
        <f t="shared" si="5"/>
        <v>0.16742177938872072</v>
      </c>
    </row>
    <row r="54" spans="1:12" x14ac:dyDescent="0.25">
      <c r="A54" s="2">
        <v>1.25</v>
      </c>
      <c r="B54" s="116">
        <v>2100000</v>
      </c>
      <c r="C54" s="2">
        <v>3.2000000000000001E-2</v>
      </c>
      <c r="D54" s="2">
        <v>20</v>
      </c>
      <c r="E54" s="2">
        <v>2600</v>
      </c>
      <c r="F54" s="41">
        <f t="shared" si="6"/>
        <v>0.39858017773630106</v>
      </c>
      <c r="G54">
        <v>0</v>
      </c>
      <c r="H54" s="207">
        <f t="shared" si="2"/>
        <v>2.1086347891885451</v>
      </c>
      <c r="I54">
        <f t="shared" si="7"/>
        <v>42679.610850485667</v>
      </c>
      <c r="K54" s="207">
        <f t="shared" si="4"/>
        <v>2.7181577078629022</v>
      </c>
      <c r="L54" s="209">
        <f t="shared" si="5"/>
        <v>0.28906044887408733</v>
      </c>
    </row>
    <row r="55" spans="1:12" x14ac:dyDescent="0.25">
      <c r="A55" s="2">
        <v>1.375</v>
      </c>
      <c r="B55" s="116">
        <v>2100000</v>
      </c>
      <c r="C55" s="2">
        <v>3.2000000000000001E-2</v>
      </c>
      <c r="D55" s="2">
        <v>20</v>
      </c>
      <c r="E55" s="2">
        <v>2600</v>
      </c>
      <c r="F55" s="41">
        <f t="shared" si="6"/>
        <v>0.43843819550993113</v>
      </c>
      <c r="G55">
        <v>0</v>
      </c>
      <c r="H55" s="207">
        <f t="shared" si="2"/>
        <v>2</v>
      </c>
      <c r="I55">
        <f t="shared" si="7"/>
        <v>48981.767154625115</v>
      </c>
      <c r="K55" s="207">
        <f t="shared" si="4"/>
        <v>2.7181577078629022</v>
      </c>
      <c r="L55" s="209">
        <f t="shared" si="5"/>
        <v>0.35907885393145111</v>
      </c>
    </row>
    <row r="56" spans="1:12" x14ac:dyDescent="0.25">
      <c r="A56" s="2">
        <v>1.5</v>
      </c>
      <c r="B56" s="116">
        <v>2100000</v>
      </c>
      <c r="C56" s="2">
        <v>3.2000000000000001E-2</v>
      </c>
      <c r="D56" s="2">
        <v>20</v>
      </c>
      <c r="E56" s="2">
        <v>2600</v>
      </c>
      <c r="F56" s="41">
        <f t="shared" si="6"/>
        <v>0.4782962132835612</v>
      </c>
      <c r="G56">
        <v>0</v>
      </c>
      <c r="H56" s="207">
        <f t="shared" si="2"/>
        <v>2</v>
      </c>
      <c r="I56">
        <f t="shared" si="7"/>
        <v>58292.350993934022</v>
      </c>
      <c r="K56" s="207">
        <f t="shared" si="4"/>
        <v>2.7181577078629022</v>
      </c>
      <c r="L56" s="209">
        <f t="shared" si="5"/>
        <v>0.35907885393145111</v>
      </c>
    </row>
    <row r="57" spans="1:12" x14ac:dyDescent="0.25">
      <c r="A57" s="2">
        <v>1.625</v>
      </c>
      <c r="B57" s="116">
        <v>2100000</v>
      </c>
      <c r="C57" s="2">
        <v>3.2000000000000001E-2</v>
      </c>
      <c r="D57" s="2">
        <v>20</v>
      </c>
      <c r="E57" s="2">
        <v>2600</v>
      </c>
      <c r="F57" s="41">
        <f t="shared" si="6"/>
        <v>0.51815423105719127</v>
      </c>
      <c r="G57">
        <v>0</v>
      </c>
      <c r="H57" s="207">
        <f t="shared" si="2"/>
        <v>2</v>
      </c>
      <c r="I57">
        <f t="shared" si="7"/>
        <v>68412.550819269789</v>
      </c>
      <c r="K57" s="207">
        <f t="shared" si="4"/>
        <v>2.7181577078629022</v>
      </c>
      <c r="L57" s="209">
        <f t="shared" si="5"/>
        <v>0.35907885393145111</v>
      </c>
    </row>
    <row r="58" spans="1:12" x14ac:dyDescent="0.25">
      <c r="A58" s="2">
        <v>1.75</v>
      </c>
      <c r="B58" s="116">
        <v>2100000</v>
      </c>
      <c r="C58" s="2">
        <v>3.2000000000000001E-2</v>
      </c>
      <c r="D58" s="2">
        <v>20</v>
      </c>
      <c r="E58" s="2">
        <v>2600</v>
      </c>
      <c r="F58" s="41">
        <f t="shared" si="6"/>
        <v>0.55801224883082146</v>
      </c>
      <c r="G58">
        <v>0</v>
      </c>
      <c r="H58" s="207">
        <f t="shared" si="2"/>
        <v>2</v>
      </c>
      <c r="I58">
        <f t="shared" si="7"/>
        <v>79342.366630632416</v>
      </c>
      <c r="K58" s="207">
        <f t="shared" si="4"/>
        <v>2.7181577078629022</v>
      </c>
      <c r="L58" s="209">
        <f t="shared" si="5"/>
        <v>0.35907885393145111</v>
      </c>
    </row>
    <row r="59" spans="1:12" x14ac:dyDescent="0.25">
      <c r="A59" s="2">
        <v>1.875</v>
      </c>
      <c r="B59" s="116">
        <v>2100000</v>
      </c>
      <c r="C59" s="2">
        <v>3.2000000000000001E-2</v>
      </c>
      <c r="D59" s="2">
        <v>20</v>
      </c>
      <c r="E59" s="2">
        <v>2600</v>
      </c>
      <c r="F59" s="41">
        <f t="shared" si="6"/>
        <v>0.59787026660445153</v>
      </c>
      <c r="G59">
        <v>0</v>
      </c>
      <c r="H59" s="207">
        <f t="shared" si="2"/>
        <v>2</v>
      </c>
      <c r="I59">
        <f t="shared" si="7"/>
        <v>91081.79842802191</v>
      </c>
      <c r="K59" s="207">
        <f t="shared" si="4"/>
        <v>2.7181577078629022</v>
      </c>
      <c r="L59" s="209">
        <f t="shared" si="5"/>
        <v>0.35907885393145111</v>
      </c>
    </row>
    <row r="60" spans="1:12" x14ac:dyDescent="0.25">
      <c r="A60" s="2">
        <v>2</v>
      </c>
      <c r="B60" s="116">
        <v>2100000</v>
      </c>
      <c r="C60" s="2">
        <v>3.2000000000000001E-2</v>
      </c>
      <c r="D60" s="2">
        <v>20</v>
      </c>
      <c r="E60" s="2">
        <v>2600</v>
      </c>
      <c r="F60" s="41">
        <f t="shared" si="6"/>
        <v>0.6377282843780816</v>
      </c>
      <c r="G60">
        <v>0</v>
      </c>
      <c r="H60" s="207">
        <f t="shared" si="2"/>
        <v>2</v>
      </c>
      <c r="I60">
        <f t="shared" si="7"/>
        <v>103630.84621143826</v>
      </c>
      <c r="K60" s="207">
        <f t="shared" si="4"/>
        <v>2.7181577078629022</v>
      </c>
      <c r="L60" s="209">
        <f t="shared" si="5"/>
        <v>0.35907885393145111</v>
      </c>
    </row>
    <row r="61" spans="1:12" x14ac:dyDescent="0.25">
      <c r="A61" s="2"/>
      <c r="B61" s="116"/>
      <c r="C61" s="2"/>
      <c r="D61" s="2"/>
      <c r="E61" s="2"/>
      <c r="F61" s="41"/>
      <c r="H61" s="207"/>
    </row>
    <row r="62" spans="1:12" x14ac:dyDescent="0.25">
      <c r="A62" t="s">
        <v>4</v>
      </c>
      <c r="B62" t="s">
        <v>5</v>
      </c>
      <c r="C62" t="s">
        <v>4</v>
      </c>
      <c r="D62" t="s">
        <v>4</v>
      </c>
      <c r="E62" t="s">
        <v>5</v>
      </c>
      <c r="I62" t="s">
        <v>5</v>
      </c>
    </row>
    <row r="63" spans="1:12" x14ac:dyDescent="0.25">
      <c r="A63" t="s">
        <v>225</v>
      </c>
      <c r="B63" t="s">
        <v>226</v>
      </c>
      <c r="C63" t="s">
        <v>227</v>
      </c>
      <c r="D63" t="s">
        <v>138</v>
      </c>
      <c r="E63" t="s">
        <v>228</v>
      </c>
      <c r="F63" t="s">
        <v>224</v>
      </c>
      <c r="G63" t="s">
        <v>229</v>
      </c>
      <c r="H63" t="s">
        <v>230</v>
      </c>
      <c r="I63" t="s">
        <v>231</v>
      </c>
      <c r="K63" t="s">
        <v>236</v>
      </c>
      <c r="L63" t="s">
        <v>237</v>
      </c>
    </row>
    <row r="64" spans="1:12" x14ac:dyDescent="0.25">
      <c r="A64" s="2">
        <v>0.125</v>
      </c>
      <c r="B64" s="116">
        <v>2100000</v>
      </c>
      <c r="C64" s="2">
        <v>1.6E-2</v>
      </c>
      <c r="D64" s="2">
        <v>20</v>
      </c>
      <c r="E64" s="2">
        <v>2600</v>
      </c>
      <c r="F64" s="41">
        <f>(PI()^2)*A64*B64*C64/(2*E64*D64^2)</f>
        <v>1.992900888681505E-2</v>
      </c>
      <c r="G64">
        <v>0</v>
      </c>
      <c r="H64" s="207">
        <f>IF((-7.6*F64+4.92)&gt;2,(-7.6*F64+4.92),2)</f>
        <v>4.7685395324602053</v>
      </c>
      <c r="I64">
        <f>(PI()^2)*H64*(A64^2)*B64/(4*D64^2)</f>
        <v>965.17145887020945</v>
      </c>
      <c r="K64" s="207">
        <f>AVERAGE($H$64:$H$79)</f>
        <v>3.6325860259117482</v>
      </c>
      <c r="L64" s="209">
        <f>K64/H64-1</f>
        <v>-0.23821832634831719</v>
      </c>
    </row>
    <row r="65" spans="1:12" x14ac:dyDescent="0.25">
      <c r="A65" s="2">
        <v>0.25</v>
      </c>
      <c r="B65" s="116">
        <v>2100000</v>
      </c>
      <c r="C65" s="2">
        <v>1.6E-2</v>
      </c>
      <c r="D65" s="2">
        <v>20</v>
      </c>
      <c r="E65" s="2">
        <v>2600</v>
      </c>
      <c r="F65" s="41">
        <f t="shared" ref="F65:F79" si="8">(PI()^2)*A65*B65*C65/(2*E65*D65^2)</f>
        <v>3.98580177736301E-2</v>
      </c>
      <c r="G65">
        <v>0</v>
      </c>
      <c r="H65" s="207">
        <f t="shared" ref="H65:H79" si="9">IF((-7.6*F65+4.92)&gt;2,(-7.6*F65+4.92),2)</f>
        <v>4.6170790649204108</v>
      </c>
      <c r="I65">
        <f t="shared" ref="I65:I79" si="10">(PI()^2)*H65*(A65^2)*B65/(4*D65^2)</f>
        <v>3738.0610197095175</v>
      </c>
      <c r="K65" s="207">
        <f t="shared" ref="K65:K79" si="11">AVERAGE($H$64:$H$79)</f>
        <v>3.6325860259117482</v>
      </c>
      <c r="L65" s="209">
        <f t="shared" ref="L65:L79" si="12">K65/H65-1</f>
        <v>-0.21322854236753974</v>
      </c>
    </row>
    <row r="66" spans="1:12" x14ac:dyDescent="0.25">
      <c r="A66" s="2">
        <v>0.375</v>
      </c>
      <c r="B66" s="116">
        <v>2100000</v>
      </c>
      <c r="C66" s="2">
        <v>1.6E-2</v>
      </c>
      <c r="D66" s="2">
        <v>20</v>
      </c>
      <c r="E66" s="2">
        <v>2600</v>
      </c>
      <c r="F66" s="41">
        <f t="shared" si="8"/>
        <v>5.978702666044515E-2</v>
      </c>
      <c r="G66">
        <v>0</v>
      </c>
      <c r="H66" s="207">
        <f t="shared" si="9"/>
        <v>4.4656185973806171</v>
      </c>
      <c r="I66">
        <f t="shared" si="10"/>
        <v>8134.731458860947</v>
      </c>
      <c r="K66" s="207">
        <f t="shared" si="11"/>
        <v>3.6325860259117482</v>
      </c>
      <c r="L66" s="209">
        <f t="shared" si="12"/>
        <v>-0.18654360046724505</v>
      </c>
    </row>
    <row r="67" spans="1:12" x14ac:dyDescent="0.25">
      <c r="A67" s="2">
        <v>0.5</v>
      </c>
      <c r="B67" s="116">
        <v>2100000</v>
      </c>
      <c r="C67" s="2">
        <v>1.6E-2</v>
      </c>
      <c r="D67" s="2">
        <v>20</v>
      </c>
      <c r="E67" s="2">
        <v>2600</v>
      </c>
      <c r="F67" s="41">
        <f t="shared" si="8"/>
        <v>7.97160355472602E-2</v>
      </c>
      <c r="G67">
        <v>0</v>
      </c>
      <c r="H67" s="207">
        <f t="shared" si="9"/>
        <v>4.3141581298408225</v>
      </c>
      <c r="I67">
        <f t="shared" si="10"/>
        <v>13971.245552667511</v>
      </c>
      <c r="K67" s="207">
        <f t="shared" si="11"/>
        <v>3.6325860259117482</v>
      </c>
      <c r="L67" s="209">
        <f t="shared" si="12"/>
        <v>-0.15798496100888682</v>
      </c>
    </row>
    <row r="68" spans="1:12" x14ac:dyDescent="0.25">
      <c r="A68" s="2">
        <v>0.625</v>
      </c>
      <c r="B68" s="116">
        <v>2100000</v>
      </c>
      <c r="C68" s="2">
        <v>1.6E-2</v>
      </c>
      <c r="D68" s="2">
        <v>20</v>
      </c>
      <c r="E68" s="2">
        <v>2600</v>
      </c>
      <c r="F68" s="41">
        <f t="shared" si="8"/>
        <v>9.9645044434075264E-2</v>
      </c>
      <c r="G68">
        <v>0</v>
      </c>
      <c r="H68" s="207">
        <f t="shared" si="9"/>
        <v>4.1626976623010279</v>
      </c>
      <c r="I68">
        <f t="shared" si="10"/>
        <v>21063.666077472233</v>
      </c>
      <c r="K68" s="207">
        <f t="shared" si="11"/>
        <v>3.6325860259117482</v>
      </c>
      <c r="L68" s="209">
        <f t="shared" si="12"/>
        <v>-0.12734809957258542</v>
      </c>
    </row>
    <row r="69" spans="1:12" x14ac:dyDescent="0.25">
      <c r="A69" s="2">
        <v>0.75</v>
      </c>
      <c r="B69" s="116">
        <v>2100000</v>
      </c>
      <c r="C69" s="2">
        <v>1.6E-2</v>
      </c>
      <c r="D69" s="2">
        <v>20</v>
      </c>
      <c r="E69" s="2">
        <v>2600</v>
      </c>
      <c r="F69" s="41">
        <f t="shared" si="8"/>
        <v>0.1195740533208903</v>
      </c>
      <c r="G69">
        <v>0</v>
      </c>
      <c r="H69" s="207">
        <f t="shared" si="9"/>
        <v>4.0112371947612333</v>
      </c>
      <c r="I69">
        <f t="shared" si="10"/>
        <v>29228.055809618138</v>
      </c>
      <c r="K69" s="207">
        <f t="shared" si="11"/>
        <v>3.6325860259117482</v>
      </c>
      <c r="L69" s="209">
        <f t="shared" si="12"/>
        <v>-9.4397601155078115E-2</v>
      </c>
    </row>
    <row r="70" spans="1:12" x14ac:dyDescent="0.25">
      <c r="A70" s="2">
        <v>0.875</v>
      </c>
      <c r="B70" s="116">
        <v>2100000</v>
      </c>
      <c r="C70" s="2">
        <v>1.6E-2</v>
      </c>
      <c r="D70" s="2">
        <v>20</v>
      </c>
      <c r="E70" s="2">
        <v>2600</v>
      </c>
      <c r="F70" s="41">
        <f t="shared" si="8"/>
        <v>0.13950306220770536</v>
      </c>
      <c r="G70">
        <v>0</v>
      </c>
      <c r="H70" s="207">
        <f t="shared" si="9"/>
        <v>3.8597767272214392</v>
      </c>
      <c r="I70">
        <f t="shared" si="10"/>
        <v>38280.477525448237</v>
      </c>
      <c r="K70" s="207">
        <f t="shared" si="11"/>
        <v>3.6325860259117482</v>
      </c>
      <c r="L70" s="209">
        <f t="shared" si="12"/>
        <v>-5.8861099324063804E-2</v>
      </c>
    </row>
    <row r="71" spans="1:12" x14ac:dyDescent="0.25">
      <c r="A71" s="2">
        <v>1</v>
      </c>
      <c r="B71" s="116">
        <v>2100000</v>
      </c>
      <c r="C71" s="2">
        <v>1.6E-2</v>
      </c>
      <c r="D71" s="2">
        <v>20</v>
      </c>
      <c r="E71" s="2">
        <v>2600</v>
      </c>
      <c r="F71" s="41">
        <f t="shared" si="8"/>
        <v>0.1594320710945204</v>
      </c>
      <c r="G71">
        <v>0</v>
      </c>
      <c r="H71" s="207">
        <f t="shared" si="9"/>
        <v>3.708316259681645</v>
      </c>
      <c r="I71">
        <f t="shared" si="10"/>
        <v>48036.99400130556</v>
      </c>
      <c r="K71" s="207">
        <f t="shared" si="11"/>
        <v>3.6325860259117482</v>
      </c>
      <c r="L71" s="209">
        <f t="shared" si="12"/>
        <v>-2.0421730097097579E-2</v>
      </c>
    </row>
    <row r="72" spans="1:12" x14ac:dyDescent="0.25">
      <c r="A72" s="2">
        <v>1.125</v>
      </c>
      <c r="B72" s="116">
        <v>2100000</v>
      </c>
      <c r="C72" s="2">
        <v>1.6E-2</v>
      </c>
      <c r="D72" s="2">
        <v>20</v>
      </c>
      <c r="E72" s="2">
        <v>2600</v>
      </c>
      <c r="F72" s="41">
        <f t="shared" si="8"/>
        <v>0.17936107998133546</v>
      </c>
      <c r="G72">
        <v>0</v>
      </c>
      <c r="H72" s="207">
        <f t="shared" si="9"/>
        <v>3.5568557921418504</v>
      </c>
      <c r="I72">
        <f t="shared" si="10"/>
        <v>58313.668013533112</v>
      </c>
      <c r="K72" s="207">
        <f t="shared" si="11"/>
        <v>3.6325860259117482</v>
      </c>
      <c r="L72" s="209">
        <f t="shared" si="12"/>
        <v>2.1291342184073914E-2</v>
      </c>
    </row>
    <row r="73" spans="1:12" x14ac:dyDescent="0.25">
      <c r="A73" s="2">
        <v>1.25</v>
      </c>
      <c r="B73" s="116">
        <v>2100000</v>
      </c>
      <c r="C73" s="2">
        <v>1.6E-2</v>
      </c>
      <c r="D73" s="2">
        <v>20</v>
      </c>
      <c r="E73" s="2">
        <v>2600</v>
      </c>
      <c r="F73" s="41">
        <f t="shared" si="8"/>
        <v>0.19929008886815053</v>
      </c>
      <c r="G73">
        <v>0</v>
      </c>
      <c r="H73" s="207">
        <f t="shared" si="9"/>
        <v>3.4053953246020559</v>
      </c>
      <c r="I73">
        <f t="shared" si="10"/>
        <v>68926.56233847393</v>
      </c>
      <c r="K73" s="207">
        <f t="shared" si="11"/>
        <v>3.6325860259117482</v>
      </c>
      <c r="L73" s="209">
        <f t="shared" si="12"/>
        <v>6.6714927241594557E-2</v>
      </c>
    </row>
    <row r="74" spans="1:12" x14ac:dyDescent="0.25">
      <c r="A74" s="2">
        <v>1.375</v>
      </c>
      <c r="B74" s="116">
        <v>2100000</v>
      </c>
      <c r="C74" s="2">
        <v>1.6E-2</v>
      </c>
      <c r="D74" s="2">
        <v>20</v>
      </c>
      <c r="E74" s="2">
        <v>2600</v>
      </c>
      <c r="F74" s="41">
        <f t="shared" si="8"/>
        <v>0.21921909775496556</v>
      </c>
      <c r="G74">
        <v>0</v>
      </c>
      <c r="H74" s="207">
        <f t="shared" si="9"/>
        <v>3.2539348570622617</v>
      </c>
      <c r="I74">
        <f t="shared" si="10"/>
        <v>79691.739752471025</v>
      </c>
      <c r="K74" s="207">
        <f t="shared" si="11"/>
        <v>3.6325860259117482</v>
      </c>
      <c r="L74" s="209">
        <f t="shared" si="12"/>
        <v>0.11636716329082963</v>
      </c>
    </row>
    <row r="75" spans="1:12" x14ac:dyDescent="0.25">
      <c r="A75" s="2">
        <v>1.5</v>
      </c>
      <c r="B75" s="116">
        <v>2100000</v>
      </c>
      <c r="C75" s="2">
        <v>1.6E-2</v>
      </c>
      <c r="D75" s="2">
        <v>20</v>
      </c>
      <c r="E75" s="2">
        <v>2600</v>
      </c>
      <c r="F75" s="41">
        <f t="shared" si="8"/>
        <v>0.2391481066417806</v>
      </c>
      <c r="G75">
        <v>0</v>
      </c>
      <c r="H75" s="207">
        <f t="shared" si="9"/>
        <v>3.1024743895224676</v>
      </c>
      <c r="I75">
        <f t="shared" si="10"/>
        <v>90425.26303186742</v>
      </c>
      <c r="K75" s="207">
        <f t="shared" si="11"/>
        <v>3.6325860259117482</v>
      </c>
      <c r="L75" s="209">
        <f t="shared" si="12"/>
        <v>0.17086736901988586</v>
      </c>
    </row>
    <row r="76" spans="1:12" x14ac:dyDescent="0.25">
      <c r="A76" s="2">
        <v>1.625</v>
      </c>
      <c r="B76" s="116">
        <v>2100000</v>
      </c>
      <c r="C76" s="2">
        <v>1.6E-2</v>
      </c>
      <c r="D76" s="2">
        <v>20</v>
      </c>
      <c r="E76" s="2">
        <v>2600</v>
      </c>
      <c r="F76" s="41">
        <f t="shared" si="8"/>
        <v>0.25907711552859564</v>
      </c>
      <c r="G76">
        <v>0</v>
      </c>
      <c r="H76" s="207">
        <f t="shared" si="9"/>
        <v>2.951013921982673</v>
      </c>
      <c r="I76">
        <f t="shared" si="10"/>
        <v>100943.19495300614</v>
      </c>
      <c r="K76" s="207">
        <f t="shared" si="11"/>
        <v>3.6325860259117482</v>
      </c>
      <c r="L76" s="209">
        <f t="shared" si="12"/>
        <v>0.23096200897322539</v>
      </c>
    </row>
    <row r="77" spans="1:12" x14ac:dyDescent="0.25">
      <c r="A77" s="2">
        <v>1.75</v>
      </c>
      <c r="B77" s="116">
        <v>2100000</v>
      </c>
      <c r="C77" s="2">
        <v>1.6E-2</v>
      </c>
      <c r="D77" s="2">
        <v>20</v>
      </c>
      <c r="E77" s="2">
        <v>2600</v>
      </c>
      <c r="F77" s="41">
        <f t="shared" si="8"/>
        <v>0.27900612441541073</v>
      </c>
      <c r="G77">
        <v>0</v>
      </c>
      <c r="H77" s="207">
        <f t="shared" si="9"/>
        <v>2.7995534544428784</v>
      </c>
      <c r="I77">
        <f t="shared" si="10"/>
        <v>111061.59829223016</v>
      </c>
      <c r="K77" s="207">
        <f t="shared" si="11"/>
        <v>3.6325860259117482</v>
      </c>
      <c r="L77" s="209">
        <f t="shared" si="12"/>
        <v>0.29755908755621396</v>
      </c>
    </row>
    <row r="78" spans="1:12" x14ac:dyDescent="0.25">
      <c r="A78" s="2">
        <v>1.875</v>
      </c>
      <c r="B78" s="116">
        <v>2100000</v>
      </c>
      <c r="C78" s="2">
        <v>1.6E-2</v>
      </c>
      <c r="D78" s="2">
        <v>20</v>
      </c>
      <c r="E78" s="2">
        <v>2600</v>
      </c>
      <c r="F78" s="41">
        <f t="shared" si="8"/>
        <v>0.29893513330222576</v>
      </c>
      <c r="G78">
        <v>0</v>
      </c>
      <c r="H78" s="207">
        <f t="shared" si="9"/>
        <v>2.6480929869030843</v>
      </c>
      <c r="I78">
        <f t="shared" si="10"/>
        <v>120596.53582588259</v>
      </c>
      <c r="K78" s="207">
        <f t="shared" si="11"/>
        <v>3.6325860259117482</v>
      </c>
      <c r="L78" s="209">
        <f t="shared" si="12"/>
        <v>0.371774346247568</v>
      </c>
    </row>
    <row r="79" spans="1:12" x14ac:dyDescent="0.25">
      <c r="A79" s="2">
        <v>2</v>
      </c>
      <c r="B79" s="116">
        <v>2100000</v>
      </c>
      <c r="C79" s="2">
        <v>1.6E-2</v>
      </c>
      <c r="D79" s="2">
        <v>20</v>
      </c>
      <c r="E79" s="2">
        <v>2600</v>
      </c>
      <c r="F79" s="41">
        <f t="shared" si="8"/>
        <v>0.3188641421890408</v>
      </c>
      <c r="G79">
        <v>0</v>
      </c>
      <c r="H79" s="207">
        <f t="shared" si="9"/>
        <v>2.4966325193632901</v>
      </c>
      <c r="I79">
        <f t="shared" si="10"/>
        <v>129364.07033030638</v>
      </c>
      <c r="K79" s="207">
        <f t="shared" si="11"/>
        <v>3.6325860259117482</v>
      </c>
      <c r="L79" s="209">
        <f t="shared" si="12"/>
        <v>0.45499427638560008</v>
      </c>
    </row>
    <row r="81" spans="1:12" x14ac:dyDescent="0.25">
      <c r="A81" t="s">
        <v>4</v>
      </c>
      <c r="B81" t="s">
        <v>5</v>
      </c>
      <c r="C81" t="s">
        <v>4</v>
      </c>
      <c r="D81" t="s">
        <v>4</v>
      </c>
      <c r="E81" t="s">
        <v>5</v>
      </c>
      <c r="I81" t="s">
        <v>5</v>
      </c>
    </row>
    <row r="82" spans="1:12" x14ac:dyDescent="0.25">
      <c r="A82" t="s">
        <v>225</v>
      </c>
      <c r="B82" t="s">
        <v>226</v>
      </c>
      <c r="C82" t="s">
        <v>227</v>
      </c>
      <c r="D82" t="s">
        <v>138</v>
      </c>
      <c r="E82" t="s">
        <v>228</v>
      </c>
      <c r="F82" t="s">
        <v>224</v>
      </c>
      <c r="G82" t="s">
        <v>229</v>
      </c>
      <c r="H82" t="s">
        <v>230</v>
      </c>
      <c r="I82" t="s">
        <v>231</v>
      </c>
      <c r="K82" t="s">
        <v>236</v>
      </c>
      <c r="L82" t="s">
        <v>237</v>
      </c>
    </row>
    <row r="83" spans="1:12" x14ac:dyDescent="0.25">
      <c r="A83" s="2">
        <v>0.125</v>
      </c>
      <c r="B83" s="116">
        <v>2100000</v>
      </c>
      <c r="C83" s="2">
        <v>1.6E-2</v>
      </c>
      <c r="D83" s="2">
        <v>20</v>
      </c>
      <c r="E83" s="2">
        <v>2600</v>
      </c>
      <c r="F83" s="41">
        <f>(PI()^2)*A83*B83*C83/(2*E83*D83^2)</f>
        <v>1.992900888681505E-2</v>
      </c>
      <c r="G83">
        <v>0</v>
      </c>
      <c r="H83" s="207">
        <f>IF((-7.6*F83+4.92)&gt;2,(-7.6*F83+4.92),2)</f>
        <v>4.7685395324602053</v>
      </c>
      <c r="I83">
        <f>(PI()^2)*H83*(A83^2)*B83/(4*D83^2)</f>
        <v>965.17145887020945</v>
      </c>
      <c r="K83" s="207">
        <f>AVERAGE($H$83:$H$98)</f>
        <v>3.6325860259117482</v>
      </c>
      <c r="L83" s="209">
        <f>K83/H83-1</f>
        <v>-0.23821832634831719</v>
      </c>
    </row>
    <row r="84" spans="1:12" x14ac:dyDescent="0.25">
      <c r="A84" s="2">
        <v>0.25</v>
      </c>
      <c r="B84" s="116">
        <v>2100000</v>
      </c>
      <c r="C84" s="2">
        <v>1.6E-2</v>
      </c>
      <c r="D84" s="2">
        <v>20</v>
      </c>
      <c r="E84" s="2">
        <v>2600</v>
      </c>
      <c r="F84" s="41">
        <f t="shared" ref="F84:F98" si="13">(PI()^2)*A84*B84*C84/(2*E84*D84^2)</f>
        <v>3.98580177736301E-2</v>
      </c>
      <c r="G84">
        <v>0</v>
      </c>
      <c r="H84" s="207">
        <f t="shared" ref="H84:H98" si="14">IF((-7.6*F84+4.92)&gt;2,(-7.6*F84+4.92),2)</f>
        <v>4.6170790649204108</v>
      </c>
      <c r="I84">
        <f t="shared" ref="I84:I98" si="15">(PI()^2)*H84*(A84^2)*B84/(4*D84^2)</f>
        <v>3738.0610197095175</v>
      </c>
      <c r="K84" s="207">
        <f t="shared" ref="K84:K98" si="16">AVERAGE($H$83:$H$98)</f>
        <v>3.6325860259117482</v>
      </c>
      <c r="L84" s="209">
        <f t="shared" ref="L84:L98" si="17">K84/H84-1</f>
        <v>-0.21322854236753974</v>
      </c>
    </row>
    <row r="85" spans="1:12" x14ac:dyDescent="0.25">
      <c r="A85" s="2">
        <v>0.375</v>
      </c>
      <c r="B85" s="116">
        <v>2100000</v>
      </c>
      <c r="C85" s="2">
        <v>1.6E-2</v>
      </c>
      <c r="D85" s="2">
        <v>20</v>
      </c>
      <c r="E85" s="2">
        <v>2600</v>
      </c>
      <c r="F85" s="41">
        <f t="shared" si="13"/>
        <v>5.978702666044515E-2</v>
      </c>
      <c r="G85">
        <v>0</v>
      </c>
      <c r="H85" s="207">
        <f t="shared" si="14"/>
        <v>4.4656185973806171</v>
      </c>
      <c r="I85">
        <f t="shared" si="15"/>
        <v>8134.731458860947</v>
      </c>
      <c r="K85" s="207">
        <f t="shared" si="16"/>
        <v>3.6325860259117482</v>
      </c>
      <c r="L85" s="209">
        <f t="shared" si="17"/>
        <v>-0.18654360046724505</v>
      </c>
    </row>
    <row r="86" spans="1:12" x14ac:dyDescent="0.25">
      <c r="A86" s="2">
        <v>0.5</v>
      </c>
      <c r="B86" s="116">
        <v>2100000</v>
      </c>
      <c r="C86" s="2">
        <v>1.6E-2</v>
      </c>
      <c r="D86" s="2">
        <v>20</v>
      </c>
      <c r="E86" s="2">
        <v>2600</v>
      </c>
      <c r="F86" s="41">
        <f t="shared" si="13"/>
        <v>7.97160355472602E-2</v>
      </c>
      <c r="G86">
        <v>0</v>
      </c>
      <c r="H86" s="207">
        <f t="shared" si="14"/>
        <v>4.3141581298408225</v>
      </c>
      <c r="I86">
        <f t="shared" si="15"/>
        <v>13971.245552667511</v>
      </c>
      <c r="K86" s="207">
        <f t="shared" si="16"/>
        <v>3.6325860259117482</v>
      </c>
      <c r="L86" s="209">
        <f t="shared" si="17"/>
        <v>-0.15798496100888682</v>
      </c>
    </row>
    <row r="87" spans="1:12" x14ac:dyDescent="0.25">
      <c r="A87" s="2">
        <v>0.625</v>
      </c>
      <c r="B87" s="116">
        <v>2100000</v>
      </c>
      <c r="C87" s="2">
        <v>1.6E-2</v>
      </c>
      <c r="D87" s="2">
        <v>20</v>
      </c>
      <c r="E87" s="2">
        <v>2600</v>
      </c>
      <c r="F87" s="41">
        <f t="shared" si="13"/>
        <v>9.9645044434075264E-2</v>
      </c>
      <c r="G87">
        <v>0</v>
      </c>
      <c r="H87" s="207">
        <f t="shared" si="14"/>
        <v>4.1626976623010279</v>
      </c>
      <c r="I87">
        <f t="shared" si="15"/>
        <v>21063.666077472233</v>
      </c>
      <c r="K87" s="207">
        <f t="shared" si="16"/>
        <v>3.6325860259117482</v>
      </c>
      <c r="L87" s="209">
        <f t="shared" si="17"/>
        <v>-0.12734809957258542</v>
      </c>
    </row>
    <row r="88" spans="1:12" x14ac:dyDescent="0.25">
      <c r="A88" s="2">
        <v>0.75</v>
      </c>
      <c r="B88" s="116">
        <v>2100000</v>
      </c>
      <c r="C88" s="2">
        <v>1.6E-2</v>
      </c>
      <c r="D88" s="2">
        <v>20</v>
      </c>
      <c r="E88" s="2">
        <v>2600</v>
      </c>
      <c r="F88" s="41">
        <f t="shared" si="13"/>
        <v>0.1195740533208903</v>
      </c>
      <c r="G88">
        <v>0</v>
      </c>
      <c r="H88" s="207">
        <f t="shared" si="14"/>
        <v>4.0112371947612333</v>
      </c>
      <c r="I88">
        <f t="shared" si="15"/>
        <v>29228.055809618138</v>
      </c>
      <c r="K88" s="207">
        <f t="shared" si="16"/>
        <v>3.6325860259117482</v>
      </c>
      <c r="L88" s="209">
        <f t="shared" si="17"/>
        <v>-9.4397601155078115E-2</v>
      </c>
    </row>
    <row r="89" spans="1:12" x14ac:dyDescent="0.25">
      <c r="A89" s="2">
        <v>0.875</v>
      </c>
      <c r="B89" s="116">
        <v>2100000</v>
      </c>
      <c r="C89" s="2">
        <v>1.6E-2</v>
      </c>
      <c r="D89" s="2">
        <v>20</v>
      </c>
      <c r="E89" s="2">
        <v>2600</v>
      </c>
      <c r="F89" s="41">
        <f t="shared" si="13"/>
        <v>0.13950306220770536</v>
      </c>
      <c r="G89">
        <v>0</v>
      </c>
      <c r="H89" s="207">
        <f t="shared" si="14"/>
        <v>3.8597767272214392</v>
      </c>
      <c r="I89">
        <f t="shared" si="15"/>
        <v>38280.477525448237</v>
      </c>
      <c r="K89" s="207">
        <f t="shared" si="16"/>
        <v>3.6325860259117482</v>
      </c>
      <c r="L89" s="209">
        <f t="shared" si="17"/>
        <v>-5.8861099324063804E-2</v>
      </c>
    </row>
    <row r="90" spans="1:12" x14ac:dyDescent="0.25">
      <c r="A90" s="2">
        <v>1</v>
      </c>
      <c r="B90" s="116">
        <v>2100000</v>
      </c>
      <c r="C90" s="2">
        <v>1.6E-2</v>
      </c>
      <c r="D90" s="2">
        <v>20</v>
      </c>
      <c r="E90" s="2">
        <v>2600</v>
      </c>
      <c r="F90" s="41">
        <f t="shared" si="13"/>
        <v>0.1594320710945204</v>
      </c>
      <c r="G90">
        <v>0</v>
      </c>
      <c r="H90" s="207">
        <f t="shared" si="14"/>
        <v>3.708316259681645</v>
      </c>
      <c r="I90">
        <f t="shared" si="15"/>
        <v>48036.99400130556</v>
      </c>
      <c r="K90" s="207">
        <f t="shared" si="16"/>
        <v>3.6325860259117482</v>
      </c>
      <c r="L90" s="209">
        <f t="shared" si="17"/>
        <v>-2.0421730097097579E-2</v>
      </c>
    </row>
    <row r="91" spans="1:12" x14ac:dyDescent="0.25">
      <c r="A91" s="2">
        <v>1.125</v>
      </c>
      <c r="B91" s="116">
        <v>2100000</v>
      </c>
      <c r="C91" s="2">
        <v>1.6E-2</v>
      </c>
      <c r="D91" s="2">
        <v>20</v>
      </c>
      <c r="E91" s="2">
        <v>2600</v>
      </c>
      <c r="F91" s="41">
        <f t="shared" si="13"/>
        <v>0.17936107998133546</v>
      </c>
      <c r="G91">
        <v>0</v>
      </c>
      <c r="H91" s="207">
        <f t="shared" si="14"/>
        <v>3.5568557921418504</v>
      </c>
      <c r="I91">
        <f t="shared" si="15"/>
        <v>58313.668013533112</v>
      </c>
      <c r="K91" s="207">
        <f t="shared" si="16"/>
        <v>3.6325860259117482</v>
      </c>
      <c r="L91" s="209">
        <f t="shared" si="17"/>
        <v>2.1291342184073914E-2</v>
      </c>
    </row>
    <row r="92" spans="1:12" x14ac:dyDescent="0.25">
      <c r="A92" s="2">
        <v>1.25</v>
      </c>
      <c r="B92" s="116">
        <v>2100000</v>
      </c>
      <c r="C92" s="2">
        <v>1.6E-2</v>
      </c>
      <c r="D92" s="2">
        <v>20</v>
      </c>
      <c r="E92" s="2">
        <v>2600</v>
      </c>
      <c r="F92" s="41">
        <f t="shared" si="13"/>
        <v>0.19929008886815053</v>
      </c>
      <c r="G92">
        <v>0</v>
      </c>
      <c r="H92" s="207">
        <f t="shared" si="14"/>
        <v>3.4053953246020559</v>
      </c>
      <c r="I92">
        <f t="shared" si="15"/>
        <v>68926.56233847393</v>
      </c>
      <c r="K92" s="207">
        <f t="shared" si="16"/>
        <v>3.6325860259117482</v>
      </c>
      <c r="L92" s="209">
        <f t="shared" si="17"/>
        <v>6.6714927241594557E-2</v>
      </c>
    </row>
    <row r="93" spans="1:12" x14ac:dyDescent="0.25">
      <c r="A93" s="2">
        <v>1.375</v>
      </c>
      <c r="B93" s="116">
        <v>2100000</v>
      </c>
      <c r="C93" s="2">
        <v>1.6E-2</v>
      </c>
      <c r="D93" s="2">
        <v>20</v>
      </c>
      <c r="E93" s="2">
        <v>2600</v>
      </c>
      <c r="F93" s="41">
        <f t="shared" si="13"/>
        <v>0.21921909775496556</v>
      </c>
      <c r="G93">
        <v>0</v>
      </c>
      <c r="H93" s="207">
        <f t="shared" si="14"/>
        <v>3.2539348570622617</v>
      </c>
      <c r="I93">
        <f t="shared" si="15"/>
        <v>79691.739752471025</v>
      </c>
      <c r="K93" s="207">
        <f t="shared" si="16"/>
        <v>3.6325860259117482</v>
      </c>
      <c r="L93" s="209">
        <f t="shared" si="17"/>
        <v>0.11636716329082963</v>
      </c>
    </row>
    <row r="94" spans="1:12" x14ac:dyDescent="0.25">
      <c r="A94" s="2">
        <v>1.5</v>
      </c>
      <c r="B94" s="116">
        <v>2100000</v>
      </c>
      <c r="C94" s="2">
        <v>1.6E-2</v>
      </c>
      <c r="D94" s="2">
        <v>20</v>
      </c>
      <c r="E94" s="2">
        <v>2600</v>
      </c>
      <c r="F94" s="41">
        <f t="shared" si="13"/>
        <v>0.2391481066417806</v>
      </c>
      <c r="G94">
        <v>0</v>
      </c>
      <c r="H94" s="207">
        <f t="shared" si="14"/>
        <v>3.1024743895224676</v>
      </c>
      <c r="I94">
        <f t="shared" si="15"/>
        <v>90425.26303186742</v>
      </c>
      <c r="K94" s="207">
        <f t="shared" si="16"/>
        <v>3.6325860259117482</v>
      </c>
      <c r="L94" s="209">
        <f t="shared" si="17"/>
        <v>0.17086736901988586</v>
      </c>
    </row>
    <row r="95" spans="1:12" x14ac:dyDescent="0.25">
      <c r="A95" s="2">
        <v>1.625</v>
      </c>
      <c r="B95" s="116">
        <v>2100000</v>
      </c>
      <c r="C95" s="2">
        <v>1.6E-2</v>
      </c>
      <c r="D95" s="2">
        <v>20</v>
      </c>
      <c r="E95" s="2">
        <v>2600</v>
      </c>
      <c r="F95" s="41">
        <f t="shared" si="13"/>
        <v>0.25907711552859564</v>
      </c>
      <c r="G95">
        <v>0</v>
      </c>
      <c r="H95" s="207">
        <f t="shared" si="14"/>
        <v>2.951013921982673</v>
      </c>
      <c r="I95">
        <f t="shared" si="15"/>
        <v>100943.19495300614</v>
      </c>
      <c r="K95" s="207">
        <f t="shared" si="16"/>
        <v>3.6325860259117482</v>
      </c>
      <c r="L95" s="209">
        <f t="shared" si="17"/>
        <v>0.23096200897322539</v>
      </c>
    </row>
    <row r="96" spans="1:12" x14ac:dyDescent="0.25">
      <c r="A96" s="2">
        <v>1.75</v>
      </c>
      <c r="B96" s="116">
        <v>2100000</v>
      </c>
      <c r="C96" s="2">
        <v>1.6E-2</v>
      </c>
      <c r="D96" s="2">
        <v>20</v>
      </c>
      <c r="E96" s="2">
        <v>2600</v>
      </c>
      <c r="F96" s="41">
        <f t="shared" si="13"/>
        <v>0.27900612441541073</v>
      </c>
      <c r="G96">
        <v>0</v>
      </c>
      <c r="H96" s="207">
        <f t="shared" si="14"/>
        <v>2.7995534544428784</v>
      </c>
      <c r="I96">
        <f t="shared" si="15"/>
        <v>111061.59829223016</v>
      </c>
      <c r="K96" s="207">
        <f t="shared" si="16"/>
        <v>3.6325860259117482</v>
      </c>
      <c r="L96" s="209">
        <f t="shared" si="17"/>
        <v>0.29755908755621396</v>
      </c>
    </row>
    <row r="97" spans="1:12" x14ac:dyDescent="0.25">
      <c r="A97" s="2">
        <v>1.875</v>
      </c>
      <c r="B97" s="116">
        <v>2100000</v>
      </c>
      <c r="C97" s="2">
        <v>1.6E-2</v>
      </c>
      <c r="D97" s="2">
        <v>20</v>
      </c>
      <c r="E97" s="2">
        <v>2600</v>
      </c>
      <c r="F97" s="41">
        <f t="shared" si="13"/>
        <v>0.29893513330222576</v>
      </c>
      <c r="G97">
        <v>0</v>
      </c>
      <c r="H97" s="207">
        <f t="shared" si="14"/>
        <v>2.6480929869030843</v>
      </c>
      <c r="I97">
        <f t="shared" si="15"/>
        <v>120596.53582588259</v>
      </c>
      <c r="K97" s="207">
        <f t="shared" si="16"/>
        <v>3.6325860259117482</v>
      </c>
      <c r="L97" s="209">
        <f t="shared" si="17"/>
        <v>0.371774346247568</v>
      </c>
    </row>
    <row r="98" spans="1:12" x14ac:dyDescent="0.25">
      <c r="A98" s="2">
        <v>2</v>
      </c>
      <c r="B98" s="116">
        <v>2100000</v>
      </c>
      <c r="C98" s="2">
        <v>1.6E-2</v>
      </c>
      <c r="D98" s="2">
        <v>20</v>
      </c>
      <c r="E98" s="2">
        <v>2600</v>
      </c>
      <c r="F98" s="41">
        <f t="shared" si="13"/>
        <v>0.3188641421890408</v>
      </c>
      <c r="G98">
        <v>0</v>
      </c>
      <c r="H98" s="207">
        <f t="shared" si="14"/>
        <v>2.4966325193632901</v>
      </c>
      <c r="I98">
        <f t="shared" si="15"/>
        <v>129364.07033030638</v>
      </c>
      <c r="K98" s="207">
        <f t="shared" si="16"/>
        <v>3.6325860259117482</v>
      </c>
      <c r="L98" s="209">
        <f t="shared" si="17"/>
        <v>0.45499427638560008</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31F041-CBCC-4F4D-83C6-32A8951DF9BF}">
  <dimension ref="A1:N303"/>
  <sheetViews>
    <sheetView workbookViewId="0">
      <selection activeCell="AG18" sqref="AG18"/>
    </sheetView>
  </sheetViews>
  <sheetFormatPr defaultRowHeight="15" x14ac:dyDescent="0.25"/>
  <cols>
    <col min="1" max="1" width="9.42578125" bestFit="1" customWidth="1"/>
  </cols>
  <sheetData>
    <row r="1" spans="1:1" x14ac:dyDescent="0.25">
      <c r="A1" s="538">
        <v>45012</v>
      </c>
    </row>
    <row r="2" spans="1:1" x14ac:dyDescent="0.25">
      <c r="A2" t="s">
        <v>607</v>
      </c>
    </row>
    <row r="239" spans="1:1" s="539" customFormat="1" x14ac:dyDescent="0.25"/>
    <row r="240" spans="1:1" x14ac:dyDescent="0.25">
      <c r="A240" s="4" t="s">
        <v>620</v>
      </c>
    </row>
    <row r="241" spans="1:14" x14ac:dyDescent="0.25">
      <c r="N241" s="4" t="s">
        <v>609</v>
      </c>
    </row>
    <row r="242" spans="1:14" x14ac:dyDescent="0.25">
      <c r="A242" t="s">
        <v>642</v>
      </c>
      <c r="N242" t="s">
        <v>621</v>
      </c>
    </row>
    <row r="243" spans="1:14" x14ac:dyDescent="0.25">
      <c r="A243" t="s">
        <v>643</v>
      </c>
      <c r="N243" t="s">
        <v>622</v>
      </c>
    </row>
    <row r="244" spans="1:14" x14ac:dyDescent="0.25">
      <c r="A244" t="s">
        <v>644</v>
      </c>
      <c r="N244" t="s">
        <v>623</v>
      </c>
    </row>
    <row r="245" spans="1:14" x14ac:dyDescent="0.25">
      <c r="N245" t="s">
        <v>624</v>
      </c>
    </row>
    <row r="246" spans="1:14" x14ac:dyDescent="0.25">
      <c r="N246" t="s">
        <v>625</v>
      </c>
    </row>
    <row r="247" spans="1:14" x14ac:dyDescent="0.25">
      <c r="N247" t="s">
        <v>626</v>
      </c>
    </row>
    <row r="248" spans="1:14" x14ac:dyDescent="0.25">
      <c r="A248" t="s">
        <v>610</v>
      </c>
      <c r="B248" t="s">
        <v>2</v>
      </c>
      <c r="C248" t="s">
        <v>645</v>
      </c>
      <c r="N248" t="s">
        <v>627</v>
      </c>
    </row>
    <row r="249" spans="1:14" x14ac:dyDescent="0.25">
      <c r="A249" t="s">
        <v>611</v>
      </c>
      <c r="B249" t="s">
        <v>612</v>
      </c>
      <c r="C249" t="s">
        <v>611</v>
      </c>
      <c r="N249" t="s">
        <v>628</v>
      </c>
    </row>
    <row r="250" spans="1:14" x14ac:dyDescent="0.25">
      <c r="A250" t="s">
        <v>646</v>
      </c>
      <c r="B250" t="s">
        <v>614</v>
      </c>
      <c r="C250">
        <v>0</v>
      </c>
      <c r="D250" t="s">
        <v>647</v>
      </c>
      <c r="N250" t="s">
        <v>628</v>
      </c>
    </row>
    <row r="251" spans="1:14" x14ac:dyDescent="0.25">
      <c r="A251" t="s">
        <v>648</v>
      </c>
      <c r="B251" t="s">
        <v>614</v>
      </c>
      <c r="C251">
        <v>0</v>
      </c>
      <c r="D251" t="s">
        <v>649</v>
      </c>
      <c r="N251" t="s">
        <v>629</v>
      </c>
    </row>
    <row r="252" spans="1:14" x14ac:dyDescent="0.25">
      <c r="A252" t="s">
        <v>650</v>
      </c>
      <c r="B252" t="s">
        <v>614</v>
      </c>
      <c r="C252">
        <v>0</v>
      </c>
      <c r="D252" t="s">
        <v>651</v>
      </c>
      <c r="N252" t="s">
        <v>630</v>
      </c>
    </row>
    <row r="253" spans="1:14" x14ac:dyDescent="0.25">
      <c r="A253" t="s">
        <v>652</v>
      </c>
      <c r="B253" t="s">
        <v>653</v>
      </c>
      <c r="C253">
        <v>0</v>
      </c>
      <c r="D253" t="s">
        <v>654</v>
      </c>
      <c r="N253" t="s">
        <v>631</v>
      </c>
    </row>
    <row r="254" spans="1:14" x14ac:dyDescent="0.25">
      <c r="A254" t="s">
        <v>655</v>
      </c>
      <c r="B254" t="s">
        <v>656</v>
      </c>
      <c r="C254" t="s">
        <v>657</v>
      </c>
      <c r="D254" t="s">
        <v>658</v>
      </c>
      <c r="N254" t="s">
        <v>632</v>
      </c>
    </row>
    <row r="255" spans="1:14" x14ac:dyDescent="0.25">
      <c r="A255" t="s">
        <v>659</v>
      </c>
      <c r="B255" t="s">
        <v>656</v>
      </c>
      <c r="C255" t="s">
        <v>657</v>
      </c>
      <c r="D255" t="s">
        <v>660</v>
      </c>
      <c r="N255" t="s">
        <v>633</v>
      </c>
    </row>
    <row r="256" spans="1:14" x14ac:dyDescent="0.25">
      <c r="A256" t="s">
        <v>661</v>
      </c>
      <c r="B256" t="s">
        <v>656</v>
      </c>
      <c r="C256">
        <v>0</v>
      </c>
      <c r="D256" t="s">
        <v>662</v>
      </c>
      <c r="N256" t="s">
        <v>634</v>
      </c>
    </row>
    <row r="257" spans="1:14" x14ac:dyDescent="0.25">
      <c r="A257" t="s">
        <v>663</v>
      </c>
      <c r="B257" t="s">
        <v>656</v>
      </c>
      <c r="C257">
        <v>0</v>
      </c>
      <c r="D257" t="s">
        <v>664</v>
      </c>
      <c r="N257" t="s">
        <v>635</v>
      </c>
    </row>
    <row r="258" spans="1:14" x14ac:dyDescent="0.25">
      <c r="A258" t="s">
        <v>665</v>
      </c>
      <c r="B258" t="s">
        <v>656</v>
      </c>
      <c r="C258">
        <v>0</v>
      </c>
      <c r="D258" t="s">
        <v>666</v>
      </c>
      <c r="N258" t="s">
        <v>636</v>
      </c>
    </row>
    <row r="259" spans="1:14" x14ac:dyDescent="0.25">
      <c r="A259" t="s">
        <v>667</v>
      </c>
      <c r="B259" t="s">
        <v>656</v>
      </c>
      <c r="C259" t="s">
        <v>657</v>
      </c>
      <c r="D259" t="s">
        <v>668</v>
      </c>
    </row>
    <row r="260" spans="1:14" x14ac:dyDescent="0.25">
      <c r="A260" t="s">
        <v>608</v>
      </c>
      <c r="B260" t="s">
        <v>617</v>
      </c>
      <c r="C260" t="s">
        <v>657</v>
      </c>
      <c r="D260" t="s">
        <v>669</v>
      </c>
    </row>
    <row r="261" spans="1:14" x14ac:dyDescent="0.25">
      <c r="A261" t="s">
        <v>670</v>
      </c>
      <c r="B261" t="s">
        <v>617</v>
      </c>
      <c r="C261" t="s">
        <v>657</v>
      </c>
      <c r="D261" t="s">
        <v>671</v>
      </c>
    </row>
    <row r="262" spans="1:14" x14ac:dyDescent="0.25">
      <c r="A262" t="s">
        <v>672</v>
      </c>
      <c r="B262" t="s">
        <v>617</v>
      </c>
      <c r="C262" t="s">
        <v>657</v>
      </c>
      <c r="D262" t="s">
        <v>673</v>
      </c>
      <c r="N262" t="s">
        <v>637</v>
      </c>
    </row>
    <row r="263" spans="1:14" x14ac:dyDescent="0.25">
      <c r="A263" t="s">
        <v>674</v>
      </c>
      <c r="B263" t="s">
        <v>619</v>
      </c>
      <c r="C263">
        <v>0</v>
      </c>
      <c r="D263" t="s">
        <v>675</v>
      </c>
      <c r="N263" t="s">
        <v>638</v>
      </c>
    </row>
    <row r="264" spans="1:14" x14ac:dyDescent="0.25">
      <c r="A264" t="s">
        <v>676</v>
      </c>
      <c r="B264" t="s">
        <v>619</v>
      </c>
      <c r="C264">
        <v>0</v>
      </c>
      <c r="D264" t="s">
        <v>677</v>
      </c>
      <c r="N264" t="s">
        <v>623</v>
      </c>
    </row>
    <row r="265" spans="1:14" x14ac:dyDescent="0.25">
      <c r="A265" t="s">
        <v>678</v>
      </c>
      <c r="B265" t="s">
        <v>679</v>
      </c>
      <c r="C265">
        <v>0</v>
      </c>
      <c r="D265" t="s">
        <v>680</v>
      </c>
      <c r="N265" t="s">
        <v>632</v>
      </c>
    </row>
    <row r="266" spans="1:14" x14ac:dyDescent="0.25">
      <c r="A266" t="s">
        <v>681</v>
      </c>
      <c r="B266" t="s">
        <v>614</v>
      </c>
      <c r="C266">
        <v>0</v>
      </c>
      <c r="D266" t="s">
        <v>682</v>
      </c>
      <c r="N266" t="s">
        <v>633</v>
      </c>
    </row>
    <row r="267" spans="1:14" x14ac:dyDescent="0.25">
      <c r="A267" t="s">
        <v>683</v>
      </c>
      <c r="B267" t="s">
        <v>614</v>
      </c>
      <c r="C267">
        <v>0</v>
      </c>
      <c r="D267" t="s">
        <v>684</v>
      </c>
      <c r="N267" t="s">
        <v>639</v>
      </c>
    </row>
    <row r="268" spans="1:14" x14ac:dyDescent="0.25">
      <c r="A268" t="s">
        <v>685</v>
      </c>
      <c r="B268" t="s">
        <v>619</v>
      </c>
      <c r="C268">
        <v>0</v>
      </c>
      <c r="D268" t="s">
        <v>686</v>
      </c>
      <c r="N268" t="s">
        <v>640</v>
      </c>
    </row>
    <row r="269" spans="1:14" x14ac:dyDescent="0.25">
      <c r="A269" t="s">
        <v>687</v>
      </c>
      <c r="B269" t="s">
        <v>619</v>
      </c>
      <c r="C269">
        <v>0</v>
      </c>
      <c r="D269" t="s">
        <v>688</v>
      </c>
      <c r="N269" t="s">
        <v>641</v>
      </c>
    </row>
    <row r="270" spans="1:14" x14ac:dyDescent="0.25">
      <c r="A270" t="s">
        <v>689</v>
      </c>
      <c r="B270" t="s">
        <v>679</v>
      </c>
      <c r="C270">
        <v>0</v>
      </c>
      <c r="D270" t="s">
        <v>690</v>
      </c>
    </row>
    <row r="271" spans="1:14" x14ac:dyDescent="0.25">
      <c r="A271" t="s">
        <v>691</v>
      </c>
      <c r="B271" t="s">
        <v>614</v>
      </c>
      <c r="C271">
        <v>0</v>
      </c>
      <c r="D271" t="s">
        <v>692</v>
      </c>
    </row>
    <row r="272" spans="1:14" x14ac:dyDescent="0.25">
      <c r="A272" t="s">
        <v>693</v>
      </c>
      <c r="B272" t="s">
        <v>614</v>
      </c>
      <c r="C272">
        <v>0</v>
      </c>
      <c r="D272" t="s">
        <v>694</v>
      </c>
    </row>
    <row r="273" spans="1:4" x14ac:dyDescent="0.25">
      <c r="A273" t="s">
        <v>695</v>
      </c>
      <c r="B273" t="s">
        <v>614</v>
      </c>
      <c r="C273">
        <v>0</v>
      </c>
      <c r="D273" t="s">
        <v>696</v>
      </c>
    </row>
    <row r="274" spans="1:4" x14ac:dyDescent="0.25">
      <c r="A274" t="s">
        <v>697</v>
      </c>
      <c r="B274" t="s">
        <v>614</v>
      </c>
      <c r="C274">
        <v>0</v>
      </c>
      <c r="D274" t="s">
        <v>698</v>
      </c>
    </row>
    <row r="275" spans="1:4" x14ac:dyDescent="0.25">
      <c r="A275" t="s">
        <v>699</v>
      </c>
      <c r="B275" t="s">
        <v>614</v>
      </c>
      <c r="C275">
        <v>0</v>
      </c>
      <c r="D275" t="s">
        <v>700</v>
      </c>
    </row>
    <row r="276" spans="1:4" x14ac:dyDescent="0.25">
      <c r="A276" t="s">
        <v>701</v>
      </c>
      <c r="B276" t="s">
        <v>614</v>
      </c>
      <c r="C276">
        <v>0</v>
      </c>
      <c r="D276" t="s">
        <v>702</v>
      </c>
    </row>
    <row r="277" spans="1:4" x14ac:dyDescent="0.25">
      <c r="A277" t="s">
        <v>703</v>
      </c>
      <c r="B277" t="s">
        <v>704</v>
      </c>
      <c r="C277">
        <v>0</v>
      </c>
      <c r="D277" t="s">
        <v>705</v>
      </c>
    </row>
    <row r="278" spans="1:4" x14ac:dyDescent="0.25">
      <c r="A278" t="s">
        <v>706</v>
      </c>
      <c r="B278" t="s">
        <v>704</v>
      </c>
      <c r="C278">
        <v>0</v>
      </c>
      <c r="D278" t="s">
        <v>707</v>
      </c>
    </row>
    <row r="279" spans="1:4" x14ac:dyDescent="0.25">
      <c r="A279" t="s">
        <v>708</v>
      </c>
      <c r="B279" t="s">
        <v>614</v>
      </c>
      <c r="C279">
        <v>0</v>
      </c>
      <c r="D279" t="s">
        <v>709</v>
      </c>
    </row>
    <row r="280" spans="1:4" x14ac:dyDescent="0.25">
      <c r="A280" t="s">
        <v>710</v>
      </c>
      <c r="B280" t="s">
        <v>614</v>
      </c>
      <c r="C280">
        <v>0</v>
      </c>
      <c r="D280" t="s">
        <v>711</v>
      </c>
    </row>
    <row r="281" spans="1:4" x14ac:dyDescent="0.25">
      <c r="A281" t="s">
        <v>712</v>
      </c>
      <c r="B281" t="s">
        <v>618</v>
      </c>
      <c r="C281">
        <v>0</v>
      </c>
      <c r="D281" t="s">
        <v>713</v>
      </c>
    </row>
    <row r="282" spans="1:4" x14ac:dyDescent="0.25">
      <c r="D282" t="s">
        <v>714</v>
      </c>
    </row>
    <row r="283" spans="1:4" x14ac:dyDescent="0.25">
      <c r="D283" t="s">
        <v>715</v>
      </c>
    </row>
    <row r="284" spans="1:4" x14ac:dyDescent="0.25">
      <c r="A284" t="s">
        <v>716</v>
      </c>
      <c r="B284" t="s">
        <v>614</v>
      </c>
      <c r="C284">
        <v>0</v>
      </c>
      <c r="D284" t="s">
        <v>717</v>
      </c>
    </row>
    <row r="285" spans="1:4" x14ac:dyDescent="0.25">
      <c r="A285" t="s">
        <v>718</v>
      </c>
      <c r="C285">
        <v>0</v>
      </c>
      <c r="D285" t="s">
        <v>719</v>
      </c>
    </row>
    <row r="286" spans="1:4" x14ac:dyDescent="0.25">
      <c r="A286" t="s">
        <v>720</v>
      </c>
      <c r="C286">
        <v>0</v>
      </c>
      <c r="D286" t="s">
        <v>721</v>
      </c>
    </row>
    <row r="288" spans="1:4" x14ac:dyDescent="0.25">
      <c r="A288" t="s">
        <v>722</v>
      </c>
      <c r="B288" t="s">
        <v>614</v>
      </c>
      <c r="C288" t="s">
        <v>723</v>
      </c>
      <c r="D288" t="s">
        <v>724</v>
      </c>
    </row>
    <row r="289" spans="1:4" x14ac:dyDescent="0.25">
      <c r="A289" t="s">
        <v>725</v>
      </c>
      <c r="C289">
        <v>0.5</v>
      </c>
      <c r="D289" t="s">
        <v>726</v>
      </c>
    </row>
    <row r="290" spans="1:4" x14ac:dyDescent="0.25">
      <c r="A290" t="s">
        <v>727</v>
      </c>
      <c r="B290" t="s">
        <v>653</v>
      </c>
      <c r="C290">
        <v>0</v>
      </c>
      <c r="D290" t="s">
        <v>728</v>
      </c>
    </row>
    <row r="291" spans="1:4" x14ac:dyDescent="0.25">
      <c r="A291" t="s">
        <v>729</v>
      </c>
      <c r="C291">
        <v>0</v>
      </c>
      <c r="D291" t="s">
        <v>730</v>
      </c>
    </row>
    <row r="292" spans="1:4" x14ac:dyDescent="0.25">
      <c r="A292" t="s">
        <v>731</v>
      </c>
      <c r="C292">
        <v>2</v>
      </c>
      <c r="D292" t="s">
        <v>732</v>
      </c>
    </row>
    <row r="293" spans="1:4" x14ac:dyDescent="0.25">
      <c r="A293" t="s">
        <v>733</v>
      </c>
      <c r="C293">
        <v>-2</v>
      </c>
      <c r="D293" t="s">
        <v>734</v>
      </c>
    </row>
    <row r="294" spans="1:4" x14ac:dyDescent="0.25">
      <c r="A294" t="s">
        <v>735</v>
      </c>
      <c r="B294" t="s">
        <v>736</v>
      </c>
      <c r="C294" t="s">
        <v>737</v>
      </c>
      <c r="D294" t="s">
        <v>738</v>
      </c>
    </row>
    <row r="295" spans="1:4" x14ac:dyDescent="0.25">
      <c r="A295" t="s">
        <v>739</v>
      </c>
      <c r="B295" t="s">
        <v>740</v>
      </c>
      <c r="C295">
        <v>0</v>
      </c>
      <c r="D295" t="s">
        <v>741</v>
      </c>
    </row>
    <row r="296" spans="1:4" x14ac:dyDescent="0.25">
      <c r="A296" t="s">
        <v>742</v>
      </c>
      <c r="B296" t="s">
        <v>740</v>
      </c>
      <c r="C296">
        <v>0</v>
      </c>
      <c r="D296" t="s">
        <v>743</v>
      </c>
    </row>
    <row r="297" spans="1:4" x14ac:dyDescent="0.25">
      <c r="A297" t="s">
        <v>744</v>
      </c>
      <c r="B297" t="s">
        <v>740</v>
      </c>
      <c r="C297">
        <v>0</v>
      </c>
      <c r="D297" t="s">
        <v>745</v>
      </c>
    </row>
    <row r="298" spans="1:4" x14ac:dyDescent="0.25">
      <c r="A298" t="s">
        <v>746</v>
      </c>
      <c r="B298" t="s">
        <v>740</v>
      </c>
      <c r="C298">
        <v>0</v>
      </c>
      <c r="D298" t="s">
        <v>747</v>
      </c>
    </row>
    <row r="299" spans="1:4" x14ac:dyDescent="0.25">
      <c r="A299" t="s">
        <v>748</v>
      </c>
      <c r="B299" t="s">
        <v>740</v>
      </c>
      <c r="C299">
        <v>0</v>
      </c>
      <c r="D299" t="s">
        <v>749</v>
      </c>
    </row>
    <row r="300" spans="1:4" x14ac:dyDescent="0.25">
      <c r="A300" t="s">
        <v>750</v>
      </c>
      <c r="B300" t="s">
        <v>740</v>
      </c>
      <c r="C300">
        <v>0</v>
      </c>
      <c r="D300" t="s">
        <v>751</v>
      </c>
    </row>
    <row r="301" spans="1:4" x14ac:dyDescent="0.25">
      <c r="A301" t="s">
        <v>752</v>
      </c>
    </row>
    <row r="302" spans="1:4" x14ac:dyDescent="0.25">
      <c r="A302" t="s">
        <v>752</v>
      </c>
    </row>
    <row r="303" spans="1:4" x14ac:dyDescent="0.25">
      <c r="A303" t="s">
        <v>752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Revisions</vt:lpstr>
      <vt:lpstr>Prosperity Reference</vt:lpstr>
      <vt:lpstr>Inputs</vt:lpstr>
      <vt:lpstr>Inputs-Imperial</vt:lpstr>
      <vt:lpstr>Loads</vt:lpstr>
      <vt:lpstr>Sizing</vt:lpstr>
      <vt:lpstr>Laminate Zones</vt:lpstr>
      <vt:lpstr>Weight </vt:lpstr>
      <vt:lpstr>Stiffness</vt:lpstr>
      <vt:lpstr>ASWING AERO</vt:lpstr>
      <vt:lpstr>ASWING STRUCT</vt:lpstr>
      <vt:lpstr>Trapezoidal Wing Summary</vt:lpstr>
      <vt:lpstr>REF - ASWING AERO-Imperial</vt:lpstr>
      <vt:lpstr>REF - ASWING STRUCT-Imperial</vt:lpstr>
      <vt:lpstr>REF - Materials</vt:lpstr>
      <vt:lpstr>REF - Shear Buckling</vt:lpstr>
      <vt:lpstr>REF - ASWING Input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dc:creator>
  <cp:lastModifiedBy>USER</cp:lastModifiedBy>
  <dcterms:created xsi:type="dcterms:W3CDTF">2021-03-09T20:05:22Z</dcterms:created>
  <dcterms:modified xsi:type="dcterms:W3CDTF">2023-05-02T21:43:14Z</dcterms:modified>
</cp:coreProperties>
</file>